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d.docs.live.net/a8465e08cc38ba2c/Masaüstü/VMware VCF/"/>
    </mc:Choice>
  </mc:AlternateContent>
  <xr:revisionPtr revIDLastSave="0" documentId="13_ncr:1_{BA1A212C-4B3B-C44E-A5F6-B3E9B9C4EA0E}" xr6:coauthVersionLast="47" xr6:coauthVersionMax="47" xr10:uidLastSave="{00000000-0000-0000-0000-000000000000}"/>
  <workbookProtection workbookAlgorithmName="SHA-512" workbookHashValue="b6NGrcv+k6BgApne0FmsHTE0/saezgLgCPX1S54w/oMZsSpjFA0rkWHe6I8vrK6n4qtTn60V7N7gwRfCd5l18Q==" workbookSaltValue="O9dUODuLOD7ikRn2Qufwpg==" workbookSpinCount="100000" lockStructure="1"/>
  <bookViews>
    <workbookView xWindow="-103" yWindow="-103" windowWidth="24892" windowHeight="14914" firstSheet="1" activeTab="1" xr2:uid="{98612615-D5B3-EF47-AF34-679F20CCC578}"/>
  </bookViews>
  <sheets>
    <sheet name="Prerequisite Checklist" sheetId="35" r:id="rId1"/>
    <sheet name="VCF &amp; VVF Planning" sheetId="106" r:id="rId2"/>
    <sheet name="Management Domain Sizing" sheetId="54" r:id="rId3"/>
    <sheet name="Deploy Management Domain" sheetId="62" r:id="rId4"/>
    <sheet name="Configure Management Domain" sheetId="108" r:id="rId5"/>
    <sheet name="Deploy Fleet Management Day-N" sheetId="118" r:id="rId6"/>
    <sheet name="Deploy Workload Domain" sheetId="65" r:id="rId7"/>
    <sheet name="Arkham" sheetId="123" state="hidden" r:id="rId8"/>
    <sheet name="Configure Workload Domain" sheetId="109" r:id="rId9"/>
    <sheet name="Deploy Cluster" sheetId="115" r:id="rId10"/>
    <sheet name="Change Control" sheetId="126" state="hidden" r:id="rId11"/>
    <sheet name="Value Reference Tables - MR" sheetId="87" state="hidden" r:id="rId12"/>
    <sheet name="Value Reference Tables" sheetId="63" state="hidden" r:id="rId13"/>
    <sheet name="Static Reference Tables" sheetId="56" state="hidden" r:id="rId14"/>
    <sheet name="Dumping Ground" sheetId="120" state="hidden" r:id="rId15"/>
    <sheet name="Additional Racks" sheetId="117" r:id="rId16"/>
    <sheet name="Site Protection &amp; DR" sheetId="75" r:id="rId17"/>
    <sheet name="On-Premises Ransomware Recovery" sheetId="119" r:id="rId18"/>
    <sheet name="Management Domain As Built" sheetId="113" r:id="rId19"/>
    <sheet name="Workload Domain As Built" sheetId="116" r:id="rId20"/>
    <sheet name="Public Reference Sheet" sheetId="112" state="hidden" r:id="rId21"/>
    <sheet name="Version History" sheetId="122" r:id="rId22"/>
    <sheet name="Private AI Ready Infrastructure" sheetId="95" state="hidden" r:id="rId23"/>
    <sheet name="Cloud-Based Ransomware Recovery" sheetId="86" state="hidden" r:id="rId24"/>
    <sheet name="Cross Cloud Mobility" sheetId="85" state="hidden" r:id="rId25"/>
    <sheet name="Active Directory Inputs" sheetId="34" state="hidden" r:id="rId26"/>
  </sheets>
  <definedNames>
    <definedName name="Additional_Instance">'Static Reference Tables'!$H$11:$H$13</definedName>
    <definedName name="administrator_vsphere_local_password">'Value Reference Tables'!$L$14</definedName>
    <definedName name="air_GPU_network_operator_namespace">'Value Reference Tables'!$U$47</definedName>
    <definedName name="air_GPU_operator_namespace">'Value Reference Tables'!$U$46</definedName>
    <definedName name="air_GPU_VM_class">'Value Reference Tables'!$U$45</definedName>
    <definedName name="air_license">'Value Reference Tables'!$U$44</definedName>
    <definedName name="asn_instance">'Value Reference Tables - MR'!$AH$18</definedName>
    <definedName name="asn_mgmt_az1">'Value Reference Tables - MR'!$AH$19</definedName>
    <definedName name="asn_mgmt_az2">'Value Reference Tables - MR'!$AH$20</definedName>
    <definedName name="asn_start">'Value Reference Tables - MR'!$AH$17</definedName>
    <definedName name="asn_wld_az1">'Value Reference Tables - MR'!$AH$21</definedName>
    <definedName name="asn_wld_az2">'Value Reference Tables - MR'!$AH$22</definedName>
    <definedName name="avilb_root_password">'Value Reference Tables'!$L$32</definedName>
    <definedName name="aws_regions">'Static Reference Tables'!$B$347:$B$374</definedName>
    <definedName name="ca_administrator_password">'Value Reference Tables'!$L$31</definedName>
    <definedName name="ca_administrator_username">'Value Reference Tables'!$L$8</definedName>
    <definedName name="ca_algorithm">'Value Reference Tables'!$O$39</definedName>
    <definedName name="ca_country">'Value Reference Tables'!$O$38</definedName>
    <definedName name="ca_email_address">'Value Reference Tables'!$O$41</definedName>
    <definedName name="ca_key_size">'Value Reference Tables'!$O$40</definedName>
    <definedName name="ca_locality">'Value Reference Tables'!$O$42</definedName>
    <definedName name="ca_organization">'Value Reference Tables'!$O$43</definedName>
    <definedName name="ca_organization_unit">'Value Reference Tables'!$O$44</definedName>
    <definedName name="ca_state">'Value Reference Tables'!$O$45</definedName>
    <definedName name="ca_template_name">'Value Reference Tables'!$O$37</definedName>
    <definedName name="calculated_mgmt_host_count">'Management Domain Sizing'!$R$8</definedName>
    <definedName name="cbr_aria_logs_key">'Value Reference Tables'!$U$153</definedName>
    <definedName name="cbr_aria_logs_url">'Value Reference Tables'!$U$152</definedName>
    <definedName name="cbr_chosen">'Management Domain Sizing'!$B$65</definedName>
    <definedName name="cbr_firewall_rule_vcenter">'Value Reference Tables'!$U$138</definedName>
    <definedName name="cbr_recovery_host_count">'Value Reference Tables'!$U$134</definedName>
    <definedName name="cbr_recovery_host_type">'Value Reference Tables'!$U$133</definedName>
    <definedName name="cbr_recovery_management_subnet">'Value Reference Tables'!$U$137</definedName>
    <definedName name="cbr_recovery_region">'Value Reference Tables'!$U$132</definedName>
    <definedName name="cbr_recovery_sddc_name">'Value Reference Tables'!$U$131</definedName>
    <definedName name="cbr_recovery_subnet">'Value Reference Tables'!$U$136</definedName>
    <definedName name="cbr_recovery_vpc">'Value Reference Tables'!$U$135</definedName>
    <definedName name="cbr_result">'Management Domain Sizing'!$I$65</definedName>
    <definedName name="cbr_vcdr_anti_affinity">'Value Reference Tables'!$U$149</definedName>
    <definedName name="cbr_vcdr_cdp1_hostname">'Value Reference Tables'!$U$141</definedName>
    <definedName name="cbr_vcdr_cdp1_ip">'Value Reference Tables'!$U$142</definedName>
    <definedName name="cbr_vcdr_cdp2_hostname">'Value Reference Tables'!$U$143</definedName>
    <definedName name="cbr_vcdr_cdp2_ip">'Value Reference Tables'!$U$144</definedName>
    <definedName name="cbr_vcdr_email_recipient">'Value Reference Tables'!$U$150</definedName>
    <definedName name="cbr_vcdr_email_sender">'Value Reference Tables'!$U$151</definedName>
    <definedName name="cbr_vcdr_label">'Value Reference Tables'!$U$148</definedName>
    <definedName name="cbr_vcdr_orchestrator_fqdn">'Value Reference Tables'!$U$146</definedName>
    <definedName name="cbr_vcdr_ova">'Value Reference Tables'!$U$145</definedName>
    <definedName name="cbr_vcdr_passcode">'Value Reference Tables'!$U$147</definedName>
    <definedName name="cbr_vcdr_site_name">'Value Reference Tables'!$U$139</definedName>
    <definedName name="cbr_vcdr_timezone">'Value Reference Tables'!$U$140</definedName>
    <definedName name="cbr_vcdr_vsphere_role">'Value Reference Tables'!$U$127</definedName>
    <definedName name="cbr_vm_folder">'Value Reference Tables'!$U$130</definedName>
    <definedName name="ccm_aws_admin_password">'Value Reference Tables'!$U$184</definedName>
    <definedName name="ccm_aws_admin_ssouser">'Value Reference Tables'!$U$183</definedName>
    <definedName name="ccm_aws_host_count">'Value Reference Tables'!$U$168</definedName>
    <definedName name="ccm_aws_host_type">'Value Reference Tables'!$U$167</definedName>
    <definedName name="ccm_aws_management_subnet">'Value Reference Tables'!$U$171</definedName>
    <definedName name="ccm_aws_region">'Value Reference Tables'!$U$166</definedName>
    <definedName name="ccm_aws_sddc_name">'Value Reference Tables'!$U$165</definedName>
    <definedName name="ccm_aws_subnet">'Value Reference Tables'!$U$170</definedName>
    <definedName name="ccm_aws_vpc">'Value Reference Tables'!$U$169</definedName>
    <definedName name="ccm_chosen">'Management Domain Sizing'!$B$66</definedName>
    <definedName name="ccm_firewall_group">'Value Reference Tables'!$U$174</definedName>
    <definedName name="ccm_firewall_ip_addresses">'Value Reference Tables'!$U$175</definedName>
    <definedName name="ccm_firewall_rule_hcx">'Value Reference Tables'!$U$173</definedName>
    <definedName name="ccm_firewall_rule_vcenter">'Value Reference Tables'!$U$172</definedName>
    <definedName name="ccm_hcx_admin_password">'Value Reference Tables'!$U$179</definedName>
    <definedName name="ccm_hcx_cdp_hostname">'Value Reference Tables'!$U$178</definedName>
    <definedName name="ccm_hcx_cdp_ip">'Value Reference Tables'!$U$181</definedName>
    <definedName name="ccm_hcx_compute_profile">'Value Reference Tables'!$U$187</definedName>
    <definedName name="ccm_hcx_dc_location">'Value Reference Tables'!$U$177</definedName>
    <definedName name="ccm_hcx_license">'Value Reference Tables'!$U$176</definedName>
    <definedName name="ccm_hcx_mgmt_network_ip_range">'Value Reference Tables'!$U$185</definedName>
    <definedName name="ccm_hcx_nsx_svc_password">'Value Reference Tables'!$U$164</definedName>
    <definedName name="ccm_hcx_nsx_svc_user">'Value Reference Tables'!$U$163</definedName>
    <definedName name="ccm_hcx_remote_url">'Value Reference Tables'!$U$182</definedName>
    <definedName name="ccm_hcx_resource_pool">'Value Reference Tables'!$U$162</definedName>
    <definedName name="ccm_hcx_root_password">'Value Reference Tables'!$U$180</definedName>
    <definedName name="ccm_hcx_service_mesh">'Value Reference Tables'!$U$188</definedName>
    <definedName name="ccm_hcx_vm_folder">'Value Reference Tables'!$U$161</definedName>
    <definedName name="ccm_hcx_vmotion_network_ip_range">'Value Reference Tables'!$U$186</definedName>
    <definedName name="ccm_hcx_vsphere_role">'Value Reference Tables'!$U$157</definedName>
    <definedName name="ccm_hcx_vsphere_svc_password">'Value Reference Tables'!$U$159</definedName>
    <definedName name="ccm_hcx_vsphere_svc_user">'Value Reference Tables'!$U$158</definedName>
    <definedName name="ccm_result">'Management Domain Sizing'!$I$66</definedName>
    <definedName name="ccm_vm_folder">'Value Reference Tables'!$U$160</definedName>
    <definedName name="certificate_authority_fqdn">'Value Reference Tables'!$L$58</definedName>
    <definedName name="certificate_authority_model">'Value Reference Tables'!$O$9</definedName>
    <definedName name="certificate_authority_name">'Value Reference Tables'!$L$59</definedName>
    <definedName name="change_control_new">'Change Control'!$B$2:$B$100</definedName>
    <definedName name="change_control_old">'Change Control'!$C$2:$C$100</definedName>
    <definedName name="child_ad_groups_ou">'Value Reference Tables'!$L$83</definedName>
    <definedName name="child_ad_users_ou">'Value Reference Tables'!$L$88</definedName>
    <definedName name="child_dns_zone">'Value Reference Tables'!$L$67</definedName>
    <definedName name="child_svc_nsx_ad_password">'Value Reference Tables'!$L$112</definedName>
    <definedName name="child_svc_nsx_ad_user">'Value Reference Tables'!$L$127</definedName>
    <definedName name="child_svc_vsphere_ad_password">'Value Reference Tables'!$L$111</definedName>
    <definedName name="child_svc_vsphere_ad_user">'Value Reference Tables'!$L$126</definedName>
    <definedName name="cluster_az1_host_fqdns">'Value Reference Tables'!$I$71:$I$86</definedName>
    <definedName name="cluster_az1_host_mgmt_ips">'Value Reference Tables'!$I$53:$I$68</definedName>
    <definedName name="cluster_az1_host_overlay_cidr">'Value Reference Tables'!$I$163</definedName>
    <definedName name="cluster_az1_host_overlay_gateway_ip">'Value Reference Tables'!$I$166</definedName>
    <definedName name="cluster_az1_host_overlay_network_pool_description">'Value Reference Tables'!$I$162</definedName>
    <definedName name="cluster_az1_host_overlay_network_pool_name">'Value Reference Tables'!$I$161</definedName>
    <definedName name="cluster_az1_host_overlay_network_profile_name">'Value Reference Tables'!$I$109</definedName>
    <definedName name="cluster_az1_host_overlay_new_pool_chosen">'Deploy Cluster'!$D$233</definedName>
    <definedName name="cluster_az1_host_overlay_pool_end_ip">'Value Reference Tables'!$I$165</definedName>
    <definedName name="cluster_az1_host_overlay_pool_start_ip">'Value Reference Tables'!$I$164</definedName>
    <definedName name="cluster_az1_host_overlay_transport_zone">'Value Reference Tables'!$I$157</definedName>
    <definedName name="cluster_az1_host_overlay_uplink_profile_name">'Value Reference Tables'!$I$171</definedName>
    <definedName name="cluster_az1_host_overlay_vlan">'Value Reference Tables'!$I$158</definedName>
    <definedName name="cluster_az1_host1_fqdn">'Value Reference Tables'!$I$71</definedName>
    <definedName name="cluster_az1_host1_mgmt_ip">'Value Reference Tables'!$I$53</definedName>
    <definedName name="cluster_az1_host10_fqdn">'Value Reference Tables'!$I$80</definedName>
    <definedName name="cluster_az1_host10_mgmt_ip">'Value Reference Tables'!$I$62</definedName>
    <definedName name="cluster_az1_host11_fqdn">'Value Reference Tables'!$I$81</definedName>
    <definedName name="cluster_az1_host11_mgmt_ip">'Value Reference Tables'!$I$63</definedName>
    <definedName name="cluster_az1_host12_fqdn">'Value Reference Tables'!$I$82</definedName>
    <definedName name="cluster_az1_host12_mgmt_ip">'Value Reference Tables'!$I$64</definedName>
    <definedName name="cluster_az1_host13_fqdn">'Value Reference Tables'!$I$83</definedName>
    <definedName name="cluster_az1_host13_mgmt_ip">'Value Reference Tables'!$I$65</definedName>
    <definedName name="cluster_az1_host14_fqdn">'Value Reference Tables'!$I$84</definedName>
    <definedName name="cluster_az1_host14_mgmt_ip">'Value Reference Tables'!$I$66</definedName>
    <definedName name="cluster_az1_host15_fqdn">'Value Reference Tables'!$I$85</definedName>
    <definedName name="cluster_az1_host15_mgmt_ip">'Value Reference Tables'!$I$67</definedName>
    <definedName name="cluster_az1_host16_fqdn">'Value Reference Tables'!$I$86</definedName>
    <definedName name="cluster_az1_host16_mgmt_ip">'Value Reference Tables'!$I$68</definedName>
    <definedName name="cluster_az1_host2_fqdn">'Value Reference Tables'!$I$72</definedName>
    <definedName name="cluster_az1_host2_mgmt_ip">'Value Reference Tables'!$I$54</definedName>
    <definedName name="cluster_az1_host3_fqdn">'Value Reference Tables'!$I$73</definedName>
    <definedName name="cluster_az1_host3_mgmt_ip">'Value Reference Tables'!$I$55</definedName>
    <definedName name="cluster_az1_host4_fqdn">'Value Reference Tables'!$I$74</definedName>
    <definedName name="cluster_az1_host4_mgmt_ip">'Value Reference Tables'!$I$56</definedName>
    <definedName name="cluster_az1_host5_fqdn">'Value Reference Tables'!$I$75</definedName>
    <definedName name="cluster_az1_host5_mgmt_ip">'Value Reference Tables'!$I$57</definedName>
    <definedName name="cluster_az1_host6_fqdn">'Value Reference Tables'!$I$76</definedName>
    <definedName name="cluster_az1_host6_mgmt_ip">'Value Reference Tables'!$I$58</definedName>
    <definedName name="cluster_az1_host7_fqdn">'Value Reference Tables'!$I$77</definedName>
    <definedName name="cluster_az1_host7_mgmt_ip">'Value Reference Tables'!$I$59</definedName>
    <definedName name="cluster_az1_host8_fqdn">'Value Reference Tables'!$I$78</definedName>
    <definedName name="cluster_az1_host8_mgmt_ip">'Value Reference Tables'!$I$60</definedName>
    <definedName name="cluster_az1_host9_fqdn">'Value Reference Tables'!$I$79</definedName>
    <definedName name="cluster_az1_host9_mgmt_ip">'Value Reference Tables'!$I$61</definedName>
    <definedName name="cluster_az1_mgmt_cidr">'Value Reference Tables'!$I$14</definedName>
    <definedName name="cluster_az1_mgmt_gateway_ip">'Value Reference Tables'!$I$13</definedName>
    <definedName name="cluster_az1_mgmt_lbt_chosen">'Deploy Cluster'!$D$201</definedName>
    <definedName name="cluster_az1_mgmt_mtu">'Value Reference Tables'!$I$15</definedName>
    <definedName name="cluster_az1_mgmt_pg">'Value Reference Tables'!$I$127</definedName>
    <definedName name="cluster_az1_mgmt_uplink1_chosen">'Deploy Cluster'!$D$202</definedName>
    <definedName name="cluster_az1_mgmt_uplink2_chosen">'Deploy Cluster'!$D$203</definedName>
    <definedName name="cluster_az1_mgmt_vlan">'Value Reference Tables'!$I$12</definedName>
    <definedName name="cluster_az1_mgmt_vm_lbt_chosen">'Deploy Cluster'!$D$206</definedName>
    <definedName name="cluster_az1_mgmt_vm_pg">'Value Reference Tables'!$I$132</definedName>
    <definedName name="cluster_az1_mgmt_vm_uplink1_chosen">'Deploy Cluster'!$D$207</definedName>
    <definedName name="cluster_az1_mgmt_vm_uplink2_chosen">'Deploy Cluster'!$D$208</definedName>
    <definedName name="cluster_az1_nsx_lbt_chosen">'Deploy Cluster'!$D$247</definedName>
    <definedName name="cluster_az1_nsx_uplink_count">'Value Reference Tables'!$I$168</definedName>
    <definedName name="cluster_az1_nsx_uplink1">'Value Reference Tables'!$I$169</definedName>
    <definedName name="cluster_az1_nsx_uplink1_active">'Value Reference Tables'!$I$173</definedName>
    <definedName name="cluster_az1_nsx_uplink2">'Value Reference Tables'!$I$170</definedName>
    <definedName name="cluster_az1_nsx_uplink2_active">'Value Reference Tables'!$I$174</definedName>
    <definedName name="cluster_az1_pool_name">'Value Reference Tables'!$I$69</definedName>
    <definedName name="cluster_az1_principal_storage_cidr">'Value Reference Tables'!$I$30</definedName>
    <definedName name="cluster_az1_principal_storage_gateway_ip">'Value Reference Tables'!$I$31</definedName>
    <definedName name="cluster_az1_principal_storage_lbt_chosen">'Deploy Cluster'!$D$216</definedName>
    <definedName name="cluster_az1_principal_storage_mask">'Value Reference Tables'!$I$29</definedName>
    <definedName name="cluster_az1_principal_storage_mtu">'Value Reference Tables'!$I$27</definedName>
    <definedName name="cluster_az1_principal_storage_network">'Value Reference Tables'!$I$28</definedName>
    <definedName name="cluster_az1_principal_storage_pg">'Value Reference Tables'!$I$142</definedName>
    <definedName name="cluster_az1_principal_storage_pool_end_ip">'Value Reference Tables'!$I$33</definedName>
    <definedName name="cluster_az1_principal_storage_pool_start_ip">'Value Reference Tables'!$I$32</definedName>
    <definedName name="cluster_az1_principal_storage_uplink1_chosen">'Deploy Cluster'!$D$217</definedName>
    <definedName name="cluster_az1_principal_storage_uplink2_chosen">'Deploy Cluster'!$D$218</definedName>
    <definedName name="cluster_az1_principal_storage_vlan">'Value Reference Tables'!$I$26</definedName>
    <definedName name="cluster_az1_reuse_vcf_networkpool_chosen">'Deploy Cluster'!$B$13</definedName>
    <definedName name="cluster_az1_reuse_vcf_networkpool_result">'Deploy Cluster'!$D$13</definedName>
    <definedName name="cluster_az1_secondary_storage_cidr">'Value Reference Tables'!$I$39</definedName>
    <definedName name="cluster_az1_secondary_storage_gateway_ip">'Value Reference Tables'!$I$40</definedName>
    <definedName name="cluster_az1_secondary_storage_mask">'Value Reference Tables'!$I$38</definedName>
    <definedName name="cluster_az1_secondary_storage_mtu">'Value Reference Tables'!$I$36</definedName>
    <definedName name="cluster_az1_secondary_storage_network">'Value Reference Tables'!$I$37</definedName>
    <definedName name="cluster_az1_secondary_storage_pool_end_ip">'Value Reference Tables'!$I$42</definedName>
    <definedName name="cluster_az1_secondary_storage_pool_start_ip">'Value Reference Tables'!$I$41</definedName>
    <definedName name="cluster_az1_secondary_storage_vlan">'Value Reference Tables'!$I$35</definedName>
    <definedName name="cluster_az1_storage_cluster_cidr">'Value Reference Tables'!$I$48</definedName>
    <definedName name="cluster_az1_storage_cluster_gateway_ip">'Value Reference Tables'!$I$49</definedName>
    <definedName name="cluster_az1_storage_cluster_mask">'Value Reference Tables'!$I$47</definedName>
    <definedName name="cluster_az1_storage_cluster_mtu">'Value Reference Tables'!$I$45</definedName>
    <definedName name="cluster_az1_storage_cluster_network">'Value Reference Tables'!$I$46</definedName>
    <definedName name="cluster_az1_storage_cluster_pool_end_ip">'Value Reference Tables'!$I$51</definedName>
    <definedName name="cluster_az1_storage_cluster_pool_start_ip">'Value Reference Tables'!$I$50</definedName>
    <definedName name="cluster_az1_storage_cluster_vlan">'Value Reference Tables'!$I$44</definedName>
    <definedName name="cluster_az1_vmotion_cidr">'Value Reference Tables'!$I$21</definedName>
    <definedName name="cluster_az1_vmotion_gateway_ip">'Value Reference Tables'!$I$22</definedName>
    <definedName name="cluster_az1_vmotion_lbt_chosen">'Deploy Cluster'!$D$211</definedName>
    <definedName name="cluster_az1_vmotion_mask">'Value Reference Tables'!$I$20</definedName>
    <definedName name="cluster_az1_vmotion_mtu">'Value Reference Tables'!$I$18</definedName>
    <definedName name="cluster_az1_vmotion_network">'Value Reference Tables'!$I$19</definedName>
    <definedName name="cluster_az1_vmotion_pg">'Value Reference Tables'!$I$137</definedName>
    <definedName name="cluster_az1_vmotion_pool_end_ip">'Value Reference Tables'!$I$24</definedName>
    <definedName name="cluster_az1_vmotion_pool_start_ip">'Value Reference Tables'!$I$23</definedName>
    <definedName name="cluster_az1_vmotion_uplink1_chosen">'Deploy Cluster'!$D$212</definedName>
    <definedName name="cluster_az1_vmotion_uplink2_chosen">'Deploy Cluster'!$D$213</definedName>
    <definedName name="cluster_az1_vmotion_vlan">'Value Reference Tables'!$I$17</definedName>
    <definedName name="cluster_az1_vsan_storage_client_lbt_chosen">'Deploy Cluster'!$D$221</definedName>
    <definedName name="cluster_az1_vsan_storage_client_pg">'Value Reference Tables'!$I$147</definedName>
    <definedName name="cluster_az1_vsan_storage_client_uplink1">'Deploy Cluster'!$D$222</definedName>
    <definedName name="cluster_az1_vsan_storage_client_uplink2">'Deploy Cluster'!$D$223</definedName>
    <definedName name="cluster_az2_host_fqdns">'Value Reference Tables'!$I$292:$I$307</definedName>
    <definedName name="cluster_az2_host_mgmt_ips">'Value Reference Tables'!$I$205:$I$220</definedName>
    <definedName name="cluster_az2_host_overlay_cidr">'Value Reference Tables'!$I$286</definedName>
    <definedName name="cluster_az2_host_overlay_gateway_ip">'Value Reference Tables'!$I$287</definedName>
    <definedName name="cluster_az2_host_overlay_network_pool_name">'Value Reference Tables'!$I$283</definedName>
    <definedName name="cluster_az2_host_overlay_network_profile_name">'Value Reference Tables'!$I$282</definedName>
    <definedName name="cluster_az2_host_overlay_new_pool_chosen">'Deploy Cluster'!$D$406</definedName>
    <definedName name="cluster_az2_host_overlay_pool_end_ip">'Value Reference Tables'!$I$289</definedName>
    <definedName name="cluster_az2_host_overlay_pool_start_ip">'Value Reference Tables'!$I$288</definedName>
    <definedName name="cluster_az2_host_overlay_uplink_profile_name">'Value Reference Tables'!$I$284</definedName>
    <definedName name="cluster_az2_host_overlay_vlan">'Value Reference Tables'!$I$285</definedName>
    <definedName name="cluster_az2_host1_fqdn">'Value Reference Tables'!$I$292</definedName>
    <definedName name="cluster_az2_host1_mgmt_ip">'Value Reference Tables'!$I$205</definedName>
    <definedName name="cluster_az2_host10_fqdn">'Value Reference Tables'!$I$301</definedName>
    <definedName name="cluster_az2_host10_mgmt_ip">'Value Reference Tables'!$I$214</definedName>
    <definedName name="cluster_az2_host11_fqdn">'Value Reference Tables'!$I$302</definedName>
    <definedName name="cluster_az2_host11_mgmt_ip">'Value Reference Tables'!$I$215</definedName>
    <definedName name="cluster_az2_host12_fqdn">'Value Reference Tables'!$I$303</definedName>
    <definedName name="cluster_az2_host12_mgmt_ip">'Value Reference Tables'!$I$216</definedName>
    <definedName name="cluster_az2_host13_fqdn">'Value Reference Tables'!$I$304</definedName>
    <definedName name="cluster_az2_host13_mgmt_ip">'Value Reference Tables'!$I$217</definedName>
    <definedName name="cluster_az2_host14_fqdn">'Value Reference Tables'!$I$305</definedName>
    <definedName name="cluster_az2_host14_mgmt_ip">'Value Reference Tables'!$I$218</definedName>
    <definedName name="cluster_az2_host15_fqdn">'Value Reference Tables'!$I$306</definedName>
    <definedName name="cluster_az2_host15_mgmt_ip">'Value Reference Tables'!$I$219</definedName>
    <definedName name="cluster_az2_host16_fqdn">'Value Reference Tables'!$I$307</definedName>
    <definedName name="cluster_az2_host16_mgmt_ip">'Value Reference Tables'!$I$220</definedName>
    <definedName name="cluster_az2_host2_fqdn">'Value Reference Tables'!$I$293</definedName>
    <definedName name="cluster_az2_host2_mgmt_ip">'Value Reference Tables'!$I$206</definedName>
    <definedName name="cluster_az2_host3_fqdn">'Value Reference Tables'!$I$294</definedName>
    <definedName name="cluster_az2_host3_mgmt_ip">'Value Reference Tables'!$I$207</definedName>
    <definedName name="cluster_az2_host4_fqdn">'Value Reference Tables'!$I$295</definedName>
    <definedName name="cluster_az2_host4_mgmt_ip">'Value Reference Tables'!$I$208</definedName>
    <definedName name="cluster_az2_host5_fqdn">'Value Reference Tables'!$I$296</definedName>
    <definedName name="cluster_az2_host5_mgmt_ip">'Value Reference Tables'!$I$209</definedName>
    <definedName name="cluster_az2_host6_fqdn">'Value Reference Tables'!$I$297</definedName>
    <definedName name="cluster_az2_host6_mgmt_ip">'Value Reference Tables'!$I$210</definedName>
    <definedName name="cluster_az2_host7_fqdn">'Value Reference Tables'!$I$298</definedName>
    <definedName name="cluster_az2_host7_mgmt_ip">'Value Reference Tables'!$I$211</definedName>
    <definedName name="cluster_az2_host8_fqdn">'Value Reference Tables'!$I$299</definedName>
    <definedName name="cluster_az2_host8_mgmt_ip">'Value Reference Tables'!$I$212</definedName>
    <definedName name="cluster_az2_host9_fqdn">'Value Reference Tables'!$I$300</definedName>
    <definedName name="cluster_az2_host9_mgmt_ip">'Value Reference Tables'!$I$213</definedName>
    <definedName name="cluster_az2_mgmt_cidr">'Value Reference Tables'!$I$203</definedName>
    <definedName name="cluster_az2_mgmt_gateway_ip">'Value Reference Tables'!$I$202</definedName>
    <definedName name="cluster_az2_mgmt_mtu">'Value Reference Tables'!$I$204</definedName>
    <definedName name="cluster_az2_mgmt_vlan">'Value Reference Tables'!$I$201</definedName>
    <definedName name="cluster_az2_pool_name">'Value Reference Tables'!$I$221</definedName>
    <definedName name="cluster_az2_principal_storage_cidr">'Value Reference Tables'!$I$236</definedName>
    <definedName name="cluster_az2_principal_storage_gateway_ip">'Value Reference Tables'!$I$237</definedName>
    <definedName name="cluster_az2_principal_storage_mask">'Value Reference Tables'!$I$235</definedName>
    <definedName name="cluster_az2_principal_storage_mtu">'Value Reference Tables'!$I$233</definedName>
    <definedName name="cluster_az2_principal_storage_network">'Value Reference Tables'!$I$234</definedName>
    <definedName name="cluster_az2_principal_storage_pool_end_ip">'Value Reference Tables'!$I$239</definedName>
    <definedName name="cluster_az2_principal_storage_pool_start_ip">'Value Reference Tables'!$I$238</definedName>
    <definedName name="cluster_az2_principal_storage_vlan">'Value Reference Tables'!$I$232</definedName>
    <definedName name="cluster_az2_reuse_vcf_networkpool_chosen">'Deploy Cluster'!$D$280</definedName>
    <definedName name="cluster_az2_secondary_storage_gateway_ip">'Value Reference Tables'!$I$245</definedName>
    <definedName name="cluster_az2_secondary_storage_mask">'Value Reference Tables'!$I$244</definedName>
    <definedName name="cluster_az2_secondary_storage_mtu">'Value Reference Tables'!$I$242</definedName>
    <definedName name="cluster_az2_secondary_storage_network">'Value Reference Tables'!$I$243</definedName>
    <definedName name="cluster_az2_secondary_storage_pool_end_ip">'Value Reference Tables'!$I$247</definedName>
    <definedName name="cluster_az2_secondary_storage_pool_start_ip">'Value Reference Tables'!$I$246</definedName>
    <definedName name="cluster_az2_secondary_storage_vlan">'Value Reference Tables'!$I$241</definedName>
    <definedName name="cluster_az2_storage_cluster_cidr">'Value Reference Tables'!$I$253</definedName>
    <definedName name="cluster_az2_storage_cluster_gateway_ip">'Value Reference Tables'!$I$254</definedName>
    <definedName name="cluster_az2_storage_cluster_mask">'Value Reference Tables'!$I$252</definedName>
    <definedName name="cluster_az2_storage_cluster_mtu">'Value Reference Tables'!$I$250</definedName>
    <definedName name="cluster_az2_storage_cluster_network">'Value Reference Tables'!$I$251</definedName>
    <definedName name="cluster_az2_storage_cluster_pool_end_ip">'Value Reference Tables'!$I$256</definedName>
    <definedName name="cluster_az2_storage_cluster_pool_start_ip">'Value Reference Tables'!$I$255</definedName>
    <definedName name="cluster_az2_storage_cluster_vlan">'Value Reference Tables'!$I$249</definedName>
    <definedName name="cluster_az2_tor1_peer_asn">'Value Reference Tables'!$I$308</definedName>
    <definedName name="cluster_az2_tor1_peer_ip">'Value Reference Tables'!$I$309</definedName>
    <definedName name="cluster_az2_tor2_peer_asn">'Value Reference Tables'!$I$310</definedName>
    <definedName name="cluster_az2_tor2_peer_ip">'Value Reference Tables'!$I$311</definedName>
    <definedName name="cluster_az2_vmotion_cidr">'Value Reference Tables'!$I$227</definedName>
    <definedName name="cluster_az2_vmotion_gateway_ip">'Value Reference Tables'!$I$228</definedName>
    <definedName name="cluster_az2_vmotion_mask">'Value Reference Tables'!$I$226</definedName>
    <definedName name="cluster_az2_vmotion_mtu">'Value Reference Tables'!$I$224</definedName>
    <definedName name="cluster_az2_vmotion_network">'Value Reference Tables'!$I$225</definedName>
    <definedName name="cluster_az2_vmotion_pool_end_ip">'Value Reference Tables'!$I$230</definedName>
    <definedName name="cluster_az2_vmotion_pool_start_ip">'Value Reference Tables'!$I$229</definedName>
    <definedName name="cluster_az2_vmotion_vlan">'Value Reference Tables'!$I$223</definedName>
    <definedName name="cluster_chosen">'Deploy Cluster'!$B$8</definedName>
    <definedName name="cluster_cl01_vds_copy_profile_chosen">'Deploy Cluster'!$D$162</definedName>
    <definedName name="cluster_cluster_sddc_id">'Value Reference Tables'!$I$313</definedName>
    <definedName name="cluster_compute_hosts_per_rack_chosen">'Deploy Cluster'!$B$9</definedName>
    <definedName name="cluster_compute_hosts_per_rack_result">'Deploy Cluster'!$D$9</definedName>
    <definedName name="cluster_datacenter">'Value Reference Tables'!$I$280</definedName>
    <definedName name="cluster_domain_name">'Value Reference Tables'!$I$9</definedName>
    <definedName name="cluster_esx_root_password">'Value Reference Tables'!$I$92</definedName>
    <definedName name="cluster_esx_root_username">'Value Reference Tables'!$I$91</definedName>
    <definedName name="cluster_host_overlay_addressing_chosen">'Deploy Cluster'!$D$232</definedName>
    <definedName name="cluster_host_overlay_transportzone">'Value Reference Tables'!$I$312</definedName>
    <definedName name="cluster_image_name">'Value Reference Tables'!$I$94</definedName>
    <definedName name="cluster_multi_rack_count_chosen">'Deploy Cluster'!$B$10</definedName>
    <definedName name="cluster_multi_rack_count_result">'Deploy Cluster'!$D$10</definedName>
    <definedName name="cluster_name">'Value Reference Tables'!$I$93</definedName>
    <definedName name="cluster_nfs_datastore_name">'Value Reference Tables'!$I$102</definedName>
    <definedName name="cluster_nfs_server_address">'Value Reference Tables'!$I$104</definedName>
    <definedName name="cluster_nfs_share_path">'Value Reference Tables'!$I$103</definedName>
    <definedName name="cluster_nsx_default_operation_mode_chosen">'Deploy Cluster'!$D$225</definedName>
    <definedName name="cluster_nsx_operation_mode_chosen">'Deploy Cluster'!$D$226</definedName>
    <definedName name="cluster_nsx_overlay_transport_zone_chosen">'Deploy Cluster'!$D$227</definedName>
    <definedName name="cluster_nsx_vlan_transport_zone_chosen">'Deploy Cluster'!$D$228</definedName>
    <definedName name="cluster_nsx_vlan_transport_zone_name">'Value Reference Tables'!$I$167</definedName>
    <definedName name="cluster_nsxt_vip_fqdn">'Value Reference Tables'!$I$291</definedName>
    <definedName name="cluster_principal_storage_chosen">'Deploy Cluster'!$B$11</definedName>
    <definedName name="cluster_principal_storage_result">'Deploy Cluster'!$D$11</definedName>
    <definedName name="cluster_result">'Deploy Cluster'!$D$8</definedName>
    <definedName name="cluster_secondary_storage_chosen">'Deploy Cluster'!$B$12</definedName>
    <definedName name="cluster_secondary_storage_result">'Deploy Cluster'!$D$12</definedName>
    <definedName name="cluster_storage_cluster_name">'Value Reference Tables'!$I$96</definedName>
    <definedName name="cluster_stretched_cluster_chosen">'Deploy Cluster'!$B$14</definedName>
    <definedName name="cluster_stretched_cluster_result">'Deploy Cluster'!$D$14</definedName>
    <definedName name="cluster_vc_fqdn">'Value Reference Tables'!$I$279</definedName>
    <definedName name="cluster_vds_profile_chosen">'Deploy Cluster'!$D$161</definedName>
    <definedName name="cluster_vds01_lacp_mode_chosen">'Deploy Cluster'!$D$171</definedName>
    <definedName name="cluster_vds01_lacp_timeout_chosen">'Deploy Cluster'!$D$173</definedName>
    <definedName name="cluster_vds01_lag_lbt_chosen">'Deploy Cluster'!$D$172</definedName>
    <definedName name="cluster_vds01_lag_name">'Value Reference Tables'!$I$113</definedName>
    <definedName name="cluster_vds01_link_type_chosen">'Deploy Cluster'!$D$169</definedName>
    <definedName name="cluster_vds01_mtu">'Value Reference Tables'!$I$108</definedName>
    <definedName name="cluster_vds01_name">'Value Reference Tables'!$I$107</definedName>
    <definedName name="cluster_vds01_pnics">'Value Reference Tables'!$I$111</definedName>
    <definedName name="cluster_vds01_traffic_type">'Value Reference Tables'!$I$112</definedName>
    <definedName name="cluster_vds01_uplink_count">'Value Reference Tables'!$I$110</definedName>
    <definedName name="cluster_vds02_lacp_mode_chosen">'Deploy Cluster'!$D$182</definedName>
    <definedName name="cluster_vds02_lacp_timeout_chosen">'Deploy Cluster'!$D$184</definedName>
    <definedName name="cluster_vds02_lag_lbt_chosen">'Deploy Cluster'!$D$183</definedName>
    <definedName name="cluster_vds02_lag_name">'Value Reference Tables'!$I$119</definedName>
    <definedName name="cluster_vds02_link_type_chosen">'Deploy Cluster'!$D$180</definedName>
    <definedName name="cluster_vds02_mtu">'Value Reference Tables'!$I$115</definedName>
    <definedName name="cluster_vds02_name">'Value Reference Tables'!$I$114</definedName>
    <definedName name="cluster_vds02_pnics">'Value Reference Tables'!$I$117</definedName>
    <definedName name="cluster_vds02_traffic_type">'Value Reference Tables'!$I$118</definedName>
    <definedName name="cluster_vds02_uplink_count">'Value Reference Tables'!$I$116</definedName>
    <definedName name="cluster_vds03_lacp_mode_chosen">'Deploy Cluster'!$D$193</definedName>
    <definedName name="cluster_vds03_lacp_timeout_chosen">'Deploy Cluster'!$D$195</definedName>
    <definedName name="cluster_vds03_lag_lbt_chosen">'Deploy Cluster'!$D$194</definedName>
    <definedName name="cluster_vds03_lag_name">'Value Reference Tables'!$I$125</definedName>
    <definedName name="cluster_vds03_link_type_chosen">'Deploy Cluster'!$D$191</definedName>
    <definedName name="cluster_vds03_mtu">'Value Reference Tables'!$I$121</definedName>
    <definedName name="cluster_vds03_name">'Value Reference Tables'!$I$120</definedName>
    <definedName name="cluster_vds03_pnics">'Value Reference Tables'!$I$123</definedName>
    <definedName name="cluster_vds03_traffic_type">'Value Reference Tables'!$I$124</definedName>
    <definedName name="cluster_vds03_uplink_count">'Value Reference Tables'!$I$122</definedName>
    <definedName name="cluster_vmfs_datastore_name">'Value Reference Tables'!$I$101</definedName>
    <definedName name="cluster_vsan_client_network">'Deploy Cluster'!$D$130</definedName>
    <definedName name="cluster_vsan_compute_fault_domain_mapping_chosen">'Deploy Cluster'!$D$404</definedName>
    <definedName name="cluster_vsan_compute_network_topology_chosen">'Deploy Cluster'!$D$403</definedName>
    <definedName name="cluster_vsan_datastore">'Value Reference Tables'!$I$97</definedName>
    <definedName name="cluster_vsan_dedupe_compression_chosen">'Deploy Cluster'!$D$132</definedName>
    <definedName name="cluster_vsan_ftt_chosen">'Deploy Cluster'!$D$131</definedName>
    <definedName name="cluster_vsan_type">'Deploy Cluster'!$D$101</definedName>
    <definedName name="cluster_witness_cluster">'Value Reference Tables'!$I$266</definedName>
    <definedName name="cluster_witness_dns1_ip">'Value Reference Tables'!$I$275</definedName>
    <definedName name="cluster_witness_dns2_ip">'Value Reference Tables'!$I$276</definedName>
    <definedName name="cluster_witness_fqdn">'Value Reference Tables'!$I$281</definedName>
    <definedName name="cluster_witness_hostname">'Value Reference Tables'!$I$265</definedName>
    <definedName name="cluster_witness_ip">'Value Reference Tables'!$I$273</definedName>
    <definedName name="cluster_witness_mgmt_pg">'Value Reference Tables'!$I$269</definedName>
    <definedName name="cluster_witness_ntp1_server">'Value Reference Tables'!$I$277</definedName>
    <definedName name="cluster_witness_ntp2_server">'Value Reference Tables'!$I$278</definedName>
    <definedName name="cluster_witness_vm_folder">'Value Reference Tables'!$I$267</definedName>
    <definedName name="cluster_witness_vsan_datastore">'Value Reference Tables'!$I$268</definedName>
    <definedName name="cluster_witness_zone_vc_fqdn">'Value Reference Tables'!$I$264</definedName>
    <definedName name="cluster_witnessaz_mgmt_cidr">'Value Reference Tables'!$I$262</definedName>
    <definedName name="cluster_witnessaz_mgmt_gateway_ip">'Value Reference Tables'!$I$261</definedName>
    <definedName name="cluster_witnessaz_mgmt_mask">'Value Reference Tables'!$I$272</definedName>
    <definedName name="cluster_witnessaz_mgmt_mtu">'Value Reference Tables'!$I$263</definedName>
    <definedName name="cluster_witnessaz_mgmt_vlan">'Value Reference Tables'!$I$260</definedName>
    <definedName name="cluster_wld_domain_chosen">'Value Reference Tables'!$I$8</definedName>
    <definedName name="deployment_type_vcf">'Static Reference Tables'!$E$15:$E$18</definedName>
    <definedName name="deployment_type_vvf">'Static Reference Tables'!$E$22:$E$24</definedName>
    <definedName name="domain_controller_hostname">'Value Reference Tables'!$L$57</definedName>
    <definedName name="dri_dns_servers">'Value Reference Tables'!$U$39</definedName>
    <definedName name="dri_ec_name">'Value Reference Tables'!$U$21</definedName>
    <definedName name="dri_k8s_server_address">'Value Reference Tables'!$U$37</definedName>
    <definedName name="dri_k8s_size_hint">'Value Reference Tables'!$U$28</definedName>
    <definedName name="dri_load_balancer_ge">'Value Reference Tables'!$U$22</definedName>
    <definedName name="dri_load_balancer_le">'Value Reference Tables'!$U$23</definedName>
    <definedName name="dri_network_address_range_size">'Value Reference Tables'!$U$30</definedName>
    <definedName name="dri_network_mode">'Value Reference Tables'!$U$29</definedName>
    <definedName name="dri_nsxt_vip_fqdn">'Value Reference Tables'!$U$14</definedName>
    <definedName name="dri_ntp_servers">'Value Reference Tables'!$U$40</definedName>
    <definedName name="dri_overlay_transport_zone">'Value Reference Tables'!$U$17</definedName>
    <definedName name="dri_sddc_domain">'Value Reference Tables'!$U$8</definedName>
    <definedName name="dri_tier0_name">'Value Reference Tables'!$U$16</definedName>
    <definedName name="dri_vcenter_cluster">'Value Reference Tables'!$U$11</definedName>
    <definedName name="dri_vcenter_datacenter">'Value Reference Tables'!$U$10</definedName>
    <definedName name="dri_vcenter_fqdn">'Value Reference Tables'!$U$9</definedName>
    <definedName name="dri_vcenter_vds_name">'Value Reference Tables'!$U$12</definedName>
    <definedName name="dri_vcenter_vsan_datastore">'Value Reference Tables'!$U$13</definedName>
    <definedName name="esxi_root_password">'Value Reference Tables'!$L$13</definedName>
    <definedName name="first_domain_mgmt_only_viable">'Value Reference Tables'!$AA$100</definedName>
    <definedName name="first_domain_mgmt_vi_viable">'Value Reference Tables'!$AA$101</definedName>
    <definedName name="First_Instance">'Static Reference Tables'!$G$11:$G$13</definedName>
    <definedName name="flt_auto_node_pool_end_ip">Arkham!$R$35</definedName>
    <definedName name="flt_auto_node_pool_start_ip">Arkham!$R$34</definedName>
    <definedName name="flt_auto_sr_fqdn">Arkham!$R$32</definedName>
    <definedName name="flt_auto_sr_ip">Arkham!$R$26</definedName>
    <definedName name="flt_custom_management_cidr">Arkham!$B$3</definedName>
    <definedName name="flt_custom_management_gateway_ip">Arkham!$B$5</definedName>
    <definedName name="flt_custom_management_mask">Arkham!$B$6</definedName>
    <definedName name="flt_custom_management_mtu">Arkham!$B$7</definedName>
    <definedName name="flt_custom_management_network">Arkham!$B$4</definedName>
    <definedName name="flt_custom_management_vlan">Arkham!$B$8</definedName>
    <definedName name="flt_custom_network_auto_admin_password">'Value Reference Tables'!$L$321</definedName>
    <definedName name="flt_custom_network_auto_cluster_cidr_chosen">'Deploy Fleet Management Day-N'!$D$57</definedName>
    <definedName name="flt_custom_network_auto_nodea_ip">'Value Reference Tables'!$L$316</definedName>
    <definedName name="flt_custom_network_auto_nodeb_ip">'Value Reference Tables'!$L$317</definedName>
    <definedName name="flt_custom_network_auto_nodec_ip">'Value Reference Tables'!$L$318</definedName>
    <definedName name="flt_custom_network_auto_noded_ip">'Value Reference Tables'!$L$319</definedName>
    <definedName name="flt_custom_network_auto_nodee_ip">Arkham!$R$11</definedName>
    <definedName name="flt_custom_network_auto_nodef_ip">Arkham!$R$12</definedName>
    <definedName name="flt_custom_network_auto_prefix">'Value Reference Tables'!$L$314</definedName>
    <definedName name="flt_custom_network_auto_vip_fqdn">'Value Reference Tables'!$L$313</definedName>
    <definedName name="flt_custom_network_auto_vip_ip">'Value Reference Tables'!$L$315</definedName>
    <definedName name="flt_custom_network_chosen">'Deploy Fleet Management Day-N'!$B$7</definedName>
    <definedName name="flt_custom_network_flt_admin_password">'Value Reference Tables'!$L$295</definedName>
    <definedName name="flt_custom_network_flt_existing_chosen">'Deploy Fleet Management Day-N'!$D$25</definedName>
    <definedName name="flt_custom_network_flt_fqdn">'Value Reference Tables'!$L$292</definedName>
    <definedName name="flt_custom_network_flt_ip">'Value Reference Tables'!$L$293</definedName>
    <definedName name="flt_custom_network_flt_root_password">'Value Reference Tables'!$L$294</definedName>
    <definedName name="flt_custom_network_ha_mode_chosen">'Deploy Fleet Management Day-N'!$D$15</definedName>
    <definedName name="flt_custom_network_local_reg_gateway_ip">'Value Reference Tables'!$L$327</definedName>
    <definedName name="flt_custom_network_local_reg_mask">'Value Reference Tables'!$L$326</definedName>
    <definedName name="flt_custom_network_local_reg_pg">'Value Reference Tables'!$L$325</definedName>
    <definedName name="flt_custom_network_ops_admin_password">'Value Reference Tables'!$L$307</definedName>
    <definedName name="flt_custom_network_ops_collector_fqdn">'Value Reference Tables'!$L$308</definedName>
    <definedName name="flt_custom_network_ops_collector_ip">'Value Reference Tables'!$L$309</definedName>
    <definedName name="flt_custom_network_ops_collector_root_password">'Value Reference Tables'!$L$312</definedName>
    <definedName name="flt_custom_network_ops_collector_size_chosen">'Deploy Fleet Management Day-N'!$D$47</definedName>
    <definedName name="flt_custom_network_ops_collector_version">'Value Reference Tables'!$L$310</definedName>
    <definedName name="flt_custom_network_ops_existing_chosen">'Deploy Fleet Management Day-N'!$D$31</definedName>
    <definedName name="flt_custom_network_ops_nodea_fqdn">'Value Reference Tables'!$L$298</definedName>
    <definedName name="flt_custom_network_ops_nodea_ip">'Value Reference Tables'!$L$302</definedName>
    <definedName name="flt_custom_network_ops_nodeb_fqdn">'Value Reference Tables'!$L$299</definedName>
    <definedName name="flt_custom_network_ops_nodeb_ip">'Value Reference Tables'!$L$303</definedName>
    <definedName name="flt_custom_network_ops_nodec_fqdn">'Value Reference Tables'!$L$300</definedName>
    <definedName name="flt_custom_network_ops_nodec_ip">'Value Reference Tables'!$L$304</definedName>
    <definedName name="flt_custom_network_ops_root_password">'Value Reference Tables'!$L$306</definedName>
    <definedName name="flt_custom_network_ops_size_chosen">'Deploy Fleet Management Day-N'!$D$40</definedName>
    <definedName name="flt_custom_network_ops_vip_ip">'Value Reference Tables'!$L$301</definedName>
    <definedName name="flt_custom_network_result">'Deploy Fleet Management Day-N'!$D$7</definedName>
    <definedName name="flt_custom_network_vcf_ops_automation_chosen">'Deploy Fleet Management Day-N'!$B$8</definedName>
    <definedName name="flt_custom_network_vcf_ops_automation_result">'Deploy Fleet Management Day-N'!$D$8</definedName>
    <definedName name="flt_custom_network_x_reg_gateway_ip">'Value Reference Tables'!$L$324</definedName>
    <definedName name="flt_custom_network_x_reg_mask">'Value Reference Tables'!$L$323</definedName>
    <definedName name="flt_custom_network_x_reg_pg">'Value Reference Tables'!$L$322</definedName>
    <definedName name="flt_fc_fqdn">Arkham!$R$31</definedName>
    <definedName name="flt_fc_ip">Arkham!$R$25</definedName>
    <definedName name="flt_ic_fqdn">Arkham!$R$30</definedName>
    <definedName name="flt_ic_ip">Arkham!$R$24</definedName>
    <definedName name="flt_lc_fqdn">Arkham!$R$28</definedName>
    <definedName name="flt_lc_ip">Arkham!$R$22</definedName>
    <definedName name="flt_logs_admin_email">'Value Reference Tables'!$L$216</definedName>
    <definedName name="flt_logs_admin_password">'Value Reference Tables'!$L$208</definedName>
    <definedName name="flt_logs_admin_password_alias">'Value Reference Tables'!$L$207</definedName>
    <definedName name="flt_logs_admin_password_description">'Value Reference Tables'!$L$209</definedName>
    <definedName name="flt_logs_admin_username">'Value Reference Tables'!$L$210</definedName>
    <definedName name="flt_logs_affinty_rule_chosen">'Deploy Fleet Management Day-N'!$D$262</definedName>
    <definedName name="flt_logs_cert_alias">'Value Reference Tables'!$L$183</definedName>
    <definedName name="flt_logs_cert_country_code">'Value Reference Tables'!$L$187</definedName>
    <definedName name="flt_logs_cert_ip_addresses">'Value Reference Tables'!$L$195</definedName>
    <definedName name="flt_logs_cert_key_length_chosen">'Deploy Fleet Management Day-N'!$D$223</definedName>
    <definedName name="flt_logs_cert_locality">'Value Reference Tables'!$L$188</definedName>
    <definedName name="flt_logs_cert_organisation">'Value Reference Tables'!$L$185</definedName>
    <definedName name="flt_logs_cert_state">'Value Reference Tables'!$L$189</definedName>
    <definedName name="flt_logs_cert_type_chosen">'Deploy Fleet Management Day-N'!$D$213</definedName>
    <definedName name="flt_logs_chosen">'Deploy Fleet Management Day-N'!$B$10</definedName>
    <definedName name="flt_logs_cluster">'Value Reference Tables'!$L$205</definedName>
    <definedName name="flt_logs_common_name">'Value Reference Tables'!$L$184</definedName>
    <definedName name="flt_logs_configure_vip_chosen">'Deploy Fleet Management Day-N'!$D$263</definedName>
    <definedName name="flt_logs_datastore">'Value Reference Tables'!$L$206</definedName>
    <definedName name="flt_logs_disk_mode_chosen">'Deploy Fleet Management Day-N'!$D$240</definedName>
    <definedName name="flt_logs_fips_mode_chosen">'Deploy Fleet Management Day-N'!$D$260</definedName>
    <definedName name="flt_logs_folder">'Value Reference Tables'!$L$199</definedName>
    <definedName name="flt_logs_gateway_ip">'Value Reference Tables'!$L$202</definedName>
    <definedName name="flt_logs_ha_mode_chosen">'Deploy Fleet Management Day-N'!$D$211</definedName>
    <definedName name="flt_logs_install_type_chosen">'Deploy Fleet Management Day-N'!$D$209</definedName>
    <definedName name="flt_logs_install_version">'Deploy Fleet Management Day-N'!$D$210</definedName>
    <definedName name="flt_logs_mask">'Value Reference Tables'!$L$203</definedName>
    <definedName name="flt_logs_node_size_chosen">'Deploy Fleet Management Day-N'!$D$259</definedName>
    <definedName name="flt_logs_nodea_fqdn">'Value Reference Tables'!$L$192</definedName>
    <definedName name="flt_logs_nodea_hostname">'Value Reference Tables'!$L$217</definedName>
    <definedName name="flt_logs_nodea_ip">'Value Reference Tables'!$L$221</definedName>
    <definedName name="flt_logs_nodeb_fqdn">'Value Reference Tables'!$L$193</definedName>
    <definedName name="flt_logs_nodeb_hostname">'Value Reference Tables'!$L$218</definedName>
    <definedName name="flt_logs_nodeb_ip">'Value Reference Tables'!$L$222</definedName>
    <definedName name="flt_logs_nodec_fqdn">'Value Reference Tables'!$L$194</definedName>
    <definedName name="flt_logs_nodec_hostname">'Value Reference Tables'!$L$219</definedName>
    <definedName name="flt_logs_nodec_ip">'Value Reference Tables'!$L$223</definedName>
    <definedName name="flt_logs_ou_cert">'Value Reference Tables'!$L$186</definedName>
    <definedName name="flt_logs_portgroup">'Value Reference Tables'!$L$201</definedName>
    <definedName name="flt_logs_resource_pool">'Value Reference Tables'!$L$200</definedName>
    <definedName name="flt_logs_result">'Deploy Fleet Management Day-N'!$D$10</definedName>
    <definedName name="flt_logs_root_password">'Value Reference Tables'!$L$212</definedName>
    <definedName name="flt_logs_root_password_alias">'Value Reference Tables'!$L$211</definedName>
    <definedName name="flt_logs_root_password_description">'Value Reference Tables'!$L$213</definedName>
    <definedName name="flt_logs_root_username">'Value Reference Tables'!$L$214</definedName>
    <definedName name="flt_logs_time_sync_mode">'Deploy Fleet Management Day-N'!$D$268</definedName>
    <definedName name="flt_logs_time_sync_mode_chosen">'Deploy Fleet Management Day-N'!$D$245</definedName>
    <definedName name="flt_logs_upgrade_vm_compatabilty_chosen">'Deploy Fleet Management Day-N'!$D$264</definedName>
    <definedName name="flt_logs_use_english_chosen">'Deploy Fleet Management Day-N'!$D$265</definedName>
    <definedName name="flt_logs_vcenter_fqdn">'Value Reference Tables'!$L$204</definedName>
    <definedName name="flt_logs_vip_fqdn">'Value Reference Tables'!$L$191</definedName>
    <definedName name="flt_logs_vip_ip">'Value Reference Tables'!$L$220</definedName>
    <definedName name="flt_net_admin_password">'Value Reference Tables'!$L$270</definedName>
    <definedName name="flt_net_admin_password_alias">'Value Reference Tables'!$L$269</definedName>
    <definedName name="flt_net_admin_password_description">'Value Reference Tables'!$L$271</definedName>
    <definedName name="flt_net_admin_username">'Value Reference Tables'!$L$272</definedName>
    <definedName name="flt_net_affinty_rule_chosen">'Deploy Fleet Management Day-N'!$D$334</definedName>
    <definedName name="flt_net_cert_alias">'Value Reference Tables'!$L$229</definedName>
    <definedName name="flt_net_cert_country_code">'Value Reference Tables'!$L$237</definedName>
    <definedName name="flt_net_cert_key_length_chosen">'Deploy Fleet Management Day-N'!$D$301</definedName>
    <definedName name="flt_net_cert_locality">'Value Reference Tables'!$L$238</definedName>
    <definedName name="flt_net_cert_organisation">'Value Reference Tables'!$L$235</definedName>
    <definedName name="flt_net_cert_state">'Value Reference Tables'!$L$239</definedName>
    <definedName name="flt_net_cert_type_chosen">'Deploy Fleet Management Day-N'!$D$292</definedName>
    <definedName name="flt_net_chosen">'Deploy Fleet Management Day-N'!$B$11</definedName>
    <definedName name="flt_net_cluster">'Value Reference Tables'!$L$254</definedName>
    <definedName name="flt_net_common_name">'Value Reference Tables'!$L$234</definedName>
    <definedName name="flt_net_console_password">'Value Reference Tables'!$L$276</definedName>
    <definedName name="flt_net_datastore">'Value Reference Tables'!$L$257</definedName>
    <definedName name="flt_net_disk_mode_chosen">'Deploy Fleet Management Day-N'!$D$318</definedName>
    <definedName name="flt_net_fips_mode_chosen">'Deploy Fleet Management Day-N'!$D$332</definedName>
    <definedName name="flt_net_folder">'Value Reference Tables'!$L$255</definedName>
    <definedName name="flt_net_ha_mode_chosen">'Deploy Fleet Management Day-N'!$D$290</definedName>
    <definedName name="flt_net_install_type_chosen">'Deploy Fleet Management Day-N'!$D$288</definedName>
    <definedName name="flt_net_install_version">'Deploy Fleet Management Day-N'!$D$289</definedName>
    <definedName name="flt_net_integrate_auth_chosen">'Deploy Fleet Management Day-N'!$D$335</definedName>
    <definedName name="flt_net_node_gateway_ip">'Value Reference Tables'!$L$261</definedName>
    <definedName name="flt_net_node_mask">'Value Reference Tables'!$L$262</definedName>
    <definedName name="flt_net_node_portgroup">'Value Reference Tables'!$L$259</definedName>
    <definedName name="flt_net_nodea_fqdn">'Value Reference Tables'!$L$241</definedName>
    <definedName name="flt_net_nodea_hostname">'Value Reference Tables'!$L$249</definedName>
    <definedName name="flt_net_nodea_ip">'Value Reference Tables'!$L$245</definedName>
    <definedName name="flt_net_nodea_size_chosen">'Deploy Fleet Management Day-N'!$D$344</definedName>
    <definedName name="flt_net_nodeb_fqdn">'Value Reference Tables'!$L$242</definedName>
    <definedName name="flt_net_nodeb_hostname">'Value Reference Tables'!$L$250</definedName>
    <definedName name="flt_net_nodeb_ip">'Value Reference Tables'!$L$246</definedName>
    <definedName name="flt_net_nodeb_size_chosen">'Deploy Fleet Management Day-N'!$D$348</definedName>
    <definedName name="flt_net_nodec_fqdn">'Value Reference Tables'!$L$243</definedName>
    <definedName name="flt_net_nodec_hostname">'Value Reference Tables'!$L$251</definedName>
    <definedName name="flt_net_nodec_ip">'Value Reference Tables'!$L$247</definedName>
    <definedName name="flt_net_nodec_size_chosen">'Deploy Fleet Management Day-N'!$D$352</definedName>
    <definedName name="flt_net_ou_cert">'Value Reference Tables'!$L$236</definedName>
    <definedName name="flt_net_platform_password">'Value Reference Tables'!$L$274</definedName>
    <definedName name="flt_net_prxy_fqdn">'Value Reference Tables'!$L$244</definedName>
    <definedName name="flt_net_prxy_gateway_ip">'Value Reference Tables'!$L$280</definedName>
    <definedName name="flt_net_prxy_hostname">'Value Reference Tables'!$L$252</definedName>
    <definedName name="flt_net_prxy_ip">'Value Reference Tables'!$L$248</definedName>
    <definedName name="flt_net_prxy_mask">'Value Reference Tables'!$L$279</definedName>
    <definedName name="flt_net_prxy_portgroup">'Value Reference Tables'!$L$278</definedName>
    <definedName name="flt_net_prxy_size_chosen">'Deploy Fleet Management Day-N'!$D$359</definedName>
    <definedName name="flt_net_resource_pool">'Value Reference Tables'!$L$256</definedName>
    <definedName name="flt_net_result">'Deploy Fleet Management Day-N'!$D$11</definedName>
    <definedName name="flt_net_support_password">'Value Reference Tables'!$L$275</definedName>
    <definedName name="flt_net_time_sync_mode_chosen">'Deploy Fleet Management Day-N'!$D$323</definedName>
    <definedName name="flt_net_vcenter_fqdn">'Value Reference Tables'!$L$258</definedName>
    <definedName name="flt_net_vcenter_list">'Value Reference Tables'!$L$277</definedName>
    <definedName name="flt_sr_fqdn">Arkham!$R$29</definedName>
    <definedName name="flt_sr_ip">Arkham!$R$23</definedName>
    <definedName name="flt_vcfms_node_pool_end_ip">Arkham!$R$41</definedName>
    <definedName name="flt_vcfms_node_pool_start_ip">Arkham!$R$40</definedName>
    <definedName name="flt_vidb_additional_vips">'Value Reference Tables'!$C$234</definedName>
    <definedName name="flt_vidb_base_dn">'Value Reference Tables'!$C$177</definedName>
    <definedName name="flt_vidb_bind_password">'Value Reference Tables'!$C$179</definedName>
    <definedName name="flt_vidb_bind_username">'Value Reference Tables'!$C$178</definedName>
    <definedName name="flt_vidb_cert_alias">'Value Reference Tables'!$C$149</definedName>
    <definedName name="flt_vidb_cert_common_name">'Value Reference Tables'!$C$150</definedName>
    <definedName name="flt_vidb_cert_country_code">'Value Reference Tables'!$C$153</definedName>
    <definedName name="flt_vidb_cert_key_length_chosen">'Deploy Fleet Management Day-N'!$D$136</definedName>
    <definedName name="flt_vidb_cert_locality">'Value Reference Tables'!$C$154</definedName>
    <definedName name="flt_vidb_cert_organisation">'Value Reference Tables'!$C$151</definedName>
    <definedName name="flt_vidb_cert_state">'Value Reference Tables'!$C$155</definedName>
    <definedName name="flt_vidb_cert_type_chosen">'Deploy Fleet Management Day-N'!$D$127</definedName>
    <definedName name="flt_vidb_chosen">'Deploy Fleet Management Day-N'!$B$9</definedName>
    <definedName name="flt_vidb_cluster">'Value Reference Tables'!$C$163</definedName>
    <definedName name="flt_vidb_datastore">'Value Reference Tables'!$C$164</definedName>
    <definedName name="flt_vidb_deployment_mode">'Value Reference Tables'!$C$165</definedName>
    <definedName name="flt_vidb_directory_name">'Value Reference Tables'!$C$167</definedName>
    <definedName name="flt_vidb_directory_search_chosen">'Deploy Fleet Management Day-N'!$D$188</definedName>
    <definedName name="flt_vidb_distinguished_name">'Value Reference Tables'!$C$183</definedName>
    <definedName name="flt_vidb_employeeID">'Value Reference Tables'!$C$184</definedName>
    <definedName name="flt_vidb_encrypted_cert">'Value Reference Tables'!$C$171</definedName>
    <definedName name="flt_vidb_encrypted_connection_chosen">'Deploy Fleet Management Day-N'!$D$182</definedName>
    <definedName name="flt_vidb_first_name">'Value Reference Tables'!$C$181</definedName>
    <definedName name="flt_vidb_folder">'Value Reference Tables'!$C$157</definedName>
    <definedName name="flt_vidb_gateway_ip">'Value Reference Tables'!$C$158</definedName>
    <definedName name="flt_vidb_global_catalog_chosen">'Deploy Fleet Management Day-N'!$D$181</definedName>
    <definedName name="flt_vidb_group_base_dn">'Value Reference Tables'!$C$187</definedName>
    <definedName name="flt_vidb_hostname">'Value Reference Tables'!$C$49</definedName>
    <definedName name="flt_vidb_identity_provider_chosen">'Deploy Fleet Management Day-N'!$D$178</definedName>
    <definedName name="flt_vidb_internal_cidr_chosen">'Deploy Fleet Management Day-N'!$D$167</definedName>
    <definedName name="flt_vidb_last_name">'Value Reference Tables'!$C$182</definedName>
    <definedName name="flt_vidb_mail">'Value Reference Tables'!$C$185</definedName>
    <definedName name="flt_vidb_mask">'Value Reference Tables'!$C$159</definedName>
    <definedName name="flt_vidb_node_prefix">'Value Reference Tables'!$C$235</definedName>
    <definedName name="flt_vidb_nodea_ip">'Value Reference Tables'!$C$30</definedName>
    <definedName name="flt_vidb_nodeb_ip">'Value Reference Tables'!$C$31</definedName>
    <definedName name="flt_vidb_nodec_ip">'Value Reference Tables'!$C$32</definedName>
    <definedName name="flt_vidb_noded_ip">'Value Reference Tables'!$C$33</definedName>
    <definedName name="flt_vidb_ou_cert">'Value Reference Tables'!$C$152</definedName>
    <definedName name="flt_vidb_password">'Value Reference Tables'!$C$236</definedName>
    <definedName name="flt_vidb_password_alias">'Value Reference Tables'!$C$237</definedName>
    <definedName name="flt_vidb_password_description">'Value Reference Tables'!$C$238</definedName>
    <definedName name="flt_vidb_pg">'Value Reference Tables'!$C$161</definedName>
    <definedName name="flt_vidb_primary_domain_controller">'Value Reference Tables'!$C$172</definedName>
    <definedName name="flt_vidb_primary_domain_controller_port">'Value Reference Tables'!$C$173</definedName>
    <definedName name="flt_vidb_resource_pool">'Value Reference Tables'!$C$160</definedName>
    <definedName name="flt_vidb_result">'Deploy Fleet Management Day-N'!$D$9</definedName>
    <definedName name="flt_vidb_root_username">'Value Reference Tables'!$C$239</definedName>
    <definedName name="flt_vidb_secondary_domain_controller">'Value Reference Tables'!$C$174</definedName>
    <definedName name="flt_vidb_secondary_domain_controller_port">'Value Reference Tables'!$C$175</definedName>
    <definedName name="flt_vidb_server_location_chosen">'Deploy Fleet Management Day-N'!$D$180</definedName>
    <definedName name="flt_vidb_size_chosen">'Deploy Fleet Management Day-N'!$D$125</definedName>
    <definedName name="flt_vidb_system_user_alias">'Value Reference Tables'!$C$240</definedName>
    <definedName name="flt_vidb_system_user_description">'Value Reference Tables'!$C$242</definedName>
    <definedName name="flt_vidb_system_user_password">'Value Reference Tables'!$C$241</definedName>
    <definedName name="flt_vidb_time_sync_mode_chosen">'Deploy Fleet Management Day-N'!$D$151</definedName>
    <definedName name="flt_vidb_type_chosen">'Deploy Fleet Management Day-N'!$D$123</definedName>
    <definedName name="flt_vidb_user_base_dn">'Value Reference Tables'!$C$188</definedName>
    <definedName name="flt_vidb_user_name">'Value Reference Tables'!$C$180</definedName>
    <definedName name="flt_vidb_user_principal_name">'Value Reference Tables'!$C$186</definedName>
    <definedName name="flt_vidb_vcenter_fqdn">'Value Reference Tables'!$C$162</definedName>
    <definedName name="flt_vidb_version">'Value Reference Tables'!$C$147</definedName>
    <definedName name="flt_vidb_vip_fqdn">'Value Reference Tables'!$C$67</definedName>
    <definedName name="flt_vidb_vip_ip">'Value Reference Tables'!$C$29</definedName>
    <definedName name="global_env_admin_password">'Value Reference Tables'!$AA$18</definedName>
    <definedName name="global_env_admin_password_alias">'Value Reference Tables'!$AA$17</definedName>
    <definedName name="global_env_admin_username">'Value Reference Tables'!$AA$19</definedName>
    <definedName name="group_gg_kub_admins">'Value Reference Tables'!$L$131</definedName>
    <definedName name="group_gg_kub_readonly">'Value Reference Tables'!$L$132</definedName>
    <definedName name="group_gg_nsx_auditors">'Value Reference Tables'!$L$160</definedName>
    <definedName name="group_gg_nsx_enterprise_admins">'Value Reference Tables'!$L$158</definedName>
    <definedName name="group_gg_nsx_network_admins">'Value Reference Tables'!$L$159</definedName>
    <definedName name="group_gg_sso_admins">'Value Reference Tables'!$L$157</definedName>
    <definedName name="group_gg_vc_admins">'Value Reference Tables'!$L$155</definedName>
    <definedName name="group_gg_vc_read_only">'Value Reference Tables'!$L$156</definedName>
    <definedName name="group_gg_vcf_admins">'Value Reference Tables'!$L$152</definedName>
    <definedName name="group_gg_vcf_operators">'Value Reference Tables'!$L$153</definedName>
    <definedName name="group_gg_vcf_viewers">'Value Reference Tables'!$L$154</definedName>
    <definedName name="group_gg_vra_cloud_assembly_admins">'Value Reference Tables'!$L$146</definedName>
    <definedName name="group_gg_vra_cloud_assembly_users">'Value Reference Tables'!$L$147</definedName>
    <definedName name="group_gg_vra_cloud_assembly_viewers">'Value Reference Tables'!$L$148</definedName>
    <definedName name="group_gg_vra_orchestrator_viewers">'Value Reference Tables'!$L$149</definedName>
    <definedName name="group_gg_vra_org_owners">'Value Reference Tables'!$L$145</definedName>
    <definedName name="group_gg_vra_project_admins_sample">'Value Reference Tables'!$L$150</definedName>
    <definedName name="group_gg_vra_project_users_sample">'Value Reference Tables'!$L$151</definedName>
    <definedName name="group_gg_vrli_admins">'Value Reference Tables'!$L$142</definedName>
    <definedName name="group_gg_vrli_users">'Value Reference Tables'!$L$143</definedName>
    <definedName name="group_gg_vrli_viewers">'Value Reference Tables'!$L$144</definedName>
    <definedName name="group_gg_vrops_admins">'Value Reference Tables'!$L$139</definedName>
    <definedName name="group_gg_vrops_content_admins">'Value Reference Tables'!$L$140</definedName>
    <definedName name="group_gg_vrops_read_only">'Value Reference Tables'!$L$141</definedName>
    <definedName name="group_gg_vrslcm_admins">'Value Reference Tables'!$L$136</definedName>
    <definedName name="group_gg_vrslcm_content_developers">'Value Reference Tables'!$L$138</definedName>
    <definedName name="group_gg_vrslcm_release_managers">'Value Reference Tables'!$L$137</definedName>
    <definedName name="group_parent_gg_wsa_admins">'Value Reference Tables'!$L$133</definedName>
    <definedName name="group_parent_gg_wsa_directory_admins">'Value Reference Tables'!$L$134</definedName>
    <definedName name="group_parent_gg_wsa_read_only">'Value Reference Tables'!$L$135</definedName>
    <definedName name="input_administrator_vsphere_local_password">'Deploy Management Domain'!$L$97</definedName>
    <definedName name="input_air_GPU_network_operator_namespace">'Private AI Ready Infrastructure'!$D$82</definedName>
    <definedName name="input_air_GPU_operator_namespace">'Private AI Ready Infrastructure'!$D$77</definedName>
    <definedName name="input_air_GPU_VM_class">'Private AI Ready Infrastructure'!$D$59</definedName>
    <definedName name="input_air_license">'Private AI Ready Infrastructure'!$D$9</definedName>
    <definedName name="input_avilb_root_password">'Configure Management Domain'!$D$212</definedName>
    <definedName name="input_ca_administrator_password">'Configure Management Domain'!$D$35</definedName>
    <definedName name="input_ca_administrator_username">'Configure Management Domain'!$D$34</definedName>
    <definedName name="input_ca_algorithm">'Configure Management Domain'!$D$58</definedName>
    <definedName name="input_ca_country">'Configure Management Domain'!$D$61</definedName>
    <definedName name="input_ca_email_address">'Configure Management Domain'!$D$64</definedName>
    <definedName name="input_ca_key_size">'Configure Management Domain'!$D$65</definedName>
    <definedName name="input_ca_locality">'Configure Management Domain'!$D$63</definedName>
    <definedName name="input_ca_organization">'Configure Management Domain'!$D$60</definedName>
    <definedName name="input_ca_organization_unit">'Configure Management Domain'!$D$59</definedName>
    <definedName name="input_ca_state">'Configure Management Domain'!$D$62</definedName>
    <definedName name="input_ca_template_name">'Configure Management Domain'!$D$45</definedName>
    <definedName name="input_cbr_aria_logs_key">'Cloud-Based Ransomware Recovery'!$D$39</definedName>
    <definedName name="input_cbr_aria_logs_url">'Cloud-Based Ransomware Recovery'!$D$38</definedName>
    <definedName name="input_cbr_firewall_group">'Cloud-Based Ransomware Recovery'!$D$26</definedName>
    <definedName name="input_cbr_firewall_ip_addresses">'Cloud-Based Ransomware Recovery'!$D$27</definedName>
    <definedName name="input_cbr_firewall_rule_vcenter">'Cloud-Based Ransomware Recovery'!$D$25</definedName>
    <definedName name="input_cbr_recovery_host_count">'Cloud-Based Ransomware Recovery'!$D$21</definedName>
    <definedName name="input_cbr_recovery_host_type">'Cloud-Based Ransomware Recovery'!$D$20</definedName>
    <definedName name="input_cbr_recovery_management_subnet">'Cloud-Based Ransomware Recovery'!$D$24</definedName>
    <definedName name="input_cbr_recovery_region">'Cloud-Based Ransomware Recovery'!$D$19</definedName>
    <definedName name="input_cbr_recovery_sddc_name">'Cloud-Based Ransomware Recovery'!$D$18</definedName>
    <definedName name="input_cbr_recovery_subnet">'Cloud-Based Ransomware Recovery'!$D$23</definedName>
    <definedName name="input_cbr_recovery_vpc">'Cloud-Based Ransomware Recovery'!$D$22</definedName>
    <definedName name="input_cbr_vcdr_anti_affinity">'Cloud-Based Ransomware Recovery'!$D$35</definedName>
    <definedName name="input_cbr_vcdr_cdp1_hostname">'Cloud-Based Ransomware Recovery'!$E$9</definedName>
    <definedName name="input_cbr_vcdr_cdp1_ip">'Cloud-Based Ransomware Recovery'!$G$9</definedName>
    <definedName name="input_cbr_vcdr_cdp2_hostname">'Cloud-Based Ransomware Recovery'!$E$10</definedName>
    <definedName name="input_cbr_vcdr_cdp2_ip">'Cloud-Based Ransomware Recovery'!$G$10</definedName>
    <definedName name="input_cbr_vcdr_cloud_file_system">'Cloud-Based Ransomware Recovery'!$D$28</definedName>
    <definedName name="input_cbr_vcdr_email_recipient">'Cloud-Based Ransomware Recovery'!$D$36</definedName>
    <definedName name="input_cbr_vcdr_email_sender">'Cloud-Based Ransomware Recovery'!$D$37</definedName>
    <definedName name="input_cbr_vcdr_label">'Cloud-Based Ransomware Recovery'!$D$34</definedName>
    <definedName name="input_cbr_vcdr_orchestrator_fqdn">'Cloud-Based Ransomware Recovery'!$D$32</definedName>
    <definedName name="input_cbr_vcdr_ova">'Cloud-Based Ransomware Recovery'!$D$31</definedName>
    <definedName name="input_cbr_vcdr_passcode">'Cloud-Based Ransomware Recovery'!$D$33</definedName>
    <definedName name="input_cbr_vcdr_site_name">'Cloud-Based Ransomware Recovery'!$D$29</definedName>
    <definedName name="input_cbr_vcdr_timezone">'Cloud-Based Ransomware Recovery'!$D$30</definedName>
    <definedName name="input_cbr_vcdr_vsphere_role">'Cloud-Based Ransomware Recovery'!$D$14</definedName>
    <definedName name="input_cbr_vm_folder">'Cloud-Based Ransomware Recovery'!$D$17</definedName>
    <definedName name="input_cbw_hcx_cdp_fqdn">'Cross Cloud Mobility'!$D$65</definedName>
    <definedName name="input_ccm_aws_admin_password">'Cross Cloud Mobility'!$D$37</definedName>
    <definedName name="input_ccm_aws_admin_ssouser">'Cross Cloud Mobility'!$D$36</definedName>
    <definedName name="input_ccm_aws_host_count">'Cross Cloud Mobility'!$D$23</definedName>
    <definedName name="input_ccm_aws_host_type">'Cross Cloud Mobility'!$D$22</definedName>
    <definedName name="input_ccm_aws_management_subnet">'Cross Cloud Mobility'!$D$26</definedName>
    <definedName name="input_ccm_aws_region">'Cross Cloud Mobility'!$D$21</definedName>
    <definedName name="input_ccm_aws_sddc_name">'Cross Cloud Mobility'!$D$20</definedName>
    <definedName name="input_ccm_aws_subnet">'Cross Cloud Mobility'!$D$25</definedName>
    <definedName name="input_ccm_aws_vpc">'Cross Cloud Mobility'!$D$24</definedName>
    <definedName name="input_ccm_firewall_group">'Cross Cloud Mobility'!$D$29</definedName>
    <definedName name="input_ccm_firewall_ip_addresses">'Cross Cloud Mobility'!$D$30</definedName>
    <definedName name="input_ccm_firewall_rule_hcx">'Cross Cloud Mobility'!$D$28</definedName>
    <definedName name="input_ccm_firewall_rule_vcenter">'Cross Cloud Mobility'!$D$27</definedName>
    <definedName name="input_ccm_hcx_admin_password">'Cross Cloud Mobility'!$D$33</definedName>
    <definedName name="input_ccm_hcx_cdp_hostname">'Cross Cloud Mobility'!$E$9</definedName>
    <definedName name="input_ccm_hcx_cdp_ip">'Cross Cloud Mobility'!$G$9</definedName>
    <definedName name="input_ccm_hcx_compute_profile">'Cross Cloud Mobility'!$D$38</definedName>
    <definedName name="input_ccm_hcx_dc_location">'Cross Cloud Mobility'!$D$32</definedName>
    <definedName name="input_ccm_hcx_license">'Cross Cloud Mobility'!$D$31</definedName>
    <definedName name="input_ccm_hcx_mgmt_network_ip_range">'Cross Cloud Mobility'!$F$11</definedName>
    <definedName name="input_ccm_hcx_remote_url">'Cross Cloud Mobility'!$D$35</definedName>
    <definedName name="input_ccm_hcx_resource_pool">'Cross Cloud Mobility'!$D$19</definedName>
    <definedName name="input_ccm_hcx_root_password">'Cross Cloud Mobility'!$D$34</definedName>
    <definedName name="input_ccm_hcx_service_mesh">'Cross Cloud Mobility'!$D$39</definedName>
    <definedName name="input_ccm_hcx_vm_folder">'Cross Cloud Mobility'!$D$18</definedName>
    <definedName name="input_ccm_hcx_vmotion_network_ip_range">'Cross Cloud Mobility'!$F$12</definedName>
    <definedName name="input_ccm_hcx_vsphere_role">'Cross Cloud Mobility'!$D$16</definedName>
    <definedName name="input_ccm_vm_folder">'Cross Cloud Mobility'!$D$17</definedName>
    <definedName name="input_certificate_authority_fqdn">'Configure Management Domain'!$D$33</definedName>
    <definedName name="input_certificate_authority_name">'Configure Management Domain'!$D$67</definedName>
    <definedName name="input_child_ad_groups_ou">'Active Directory Inputs'!$E$11</definedName>
    <definedName name="input_child_ad_users_ou">'Active Directory Inputs'!$G$11</definedName>
    <definedName name="input_child_dns_zone">Arkham!$C$11</definedName>
    <definedName name="input_child_svc_nsx_ad_password">'Active Directory Inputs'!$G$19</definedName>
    <definedName name="input_child_svc_nsx_ad_user">'Active Directory Inputs'!$E$19</definedName>
    <definedName name="input_child_svc_vsphere_ad_password">'Active Directory Inputs'!$G$18</definedName>
    <definedName name="input_child_svc_vsphere_ad_user">'Active Directory Inputs'!$E$18</definedName>
    <definedName name="input_cluster_az1_host_overlay_cidr">'Deploy Cluster'!$D$236</definedName>
    <definedName name="input_cluster_az1_host_overlay_gateway_ip">'Deploy Cluster'!$D$239</definedName>
    <definedName name="input_cluster_az1_host_overlay_network_pool_description">'Deploy Cluster'!$D$235</definedName>
    <definedName name="input_cluster_az1_host_overlay_network_pool_name">'Deploy Cluster'!$D$234</definedName>
    <definedName name="input_cluster_az1_host_overlay_network_profile_name">'Deploy Cluster'!$D$242</definedName>
    <definedName name="input_cluster_az1_host_overlay_pool_end_ip">'Deploy Cluster'!$D$238</definedName>
    <definedName name="input_cluster_az1_host_overlay_pool_start_ip">'Deploy Cluster'!$D$237</definedName>
    <definedName name="input_cluster_az1_host_overlay_uplink_profile_name">'Deploy Cluster'!$D$246</definedName>
    <definedName name="input_cluster_az1_host_overlay_vlan">'Deploy Cluster'!$D$231</definedName>
    <definedName name="input_cluster_az1_host1_fqdn">'Deploy Cluster'!$D$84</definedName>
    <definedName name="input_cluster_az1_host1_mgmt_ip">'Deploy Cluster'!$D$29</definedName>
    <definedName name="input_cluster_az1_host10_fqdn">'Deploy Cluster'!$D$93</definedName>
    <definedName name="input_cluster_az1_host10_mgmt_ip">'Deploy Cluster'!$D$38</definedName>
    <definedName name="input_cluster_az1_host11_fqdn">'Deploy Cluster'!$D$94</definedName>
    <definedName name="input_cluster_az1_host11_mgmt_ip">'Deploy Cluster'!$D$39</definedName>
    <definedName name="input_cluster_az1_host12_fqdn">'Deploy Cluster'!$D$95</definedName>
    <definedName name="input_cluster_az1_host12_mgmt_ip">'Deploy Cluster'!$D$40</definedName>
    <definedName name="input_cluster_az1_host13_fqdn">'Deploy Cluster'!$D$96</definedName>
    <definedName name="input_cluster_az1_host13_mgmt_ip">'Deploy Cluster'!$D$41</definedName>
    <definedName name="input_cluster_az1_host14_fqdn">'Deploy Cluster'!$D$97</definedName>
    <definedName name="input_cluster_az1_host14_mgmt_ip">'Deploy Cluster'!$D$42</definedName>
    <definedName name="input_cluster_az1_host15_fqdn">'Deploy Cluster'!$D$98</definedName>
    <definedName name="input_cluster_az1_host15_mgmt_ip">'Deploy Cluster'!$D$43</definedName>
    <definedName name="input_cluster_az1_host16_fqdn">'Deploy Cluster'!$D$99</definedName>
    <definedName name="input_cluster_az1_host16_mgmt_ip">'Deploy Cluster'!$D$44</definedName>
    <definedName name="input_cluster_az1_host2_fqdn">'Deploy Cluster'!$D$85</definedName>
    <definedName name="input_cluster_az1_host2_mgmt_ip">'Deploy Cluster'!$D$30</definedName>
    <definedName name="input_cluster_az1_host3_fqdn">'Deploy Cluster'!$D$86</definedName>
    <definedName name="input_cluster_az1_host3_mgmt_ip">'Deploy Cluster'!$D$31</definedName>
    <definedName name="input_cluster_az1_host4_fqdn">'Deploy Cluster'!$D$87</definedName>
    <definedName name="input_cluster_az1_host4_mgmt_ip">'Deploy Cluster'!$D$32</definedName>
    <definedName name="input_cluster_az1_host5_fqdn">'Deploy Cluster'!$D$88</definedName>
    <definedName name="input_cluster_az1_host5_mgmt_ip">'Deploy Cluster'!$D$33</definedName>
    <definedName name="input_cluster_az1_host6_fqdn">'Deploy Cluster'!$D$89</definedName>
    <definedName name="input_cluster_az1_host6_mgmt_ip">'Deploy Cluster'!$D$34</definedName>
    <definedName name="input_cluster_az1_host7_fqdn">'Deploy Cluster'!$D$90</definedName>
    <definedName name="input_cluster_az1_host7_mgmt_ip">'Deploy Cluster'!$D$35</definedName>
    <definedName name="input_cluster_az1_host8_fqdn">'Deploy Cluster'!$D$91</definedName>
    <definedName name="input_cluster_az1_host8_mgmt_ip">'Deploy Cluster'!$D$36</definedName>
    <definedName name="input_cluster_az1_host9_fqdn">'Deploy Cluster'!$D$92</definedName>
    <definedName name="input_cluster_az1_host9_mgmt_ip">'Deploy Cluster'!$D$37</definedName>
    <definedName name="input_cluster_az1_mgmt_cidr">'Deploy Cluster'!$D$26</definedName>
    <definedName name="input_cluster_az1_mgmt_gateway_ip">'Deploy Cluster'!$D$25</definedName>
    <definedName name="input_cluster_az1_mgmt_mtu">'Deploy Cluster'!$D$27</definedName>
    <definedName name="input_cluster_az1_mgmt_pg">'Deploy Cluster'!$D$200</definedName>
    <definedName name="input_cluster_az1_mgmt_vlan">'Deploy Cluster'!$D$24</definedName>
    <definedName name="input_cluster_az1_mgmt_vm_pg">'Deploy Cluster'!$D$205</definedName>
    <definedName name="input_cluster_az1_nsx_uplink_count">'Deploy Cluster'!$D$243</definedName>
    <definedName name="input_cluster_az1_nsx_uplink1">'Deploy Cluster'!$D$244</definedName>
    <definedName name="input_cluster_az1_nsx_uplink1_active">'Deploy Cluster'!$D$248</definedName>
    <definedName name="input_cluster_az1_nsx_uplink2">'Deploy Cluster'!$D$245</definedName>
    <definedName name="input_cluster_az1_nsx_uplink2_active">'Deploy Cluster'!$D$249</definedName>
    <definedName name="input_cluster_az1_pool_name">'Deploy Cluster'!$D$48</definedName>
    <definedName name="input_cluster_az1_principal_storage_gateway_ip">'Deploy Cluster'!$D$62</definedName>
    <definedName name="input_cluster_az1_principal_storage_mask">'Deploy Cluster'!$D$61</definedName>
    <definedName name="input_cluster_az1_principal_storage_mtu">'Deploy Cluster'!$D$59</definedName>
    <definedName name="input_cluster_az1_principal_storage_network">'Deploy Cluster'!$D$60</definedName>
    <definedName name="input_cluster_az1_principal_storage_pg">'Deploy Cluster'!$D$215</definedName>
    <definedName name="input_cluster_az1_principal_storage_pool_end_ip">'Deploy Cluster'!$D$64</definedName>
    <definedName name="input_cluster_az1_principal_storage_pool_start_ip">'Deploy Cluster'!$D$63</definedName>
    <definedName name="input_cluster_az1_principal_storage_vlan">'Deploy Cluster'!$D$58</definedName>
    <definedName name="input_cluster_az1_secondary_storage_gateway_ip">'Deploy Cluster'!$D$70</definedName>
    <definedName name="input_cluster_az1_secondary_storage_mask">'Deploy Cluster'!$D$69</definedName>
    <definedName name="input_cluster_az1_secondary_storage_mtu">'Deploy Cluster'!$D$67</definedName>
    <definedName name="input_cluster_az1_secondary_storage_network">'Deploy Cluster'!$D$68</definedName>
    <definedName name="input_cluster_az1_secondary_storage_pool_end_ip">'Deploy Cluster'!$D$72</definedName>
    <definedName name="input_cluster_az1_secondary_storage_pool_start_ip">'Deploy Cluster'!$D$71</definedName>
    <definedName name="input_cluster_az1_secondary_storage_vlan">'Deploy Cluster'!$D$66</definedName>
    <definedName name="input_cluster_az1_storage_cluster_gateway_ip">'Deploy Cluster'!$D$78</definedName>
    <definedName name="input_cluster_az1_storage_cluster_mask">'Deploy Cluster'!$D$77</definedName>
    <definedName name="input_cluster_az1_storage_cluster_mtu">'Deploy Cluster'!$D$75</definedName>
    <definedName name="input_cluster_az1_storage_cluster_network">'Deploy Cluster'!$D$76</definedName>
    <definedName name="input_cluster_az1_storage_cluster_pool_end_ip">'Deploy Cluster'!$D$80</definedName>
    <definedName name="input_cluster_az1_storage_cluster_pool_start_ip">'Deploy Cluster'!$D$79</definedName>
    <definedName name="input_cluster_az1_storage_cluster_vlan">'Deploy Cluster'!$D$74</definedName>
    <definedName name="input_cluster_az1_vmotion_gateway_ip">'Deploy Cluster'!$D$54</definedName>
    <definedName name="input_cluster_az1_vmotion_mask">'Deploy Cluster'!$D$53</definedName>
    <definedName name="input_cluster_az1_vmotion_mtu">'Deploy Cluster'!$D$51</definedName>
    <definedName name="input_cluster_az1_vmotion_network">'Deploy Cluster'!$D$52</definedName>
    <definedName name="input_cluster_az1_vmotion_pg">'Deploy Cluster'!$D$210</definedName>
    <definedName name="input_cluster_az1_vmotion_pool_end_ip">'Deploy Cluster'!$D$56</definedName>
    <definedName name="input_cluster_az1_vmotion_pool_start_ip">'Deploy Cluster'!$D$55</definedName>
    <definedName name="input_cluster_az1_vmotion_vlan">'Deploy Cluster'!$D$50</definedName>
    <definedName name="input_cluster_az1_vsan_storage_client_pg">'Deploy Cluster'!$D$220</definedName>
    <definedName name="input_cluster_az2_host_overlay_cidr">'Deploy Cluster'!$D$410</definedName>
    <definedName name="input_cluster_az2_host_overlay_gateway_ip">'Deploy Cluster'!$D$411</definedName>
    <definedName name="input_cluster_az2_host_overlay_gateway_mtu">'Deploy Cluster'!$D$412</definedName>
    <definedName name="input_cluster_az2_host_overlay_network_pool_name">'Deploy Cluster'!$D$407</definedName>
    <definedName name="input_cluster_az2_host_overlay_network_profile_name">'Deploy Cluster'!$D$405</definedName>
    <definedName name="input_cluster_az2_host_overlay_pool_end_ip">'Deploy Cluster'!$D$414</definedName>
    <definedName name="input_cluster_az2_host_overlay_pool_start_ip">'Deploy Cluster'!$D$413</definedName>
    <definedName name="input_cluster_az2_host_overlay_uplink_profile_name">'Deploy Cluster'!$D$408</definedName>
    <definedName name="input_cluster_az2_host_overlay_vlan">'Deploy Cluster'!$D$409</definedName>
    <definedName name="input_cluster_az2_host1_fqdn">'Deploy Cluster'!$D$317</definedName>
    <definedName name="input_cluster_az2_host1_mgmt_ip">'Deploy Cluster'!$D$261</definedName>
    <definedName name="input_cluster_az2_host10_fqdn">'Deploy Cluster'!$D$326</definedName>
    <definedName name="input_cluster_az2_host10_mgmt_ip">'Deploy Cluster'!$D$270</definedName>
    <definedName name="input_cluster_az2_host11_fqdn">'Deploy Cluster'!$D$327</definedName>
    <definedName name="input_cluster_az2_host11_mgmt_ip">'Deploy Cluster'!$D$271</definedName>
    <definedName name="input_cluster_az2_host12_fqdn">'Deploy Cluster'!$D$328</definedName>
    <definedName name="input_cluster_az2_host12_mgmt_ip">'Deploy Cluster'!$D$272</definedName>
    <definedName name="input_cluster_az2_host13_fqdn">'Deploy Cluster'!$D$329</definedName>
    <definedName name="input_cluster_az2_host13_mgmt_ip">'Deploy Cluster'!$D$273</definedName>
    <definedName name="input_cluster_az2_host14_fqdn">'Deploy Cluster'!$D$330</definedName>
    <definedName name="input_cluster_az2_host14_mgmt_ip">'Deploy Cluster'!$D$274</definedName>
    <definedName name="input_cluster_az2_host15_fqdn">'Deploy Cluster'!$D$331</definedName>
    <definedName name="input_cluster_az2_host15_mgmt_ip">'Deploy Cluster'!$D$275</definedName>
    <definedName name="input_cluster_az2_host16_fqdn">'Deploy Cluster'!$D$332</definedName>
    <definedName name="input_cluster_az2_host16_mgmt_ip">'Deploy Cluster'!$D$276</definedName>
    <definedName name="input_cluster_az2_host2_fqdn">'Deploy Cluster'!$D$318</definedName>
    <definedName name="input_cluster_az2_host2_mgmt_ip">'Deploy Cluster'!$D$262</definedName>
    <definedName name="input_cluster_az2_host3_fqdn">'Deploy Cluster'!$D$319</definedName>
    <definedName name="input_cluster_az2_host3_mgmt_ip">'Deploy Cluster'!$D$263</definedName>
    <definedName name="input_cluster_az2_host4_fqdn">'Deploy Cluster'!$D$320</definedName>
    <definedName name="input_cluster_az2_host4_mgmt_ip">'Deploy Cluster'!$D$264</definedName>
    <definedName name="input_cluster_az2_host5_fqdn">'Deploy Cluster'!$D$321</definedName>
    <definedName name="input_cluster_az2_host5_mgmt_ip">'Deploy Cluster'!$D$265</definedName>
    <definedName name="input_cluster_az2_host6_fqdn">'Deploy Cluster'!$D$322</definedName>
    <definedName name="input_cluster_az2_host6_mgmt_ip">'Deploy Cluster'!$D$266</definedName>
    <definedName name="input_cluster_az2_host7_fqdn">'Deploy Cluster'!$D$323</definedName>
    <definedName name="input_cluster_az2_host7_mgmt_ip">'Deploy Cluster'!$D$267</definedName>
    <definedName name="input_cluster_az2_host8_fqdn">'Deploy Cluster'!$D$324</definedName>
    <definedName name="input_cluster_az2_host8_mgmt_ip">'Deploy Cluster'!$D$268</definedName>
    <definedName name="input_cluster_az2_host9_fqdn">'Deploy Cluster'!$D$325</definedName>
    <definedName name="input_cluster_az2_host9_mgmt_ip">'Deploy Cluster'!$D$269</definedName>
    <definedName name="input_cluster_az2_mgmt_cidr">'Deploy Cluster'!$D$258</definedName>
    <definedName name="input_cluster_az2_mgmt_gateway_ip">'Deploy Cluster'!$D$257</definedName>
    <definedName name="input_cluster_az2_mgmt_mtu">'Deploy Cluster'!$D$259</definedName>
    <definedName name="input_cluster_az2_mgmt_vlan">'Deploy Cluster'!$D$256</definedName>
    <definedName name="input_cluster_az2_pool_name">'Deploy Cluster'!$D$281</definedName>
    <definedName name="input_cluster_az2_principal_storage_gateway_ip">'Deploy Cluster'!$D$295</definedName>
    <definedName name="input_cluster_az2_principal_storage_mask">'Deploy Cluster'!$D$294</definedName>
    <definedName name="input_cluster_az2_principal_storage_mtu">'Deploy Cluster'!$D$292</definedName>
    <definedName name="input_cluster_az2_principal_storage_network">'Deploy Cluster'!$D$293</definedName>
    <definedName name="input_cluster_az2_principal_storage_pool_end_ip">'Deploy Cluster'!$D$296</definedName>
    <definedName name="input_cluster_az2_principal_storage_pool_start_ip">'Deploy Cluster'!$D$297</definedName>
    <definedName name="input_cluster_az2_principal_storage_vlan">'Deploy Cluster'!$D$291</definedName>
    <definedName name="input_cluster_az2_secondary_storage_gateway_ip">'Deploy Cluster'!$D$303</definedName>
    <definedName name="input_cluster_az2_secondary_storage_mask">'Deploy Cluster'!$D$302</definedName>
    <definedName name="input_cluster_az2_secondary_storage_mtu">'Deploy Cluster'!$D$300</definedName>
    <definedName name="input_cluster_az2_secondary_storage_network">'Deploy Cluster'!$D$301</definedName>
    <definedName name="input_cluster_az2_secondary_storage_pool_end_ip">'Deploy Cluster'!$D$305</definedName>
    <definedName name="input_cluster_az2_secondary_storage_pool_start_ip">'Deploy Cluster'!$D$304</definedName>
    <definedName name="input_cluster_az2_secondary_storage_vlan">'Deploy Cluster'!$D$299</definedName>
    <definedName name="input_cluster_az2_storage_cluster_gateway_ip">'Deploy Cluster'!$D$311</definedName>
    <definedName name="input_cluster_az2_storage_cluster_mask">'Deploy Cluster'!$D$310</definedName>
    <definedName name="input_cluster_az2_storage_cluster_mtu">'Deploy Cluster'!$D$308</definedName>
    <definedName name="input_cluster_az2_storage_cluster_network">'Deploy Cluster'!$D$309</definedName>
    <definedName name="input_cluster_az2_storage_cluster_pool_end_ip">'Deploy Cluster'!$D$313</definedName>
    <definedName name="input_cluster_az2_storage_cluster_pool_start_ip">'Deploy Cluster'!$D$312</definedName>
    <definedName name="input_cluster_az2_storage_cluster_vlan">'Deploy Cluster'!$D$307</definedName>
    <definedName name="input_cluster_az2_tor1_peer_asn">'Deploy Cluster'!$D$432</definedName>
    <definedName name="input_cluster_az2_tor1_peer_ip">'Deploy Cluster'!$D$431</definedName>
    <definedName name="input_cluster_az2_tor2_peer_asn">'Deploy Cluster'!$D$439</definedName>
    <definedName name="input_cluster_az2_tor2_peer_ip">'Deploy Cluster'!$D$436</definedName>
    <definedName name="input_cluster_az2_vmotion_gateway_ip">'Deploy Cluster'!$D$287</definedName>
    <definedName name="input_cluster_az2_vmotion_mask">'Deploy Cluster'!$D$286</definedName>
    <definedName name="input_cluster_az2_vmotion_mtu">'Deploy Cluster'!$D$284</definedName>
    <definedName name="input_cluster_az2_vmotion_network">'Deploy Cluster'!$D$285</definedName>
    <definedName name="input_cluster_az2_vmotion_pool_end_ip">'Deploy Cluster'!$D$289</definedName>
    <definedName name="input_cluster_az2_vmotion_pool_start_ip">'Deploy Cluster'!$D$288</definedName>
    <definedName name="input_cluster_az2_vmotion_vlan">'Deploy Cluster'!$D$283</definedName>
    <definedName name="input_cluster_cluster_sddc_id">'Deploy Cluster'!$D$418</definedName>
    <definedName name="input_cluster_datacenter">'Deploy Cluster'!$D$370</definedName>
    <definedName name="input_cluster_domain_name">'Deploy Cluster'!$D$19</definedName>
    <definedName name="input_cluster_esx_root_password">'Deploy Cluster'!$D$105</definedName>
    <definedName name="input_cluster_esx_root_username">'Deploy Cluster'!$D$104</definedName>
    <definedName name="input_cluster_host_overlay_transportzone">'Deploy Cluster'!$D$230</definedName>
    <definedName name="input_cluster_image_name">'Deploy Cluster'!$D$122</definedName>
    <definedName name="input_cluster_name">'Deploy Cluster'!$D$117</definedName>
    <definedName name="input_cluster_nfs_datastore_name">'Deploy Cluster'!$D$134</definedName>
    <definedName name="input_cluster_nfs_server_address">'Deploy Cluster'!$D$136</definedName>
    <definedName name="input_cluster_nfs_share_path">'Deploy Cluster'!$D$135</definedName>
    <definedName name="input_cluster_nsx_vlan_transport_zone_name">'Deploy Cluster'!$D$240</definedName>
    <definedName name="input_cluster_nsxt_vip_fqdn">'Deploy Cluster'!$D$423</definedName>
    <definedName name="input_cluster_storage_cluster_name">'Deploy Cluster'!$D$128</definedName>
    <definedName name="input_cluster_vc_fqdn">'Deploy Cluster'!$D$369</definedName>
    <definedName name="input_cluster_vds01_lag_name">'Deploy Cluster'!$D$170</definedName>
    <definedName name="input_cluster_vds01_mtu">'Deploy Cluster'!$D$168</definedName>
    <definedName name="input_cluster_vds01_name">'Deploy Cluster'!$D$167</definedName>
    <definedName name="input_cluster_vds01_pnics">'Deploy Cluster'!$D$175</definedName>
    <definedName name="input_cluster_vds01_uplink_count">'Deploy Cluster'!$D$174</definedName>
    <definedName name="input_cluster_vds02_lag_name">'Deploy Cluster'!$D$181</definedName>
    <definedName name="input_cluster_vds02_mtu">'Deploy Cluster'!$D$179</definedName>
    <definedName name="input_cluster_vds02_name">'Deploy Cluster'!$D$178</definedName>
    <definedName name="input_cluster_vds02_pnics">'Deploy Cluster'!$D$186</definedName>
    <definedName name="input_cluster_vds02_uplink_count">'Deploy Cluster'!$D$185</definedName>
    <definedName name="input_cluster_vds03_lag_name">'Deploy Cluster'!$D$192</definedName>
    <definedName name="input_cluster_vds03_mtu">'Deploy Cluster'!$D$190</definedName>
    <definedName name="input_cluster_vds03_name">'Deploy Cluster'!$D$189</definedName>
    <definedName name="input_cluster_vds03_pnics">'Deploy Cluster'!$D$197</definedName>
    <definedName name="input_cluster_vds03_uplink_count">'Deploy Cluster'!$D$196</definedName>
    <definedName name="input_cluster_vmfs_datastore_name">'Deploy Cluster'!$D$133</definedName>
    <definedName name="input_cluster_vsan_datastore">'Deploy Cluster'!$D$129</definedName>
    <definedName name="input_cluster_vsan_type_non_vsan_storage">'Static Reference Tables'!$F$52:$F$53</definedName>
    <definedName name="input_cluster_vsan_type_with_client_network">'Static Reference Tables'!$E$53</definedName>
    <definedName name="input_cluster_vsan_type_without_client_network">'Static Reference Tables'!$E$52:$E$53</definedName>
    <definedName name="input_cluster_witness_cluster">'Deploy Cluster'!$D$352</definedName>
    <definedName name="input_cluster_witness_dns1_ip">'Deploy Cluster'!$D$363</definedName>
    <definedName name="input_cluster_witness_dns2_ip">'Deploy Cluster'!$D$364</definedName>
    <definedName name="input_cluster_witness_fqdn">'Deploy Cluster'!$D$371</definedName>
    <definedName name="input_cluster_witness_hostname">'Deploy Cluster'!$D$351</definedName>
    <definedName name="input_cluster_witness_ip">'Deploy Cluster'!$D$358</definedName>
    <definedName name="input_cluster_witness_mgmt_pg">'Deploy Cluster'!$D$355</definedName>
    <definedName name="input_cluster_witness_ntp1_server">'Deploy Cluster'!$D$365</definedName>
    <definedName name="input_cluster_witness_ntp2_server">'Deploy Cluster'!$D$366</definedName>
    <definedName name="input_cluster_witness_vm_folder">'Deploy Cluster'!$D$353</definedName>
    <definedName name="input_cluster_witness_vsan_datastore">'Deploy Cluster'!$D$354</definedName>
    <definedName name="input_cluster_witness_zone_vc_fqdn">'Deploy Cluster'!$D$350</definedName>
    <definedName name="input_cluster_witnessaz_mask">'Deploy Cluster'!$D$359</definedName>
    <definedName name="input_cluster_witnessaz_mgmt_cidr">'Deploy Cluster'!$D$344</definedName>
    <definedName name="input_cluster_witnessaz_mgmt_gateway_ip">'Deploy Cluster'!$D$343</definedName>
    <definedName name="input_cluster_witnessaz_mgmt_mtu">'Deploy Cluster'!$D$345</definedName>
    <definedName name="input_cluster_witnessaz_mgmt_vlan">'Deploy Cluster'!$D$342</definedName>
    <definedName name="input_domain_controller_hostname">Arkham!$C$15</definedName>
    <definedName name="input_esxi_root_password">'Deploy Management Domain'!$L$127</definedName>
    <definedName name="input_flt_auto_node_pool_end_ip">Arkham!$Q$35</definedName>
    <definedName name="input_flt_auto_node_pool_start_ip">Arkham!$Q$34</definedName>
    <definedName name="input_flt_auto_sr_fqdn">Arkham!$Q$32</definedName>
    <definedName name="input_flt_auto_sr_ip">Arkham!$Q$26</definedName>
    <definedName name="input_flt_custom_network_auto_admin_password">'Deploy Fleet Management Day-N'!$D$58</definedName>
    <definedName name="input_flt_custom_network_auto_nodea_ip">'Deploy Fleet Management Day-N'!$D$53</definedName>
    <definedName name="input_flt_custom_network_auto_nodeb_ip">'Deploy Fleet Management Day-N'!$D$54</definedName>
    <definedName name="input_flt_custom_network_auto_nodec_ip">'Deploy Fleet Management Day-N'!$D$55</definedName>
    <definedName name="input_flt_custom_network_auto_noded_ip">'Deploy Fleet Management Day-N'!$D$56</definedName>
    <definedName name="input_flt_custom_network_auto_nodee_ip">Arkham!$Q$11</definedName>
    <definedName name="input_flt_custom_network_auto_nodef_ip">Arkham!$Q$12</definedName>
    <definedName name="input_flt_custom_network_auto_prefix">'Deploy Fleet Management Day-N'!$D$51</definedName>
    <definedName name="input_flt_custom_network_auto_vip_fqdn">'Deploy Fleet Management Day-N'!$D$50</definedName>
    <definedName name="input_flt_custom_network_auto_vip_ip">'Deploy Fleet Management Day-N'!$D$52</definedName>
    <definedName name="input_flt_custom_network_flt_admin_password">'Deploy Fleet Management Day-N'!$D$29</definedName>
    <definedName name="input_flt_custom_network_flt_fqdn">'Deploy Fleet Management Day-N'!$D$26</definedName>
    <definedName name="input_flt_custom_network_flt_ip">'Deploy Fleet Management Day-N'!$D$27</definedName>
    <definedName name="input_flt_custom_network_flt_root_password">'Deploy Fleet Management Day-N'!$D$28</definedName>
    <definedName name="input_flt_custom_network_flt_use_existing">'Deploy Fleet Management Day-N'!$D$25</definedName>
    <definedName name="input_flt_custom_network_local_reg_gateway_ip">'Deploy Fleet Management Day-N'!$D$19</definedName>
    <definedName name="input_flt_custom_network_local_reg_mask">'Deploy Fleet Management Day-N'!$D$18</definedName>
    <definedName name="input_flt_custom_network_local_reg_pg">'Deploy Fleet Management Day-N'!$D$17</definedName>
    <definedName name="input_flt_custom_network_ops_admin_password">'Deploy Fleet Management Day-N'!$D$42</definedName>
    <definedName name="input_flt_custom_network_ops_collector_fqdn">'Deploy Fleet Management Day-N'!$D$44</definedName>
    <definedName name="input_flt_custom_network_ops_collector_ip">'Deploy Fleet Management Day-N'!$D$45</definedName>
    <definedName name="input_flt_custom_network_ops_collector_root_password">'Deploy Fleet Management Day-N'!$D$48</definedName>
    <definedName name="input_flt_custom_network_ops_collector_version">'Deploy Fleet Management Day-N'!$D$46</definedName>
    <definedName name="input_flt_custom_network_ops_nodea_fqdn">'Deploy Fleet Management Day-N'!$D$33</definedName>
    <definedName name="input_flt_custom_network_ops_nodea_ip">'Deploy Fleet Management Day-N'!$D$37</definedName>
    <definedName name="input_flt_custom_network_ops_nodeb_fqdn">'Deploy Fleet Management Day-N'!$D$34</definedName>
    <definedName name="input_flt_custom_network_ops_nodeb_ip">'Deploy Fleet Management Day-N'!$D$38</definedName>
    <definedName name="input_flt_custom_network_ops_nodec_fqdn">'Deploy Fleet Management Day-N'!$D$35</definedName>
    <definedName name="input_flt_custom_network_ops_nodec_ip">'Deploy Fleet Management Day-N'!$D$39</definedName>
    <definedName name="input_flt_custom_network_ops_root_password">'Deploy Fleet Management Day-N'!$D$41</definedName>
    <definedName name="input_flt_custom_network_ops_use_existing">'Deploy Fleet Management Day-N'!$D$31</definedName>
    <definedName name="input_flt_custom_network_ops_vip_fqdn">'Deploy Fleet Management Day-N'!$D$32</definedName>
    <definedName name="input_flt_custom_network_ops_vip_ip">'Deploy Fleet Management Day-N'!$D$36</definedName>
    <definedName name="input_flt_custom_network_x_reg_gateway_ip">'Deploy Fleet Management Day-N'!$D$23</definedName>
    <definedName name="input_flt_custom_network_x_reg_mask">'Deploy Fleet Management Day-N'!$D$22</definedName>
    <definedName name="input_flt_custom_network_x_reg_pg">'Deploy Fleet Management Day-N'!$D$21</definedName>
    <definedName name="input_flt_fc_fqdn">Arkham!$Q$31</definedName>
    <definedName name="input_flt_fc_ip">Arkham!$Q$25</definedName>
    <definedName name="input_flt_ic_fqdn">Arkham!$Q$30</definedName>
    <definedName name="input_flt_ic_ip">Arkham!$Q$24</definedName>
    <definedName name="input_flt_lc_fqdn">Arkham!$Q$28</definedName>
    <definedName name="input_flt_lc_ip">Arkham!$Q$22</definedName>
    <definedName name="input_flt_logs_admin_email">'Deploy Fleet Management Day-N'!$D$266</definedName>
    <definedName name="input_flt_logs_admin_password">'Deploy Fleet Management Day-N'!$D$251</definedName>
    <definedName name="input_flt_logs_admin_password_alias">'Deploy Fleet Management Day-N'!$D$250</definedName>
    <definedName name="input_flt_logs_admin_password_description">'Deploy Fleet Management Day-N'!$D$252</definedName>
    <definedName name="input_flt_logs_admin_username">'Deploy Fleet Management Day-N'!$D$253</definedName>
    <definedName name="input_flt_logs_cert_alias">'Deploy Fleet Management Day-N'!$D$214</definedName>
    <definedName name="input_flt_logs_cert_country_code">'Deploy Fleet Management Day-N'!$D$220</definedName>
    <definedName name="input_flt_logs_cert_locality">'Deploy Fleet Management Day-N'!$D$221</definedName>
    <definedName name="input_flt_logs_cert_organisation">'Deploy Fleet Management Day-N'!$D$218</definedName>
    <definedName name="input_flt_logs_cert_state">'Deploy Fleet Management Day-N'!$D$222</definedName>
    <definedName name="input_flt_logs_cluster">'Deploy Fleet Management Day-N'!$D$235</definedName>
    <definedName name="input_flt_logs_common_name">'Deploy Fleet Management Day-N'!$D$217</definedName>
    <definedName name="input_flt_logs_datastore">'Deploy Fleet Management Day-N'!$D$239</definedName>
    <definedName name="input_flt_logs_folder">'Deploy Fleet Management Day-N'!$D$236</definedName>
    <definedName name="input_flt_logs_gateway_ip">'Deploy Fleet Management Day-N'!$D$247</definedName>
    <definedName name="input_flt_logs_mask">'Deploy Fleet Management Day-N'!$D$248</definedName>
    <definedName name="input_flt_logs_nodea_fqdn">'Deploy Fleet Management Day-N'!$D$225</definedName>
    <definedName name="input_flt_logs_nodea_hostname">'Deploy Fleet Management Day-N'!$D$273</definedName>
    <definedName name="input_flt_logs_nodea_ip">'Deploy Fleet Management Day-N'!$D$229</definedName>
    <definedName name="input_flt_logs_nodeb_fqdn">'Deploy Fleet Management Day-N'!$D$226</definedName>
    <definedName name="input_flt_logs_nodeb_hostname">'Deploy Fleet Management Day-N'!$D$277</definedName>
    <definedName name="input_flt_logs_nodeb_ip">'Deploy Fleet Management Day-N'!$D$230</definedName>
    <definedName name="input_flt_logs_nodec_fqdn">'Deploy Fleet Management Day-N'!$D$227</definedName>
    <definedName name="input_flt_logs_nodec_hostname">'Deploy Fleet Management Day-N'!$D$281</definedName>
    <definedName name="input_flt_logs_nodec_ip">'Deploy Fleet Management Day-N'!$D$231</definedName>
    <definedName name="input_flt_logs_ou_cert">'Deploy Fleet Management Day-N'!$D$219</definedName>
    <definedName name="input_flt_logs_portgroup">'Deploy Fleet Management Day-N'!$D$238</definedName>
    <definedName name="input_flt_logs_resource_pool">'Deploy Fleet Management Day-N'!$D$237</definedName>
    <definedName name="input_flt_logs_root_password">'Deploy Fleet Management Day-N'!$D$255</definedName>
    <definedName name="input_flt_logs_root_password_alias">'Deploy Fleet Management Day-N'!$D$254</definedName>
    <definedName name="input_flt_logs_root_password_description">'Deploy Fleet Management Day-N'!$D$256</definedName>
    <definedName name="input_flt_logs_root_username">'Deploy Fleet Management Day-N'!$D$257</definedName>
    <definedName name="input_flt_logs_vcenter_fqdn">'Deploy Fleet Management Day-N'!$D$234</definedName>
    <definedName name="input_flt_logs_vip_fqdn">'Deploy Fleet Management Day-N'!$D$224</definedName>
    <definedName name="input_flt_logs_vip_ip">'Deploy Fleet Management Day-N'!$D$228</definedName>
    <definedName name="input_flt_net_admin_password">'Deploy Fleet Management Day-N'!$D$329</definedName>
    <definedName name="input_flt_net_admin_password_alias">'Deploy Fleet Management Day-N'!$D$328</definedName>
    <definedName name="input_flt_net_admin_password_description">'Deploy Fleet Management Day-N'!$D$330</definedName>
    <definedName name="input_flt_net_admin_username">'Deploy Fleet Management Day-N'!$D$331</definedName>
    <definedName name="input_flt_net_cert_alias">'Deploy Fleet Management Day-N'!$D$293</definedName>
    <definedName name="input_flt_net_cert_country_code">'Deploy Fleet Management Day-N'!$D$298</definedName>
    <definedName name="input_flt_net_cert_locality">'Deploy Fleet Management Day-N'!$D$299</definedName>
    <definedName name="input_flt_net_cert_organisation">'Deploy Fleet Management Day-N'!$D$296</definedName>
    <definedName name="input_flt_net_cert_state">'Deploy Fleet Management Day-N'!$D$300</definedName>
    <definedName name="input_flt_net_cluster">'Deploy Fleet Management Day-N'!$D$313</definedName>
    <definedName name="input_flt_net_common_name">'Deploy Fleet Management Day-N'!$D$295</definedName>
    <definedName name="input_flt_net_console_password">'Deploy Fleet Management Day-N'!$D$339</definedName>
    <definedName name="input_flt_net_datastore">'Deploy Fleet Management Day-N'!$D$317</definedName>
    <definedName name="input_flt_net_folder">'Deploy Fleet Management Day-N'!$D$314</definedName>
    <definedName name="input_flt_net_node_gateway_ip">'Deploy Fleet Management Day-N'!$D$325</definedName>
    <definedName name="input_flt_net_node_mask">'Deploy Fleet Management Day-N'!$D$326</definedName>
    <definedName name="input_flt_net_node_portgroup">'Deploy Fleet Management Day-N'!$D$316</definedName>
    <definedName name="input_flt_net_nodea_fqdn">'Deploy Fleet Management Day-N'!$D$302</definedName>
    <definedName name="input_flt_net_nodea_ip">'Deploy Fleet Management Day-N'!$D$306</definedName>
    <definedName name="input_flt_net_nodeb_fqdn">'Deploy Fleet Management Day-N'!$D$303</definedName>
    <definedName name="input_flt_net_nodeb_ip">'Deploy Fleet Management Day-N'!$D$307</definedName>
    <definedName name="input_flt_net_nodec_fqdn">'Deploy Fleet Management Day-N'!$D$304</definedName>
    <definedName name="input_flt_net_nodec_ip">'Deploy Fleet Management Day-N'!$D$308</definedName>
    <definedName name="input_flt_net_ou_cert">'Deploy Fleet Management Day-N'!$D$297</definedName>
    <definedName name="input_flt_net_platform_password">'Deploy Fleet Management Day-N'!$D$337</definedName>
    <definedName name="input_flt_net_prxy_fqdn">'Deploy Fleet Management Day-N'!$D$305</definedName>
    <definedName name="input_flt_net_prxy_gateway_ip">'Deploy Fleet Management Day-N'!$D$356</definedName>
    <definedName name="input_flt_net_prxy_ip">'Deploy Fleet Management Day-N'!$D$309</definedName>
    <definedName name="input_flt_net_prxy_mask">'Deploy Fleet Management Day-N'!$D$357</definedName>
    <definedName name="input_flt_net_prxy_portgroup">'Deploy Fleet Management Day-N'!$D$358</definedName>
    <definedName name="input_flt_net_resource_pool">'Deploy Fleet Management Day-N'!$D$315</definedName>
    <definedName name="input_flt_net_support_password">'Deploy Fleet Management Day-N'!$D$338</definedName>
    <definedName name="input_flt_net_vcenter_fqdn">'Deploy Fleet Management Day-N'!$D$312</definedName>
    <definedName name="input_flt_net_vcenter_list">'Deploy Fleet Management Day-N'!$D$340</definedName>
    <definedName name="input_flt_sr_fqdn">Arkham!$Q$29</definedName>
    <definedName name="input_flt_sr_ip">Arkham!$Q$23</definedName>
    <definedName name="input_flt_vcfms_node_pool_end_ip">Arkham!$Q$41</definedName>
    <definedName name="input_flt_vcfms_node_pool_start_ip">Arkham!$Q$40</definedName>
    <definedName name="input_flt_vidb_additional_vips">'Deploy Fleet Management Day-N'!$D$169</definedName>
    <definedName name="input_flt_vidb_base_dn">'Deploy Fleet Management Day-N'!$D$189</definedName>
    <definedName name="input_flt_vidb_bind_password">'Deploy Fleet Management Day-N'!$D$191</definedName>
    <definedName name="input_flt_vidb_bind_username">'Deploy Fleet Management Day-N'!$D$190</definedName>
    <definedName name="input_flt_vidb_cert_alias">'Deploy Fleet Management Day-N'!$D$128</definedName>
    <definedName name="input_flt_vidb_cert_common_name">'Deploy Fleet Management Day-N'!$D$130</definedName>
    <definedName name="input_flt_vidb_cert_country_code">'Deploy Fleet Management Day-N'!$D$133</definedName>
    <definedName name="input_flt_vidb_cert_locality">'Deploy Fleet Management Day-N'!$D$134</definedName>
    <definedName name="input_flt_vidb_cert_organisation">'Deploy Fleet Management Day-N'!$D$131</definedName>
    <definedName name="input_flt_vidb_cert_state">'Deploy Fleet Management Day-N'!$D$135</definedName>
    <definedName name="input_flt_vidb_cluster">'Deploy Fleet Management Day-N'!$D$142</definedName>
    <definedName name="input_flt_vidb_datastore">'Deploy Fleet Management Day-N'!$D$146</definedName>
    <definedName name="input_flt_vidb_directory_name">'Deploy Fleet Management Day-N'!$D$179</definedName>
    <definedName name="input_flt_vidb_distinguished_name">'Deploy Fleet Management Day-N'!$D$197</definedName>
    <definedName name="input_flt_vidb_employeeID">'Deploy Fleet Management Day-N'!$D$198</definedName>
    <definedName name="input_flt_vidb_encrypted_cert">'Deploy Fleet Management Day-N'!$D$183</definedName>
    <definedName name="input_flt_vidb_first_name">'Deploy Fleet Management Day-N'!$D$195</definedName>
    <definedName name="input_flt_vidb_folder">'Deploy Fleet Management Day-N'!$D$143</definedName>
    <definedName name="input_flt_vidb_gateway_ip">'Deploy Fleet Management Day-N'!$D$153</definedName>
    <definedName name="input_flt_vidb_group_base_dn">'Deploy Fleet Management Day-N'!$D$202</definedName>
    <definedName name="input_flt_vidb_last_name">'Deploy Fleet Management Day-N'!$D$196</definedName>
    <definedName name="input_flt_vidb_mail">'Deploy Fleet Management Day-N'!$D$199</definedName>
    <definedName name="input_flt_vidb_mask">'Deploy Fleet Management Day-N'!$D$154</definedName>
    <definedName name="input_flt_vidb_node_prefix">'Deploy Fleet Management Day-N'!$D$166</definedName>
    <definedName name="input_flt_vidb_nodea_ip">'Deploy Fleet Management Day-N'!$D$170</definedName>
    <definedName name="input_flt_vidb_nodeb_ip">'Deploy Fleet Management Day-N'!$D$171</definedName>
    <definedName name="input_flt_vidb_nodec_ip">'Deploy Fleet Management Day-N'!$D$172</definedName>
    <definedName name="input_flt_vidb_noded_ip">'Deploy Fleet Management Day-N'!$D$173</definedName>
    <definedName name="input_flt_vidb_ou_cert">'Deploy Fleet Management Day-N'!$D$132</definedName>
    <definedName name="input_flt_vidb_password">'Deploy Fleet Management Day-N'!$D$160</definedName>
    <definedName name="input_flt_vidb_password_alias">'Deploy Fleet Management Day-N'!$D$159</definedName>
    <definedName name="input_flt_vidb_password_description">'Deploy Fleet Management Day-N'!$D$161</definedName>
    <definedName name="input_flt_vidb_pg">'Deploy Fleet Management Day-N'!$D$145</definedName>
    <definedName name="input_flt_vidb_primary_domain_controller">'Deploy Fleet Management Day-N'!$D$184</definedName>
    <definedName name="input_flt_vidb_primary_domain_controller_port">'Deploy Fleet Management Day-N'!$D$185</definedName>
    <definedName name="input_flt_vidb_resource_pool">'Deploy Fleet Management Day-N'!$D$144</definedName>
    <definedName name="input_flt_vidb_root_username">'Deploy Fleet Management Day-N'!$D$162</definedName>
    <definedName name="input_flt_vidb_secondary_domain_controller">'Deploy Fleet Management Day-N'!$D$186</definedName>
    <definedName name="input_flt_vidb_secondary_domain_controller_port">'Deploy Fleet Management Day-N'!$D$187</definedName>
    <definedName name="input_flt_vidb_system_user_alias">'Deploy Fleet Management Day-N'!$D$156</definedName>
    <definedName name="input_flt_vidb_system_user_description">'Deploy Fleet Management Day-N'!$D$158</definedName>
    <definedName name="input_flt_vidb_system_user_password">'Deploy Fleet Management Day-N'!$D$157</definedName>
    <definedName name="input_flt_vidb_user_base_dn">'Deploy Fleet Management Day-N'!$D$204</definedName>
    <definedName name="input_flt_vidb_user_name">'Deploy Fleet Management Day-N'!$D$194</definedName>
    <definedName name="input_flt_vidb_user_principal_name">'Deploy Fleet Management Day-N'!$D$200</definedName>
    <definedName name="input_flt_vidb_vcenter_fqdn">'Deploy Fleet Management Day-N'!$D$141</definedName>
    <definedName name="input_flt_vidb_version">'Deploy Fleet Management Day-N'!$D$124</definedName>
    <definedName name="input_flt_vidb_vip_fqdn">'Deploy Fleet Management Day-N'!$D$137</definedName>
    <definedName name="input_flt_vidb_vip_ip">'Deploy Fleet Management Day-N'!$D$138</definedName>
    <definedName name="input_gg_kub_admins_group">'Active Directory Inputs'!$E$75</definedName>
    <definedName name="input_gg_kub_readonly_group">'Active Directory Inputs'!$E$76</definedName>
    <definedName name="input_gg_nsx_auditors_group">'Active Directory Inputs'!$E$72</definedName>
    <definedName name="input_gg_nsx_enterprise_admins_group">'Active Directory Inputs'!$E$70</definedName>
    <definedName name="input_gg_nsx_network_admins_group">'Active Directory Inputs'!$E$71</definedName>
    <definedName name="input_gg_sso_admins_group">'Active Directory Inputs'!$E$69</definedName>
    <definedName name="input_gg_vc_admins_group">'Active Directory Inputs'!$E$67</definedName>
    <definedName name="input_gg_vc_read_only_group">'Active Directory Inputs'!$E$68</definedName>
    <definedName name="input_gg_vcf_admins_group">'Active Directory Inputs'!$E$64</definedName>
    <definedName name="input_gg_vcf_operators_group">'Active Directory Inputs'!$E$65</definedName>
    <definedName name="input_gg_vcf_viewers_group">'Active Directory Inputs'!$E$66</definedName>
    <definedName name="input_gg_vra_cloud_assembly_admins_group">'Active Directory Inputs'!$E$95</definedName>
    <definedName name="input_gg_vra_cloud_assembly_users_group">'Active Directory Inputs'!$E$96</definedName>
    <definedName name="input_gg_vra_cloud_assembly_viewers_group">'Active Directory Inputs'!$E$97</definedName>
    <definedName name="input_gg_vra_orchestrator_admins_group">'Active Directory Inputs'!$E$101</definedName>
    <definedName name="input_gg_vra_orchestrator_designers_group">'Active Directory Inputs'!$E$102</definedName>
    <definedName name="input_gg_vra_orchestrator_viewers_group">'Active Directory Inputs'!$E$103</definedName>
    <definedName name="input_gg_vra_org_owners_group">'Active Directory Inputs'!$E$94</definedName>
    <definedName name="input_gg_vra_project_admins_sample_group">'Active Directory Inputs'!$E$104</definedName>
    <definedName name="input_gg_vra_project_users_sample_group">'Active Directory Inputs'!$E$105</definedName>
    <definedName name="input_gg_vra_service_broker_admins_group">'Active Directory Inputs'!$E$98</definedName>
    <definedName name="input_gg_vra_service_broker_users_group">'Active Directory Inputs'!$E$99</definedName>
    <definedName name="input_gg_vra_service_broker_viewers_group">'Active Directory Inputs'!$E$100</definedName>
    <definedName name="input_gg_vrli_admins_group">'Active Directory Inputs'!$E$79</definedName>
    <definedName name="input_gg_vrli_users_group">'Active Directory Inputs'!$E$80</definedName>
    <definedName name="input_gg_vrli_viewers_group">'Active Directory Inputs'!$E$81</definedName>
    <definedName name="input_gg_vrni_admin_group">'Active Directory Inputs'!$E$89</definedName>
    <definedName name="input_gg_vrni_auditor_group">'Active Directory Inputs'!$E$91</definedName>
    <definedName name="input_gg_vrni_member_group">'Active Directory Inputs'!$E$90</definedName>
    <definedName name="input_gg_vrops_admins_group">'Active Directory Inputs'!$E$84</definedName>
    <definedName name="input_gg_vrops_content_admins_group">'Active Directory Inputs'!$E$85</definedName>
    <definedName name="input_gg_vrops_read_only_group">'Active Directory Inputs'!$E$86</definedName>
    <definedName name="input_gg_vrslcm_admins_group">'Active Directory Inputs'!$E$54</definedName>
    <definedName name="input_gg_vrslcm_content_developers_group">'Active Directory Inputs'!$E$56</definedName>
    <definedName name="input_gg_vrslcm_release_managers_group">'Active Directory Inputs'!$E$55</definedName>
    <definedName name="input_k8s_cluster_name">'Private AI Ready Infrastructure'!$D$46</definedName>
    <definedName name="input_k8s_ip_prefixlist">'Private AI Ready Infrastructure'!$D$20</definedName>
    <definedName name="input_k8s_ip_routemap">'Private AI Ready Infrastructure'!$D$21</definedName>
    <definedName name="input_k8s_kubectl_path">'Private AI Ready Infrastructure'!$D$26</definedName>
    <definedName name="input_k8s_mgmt_seg">'Private AI Ready Infrastructure'!$D$19</definedName>
    <definedName name="input_k8s_namepsace">'Private AI Ready Infrastructure'!$D$15</definedName>
    <definedName name="input_k8s_tanzu_k8s_cluster_pod_pool_cidr">'Private AI Ready Infrastructure'!$D$72</definedName>
    <definedName name="input_k8s_tanzu_k8s_cluster_service_pool_cidr">'Private AI Ready Infrastructure'!$D$71</definedName>
    <definedName name="input_k8s_vcenter_category">'Private AI Ready Infrastructure'!$D$22</definedName>
    <definedName name="input_k8s_vcenter_content_library">'Private AI Ready Infrastructure'!$D$95</definedName>
    <definedName name="input_k8s_vcenter_storage_policy">'Private AI Ready Infrastructure'!$D$47</definedName>
    <definedName name="input_k8s_vcenter_tag">'Private AI Ready Infrastructure'!$D$23</definedName>
    <definedName name="input_k8s_vm_class">'Private AI Ready Infrastructure'!$D$27</definedName>
    <definedName name="input_mgmt_avilb_cluster_name">'Configure Management Domain'!$D$218</definedName>
    <definedName name="input_mgmt_avilb_cluster_version">'Configure Management Domain'!$D$208</definedName>
    <definedName name="input_mgmt_avilb_fqdn">'Configure Management Domain'!$D$217</definedName>
    <definedName name="input_mgmt_avilb_ip">'Configure Management Domain'!$D$216</definedName>
    <definedName name="input_mgmt_avilb_mgra_ip">'Configure Management Domain'!$D$213</definedName>
    <definedName name="input_mgmt_avilb_mgrb_ip">'Configure Management Domain'!$D$214</definedName>
    <definedName name="input_mgmt_avilb_mgrc_ip">'Configure Management Domain'!$D$215</definedName>
    <definedName name="input_mgmt_az1_edge_overlay_cidr">'Configure Management Domain'!$D$201</definedName>
    <definedName name="input_mgmt_az1_edge_overlay_gateway_ip">'Configure Management Domain'!$D$122</definedName>
    <definedName name="input_mgmt_az1_edge_overlay_mask">'Configure Management Domain'!$D$123</definedName>
    <definedName name="input_mgmt_az1_edge_overlay_mtu">'Configure Management Domain'!$D$202</definedName>
    <definedName name="input_mgmt_az1_edge_overlay_network_pool_name">'Configure Management Domain'!$D$117</definedName>
    <definedName name="input_mgmt_az1_edge_overlay_pool_end_ip">'Configure Management Domain'!$D$119</definedName>
    <definedName name="input_mgmt_az1_edge_overlay_pool_start_ip">'Configure Management Domain'!$D$118</definedName>
    <definedName name="input_mgmt_az1_edge_overlay_vlan">'Configure Management Domain'!$D$115</definedName>
    <definedName name="input_mgmt_az1_en1_edge_overlay_interface_ip_1_ip">'Configure Management Domain'!$D$120</definedName>
    <definedName name="input_mgmt_az1_en1_edge_overlay_interface_ip_2_ip">'Configure Management Domain'!$D$121</definedName>
    <definedName name="input_mgmt_az1_en1_eth0_uplink0">'Configure Management Domain'!$D$111</definedName>
    <definedName name="input_mgmt_az1_en1_eth0_uplink1">'Configure Management Domain'!$D$112</definedName>
    <definedName name="input_mgmt_az1_en1_eth1_uplink0">'Configure Management Domain'!$D$113</definedName>
    <definedName name="input_mgmt_az1_en1_eth1_uplink1">'Configure Management Domain'!$D$114</definedName>
    <definedName name="input_mgmt_az1_en1_fqdn">'Configure Management Domain'!$D$99</definedName>
    <definedName name="input_mgmt_az1_en1_mgmt_cidr">'Configure Management Domain'!$D$107</definedName>
    <definedName name="input_mgmt_az1_en1_mgmt_ip">Arkham!$Q$17</definedName>
    <definedName name="input_mgmt_az1_en1_uplink01_interface_cidr">'Configure Management Domain'!$D$159</definedName>
    <definedName name="input_mgmt_az1_en1_uplink02_interface_cidr">'Configure Management Domain'!$D$166</definedName>
    <definedName name="input_mgmt_az1_en2_edge_overlay_interface_ip_1_ip">'Configure Management Domain'!$D$144</definedName>
    <definedName name="input_mgmt_az1_en2_edge_overlay_interface_ip_2_ip">'Configure Management Domain'!$D$145</definedName>
    <definedName name="input_mgmt_az1_en2_eth0_uplink0">'Configure Management Domain'!$D$137</definedName>
    <definedName name="input_mgmt_az1_en2_eth0_uplink1">'Configure Management Domain'!$D$138</definedName>
    <definedName name="input_mgmt_az1_en2_eth1_uplink0">'Configure Management Domain'!$D$139</definedName>
    <definedName name="input_mgmt_az1_en2_eth1_uplink1">'Configure Management Domain'!$D$140</definedName>
    <definedName name="input_mgmt_az1_en2_fqdn">'Configure Management Domain'!$D$125</definedName>
    <definedName name="input_mgmt_az1_en2_mgmt_cidr">'Configure Management Domain'!$D$133</definedName>
    <definedName name="input_mgmt_az1_en2_mgmt_ip">Arkham!$Q$18</definedName>
    <definedName name="input_mgmt_az1_en2_uplink01_interface_cidr">'Configure Management Domain'!$D$174</definedName>
    <definedName name="input_mgmt_az1_en2_uplink02_interface_cidr">'Configure Management Domain'!$D$181</definedName>
    <definedName name="input_mgmt_az1_host_overlay_cidr">'Deploy Management Domain'!$L$257</definedName>
    <definedName name="input_mgmt_az1_host_overlay_gateway_ip">'Deploy Management Domain'!$L$260</definedName>
    <definedName name="input_mgmt_az1_host_overlay_mtu">'Deploy Management Domain'!$L$301</definedName>
    <definedName name="input_mgmt_az1_host_overlay_network_pool_description">'Deploy Management Domain'!$L$256</definedName>
    <definedName name="input_mgmt_az1_host_overlay_network_pool_name">'Deploy Management Domain'!$L$255</definedName>
    <definedName name="input_mgmt_az1_host_overlay_pool_end_ip">'Deploy Management Domain'!$L$259</definedName>
    <definedName name="input_mgmt_az1_host_overlay_pool_start_ip">'Deploy Management Domain'!$L$258</definedName>
    <definedName name="input_mgmt_az1_host_overlay_vlan">'Deploy Management Domain'!$L$253</definedName>
    <definedName name="input_mgmt_az1_host1_fqdn">'Deploy Management Domain'!$L$128</definedName>
    <definedName name="input_mgmt_az1_host1_mgmt_ip">'Deploy Management Domain'!$L$330</definedName>
    <definedName name="input_mgmt_az1_host1_vrms_ip">'Site Protection &amp; DR'!$D$176</definedName>
    <definedName name="input_mgmt_az1_host10_fqdn">'Deploy Management Domain'!$L$137</definedName>
    <definedName name="input_mgmt_az1_host10_mgmt_ip">'Deploy Management Domain'!$L$339</definedName>
    <definedName name="input_mgmt_az1_host10_vrms_ip">'Site Protection &amp; DR'!$D$185</definedName>
    <definedName name="input_mgmt_az1_host11_fqdn">'Deploy Management Domain'!$L$138</definedName>
    <definedName name="input_mgmt_az1_host11_mgmt_ip">'Deploy Management Domain'!$L$340</definedName>
    <definedName name="input_mgmt_az1_host11_vrms_ip">'Site Protection &amp; DR'!$D$186</definedName>
    <definedName name="input_mgmt_az1_host12_fqdn">'Deploy Management Domain'!$L$139</definedName>
    <definedName name="input_mgmt_az1_host12_mgmt_ip">'Deploy Management Domain'!$L$341</definedName>
    <definedName name="input_mgmt_az1_host12_vrms_ip">'Site Protection &amp; DR'!$D$187</definedName>
    <definedName name="input_mgmt_az1_host13_fqdn">'Deploy Management Domain'!$L$140</definedName>
    <definedName name="input_mgmt_az1_host13_mgmt_ip">'Deploy Management Domain'!$L$342</definedName>
    <definedName name="input_mgmt_az1_host13_vrms_ip">'Site Protection &amp; DR'!$D$188</definedName>
    <definedName name="input_mgmt_az1_host14_fqdn">'Deploy Management Domain'!$L$141</definedName>
    <definedName name="input_mgmt_az1_host14_mgmt_ip">'Deploy Management Domain'!$L$343</definedName>
    <definedName name="input_mgmt_az1_host14_vrms_ip">'Site Protection &amp; DR'!$D$189</definedName>
    <definedName name="input_mgmt_az1_host15_fqdn">'Deploy Management Domain'!$L$142</definedName>
    <definedName name="input_mgmt_az1_host15_mgmt_ip">'Deploy Management Domain'!$L$344</definedName>
    <definedName name="input_mgmt_az1_host15_vrms_ip">'Site Protection &amp; DR'!$D$190</definedName>
    <definedName name="input_mgmt_az1_host16_fqdn">'Deploy Management Domain'!$L$143</definedName>
    <definedName name="input_mgmt_az1_host16_mgmt_ip">'Deploy Management Domain'!$L$345</definedName>
    <definedName name="input_mgmt_az1_host16_vrms_ip">'Site Protection &amp; DR'!$D$191</definedName>
    <definedName name="input_mgmt_az1_host2_fqdn">'Deploy Management Domain'!$L$129</definedName>
    <definedName name="input_mgmt_az1_host2_mgmt_ip">'Deploy Management Domain'!$L$331</definedName>
    <definedName name="input_mgmt_az1_host2_vrms_ip">'Site Protection &amp; DR'!$D$177</definedName>
    <definedName name="input_mgmt_az1_host3_fqdn">'Deploy Management Domain'!$L$130</definedName>
    <definedName name="input_mgmt_az1_host3_mgmt_ip">'Deploy Management Domain'!$L$332</definedName>
    <definedName name="input_mgmt_az1_host3_vrms_ip">'Site Protection &amp; DR'!$D$178</definedName>
    <definedName name="input_mgmt_az1_host4_fqdn">'Deploy Management Domain'!$L$131</definedName>
    <definedName name="input_mgmt_az1_host4_mgmt_ip">'Deploy Management Domain'!$L$333</definedName>
    <definedName name="input_mgmt_az1_host4_vrms_ip">'Site Protection &amp; DR'!$D$179</definedName>
    <definedName name="input_mgmt_az1_host5_fqdn">'Deploy Management Domain'!$L$132</definedName>
    <definedName name="input_mgmt_az1_host5_mgmt_ip">'Deploy Management Domain'!$L$334</definedName>
    <definedName name="input_mgmt_az1_host5_vrms_ip">'Site Protection &amp; DR'!$D$180</definedName>
    <definedName name="input_mgmt_az1_host6_fqdn">'Deploy Management Domain'!$L$133</definedName>
    <definedName name="input_mgmt_az1_host6_mgmt_ip">'Deploy Management Domain'!$L$335</definedName>
    <definedName name="input_mgmt_az1_host6_vrms_ip">'Site Protection &amp; DR'!$D$181</definedName>
    <definedName name="input_mgmt_az1_host7_fqdn">'Deploy Management Domain'!$L$134</definedName>
    <definedName name="input_mgmt_az1_host7_mgmt_ip">'Deploy Management Domain'!$L$336</definedName>
    <definedName name="input_mgmt_az1_host7_vrms_ip">'Site Protection &amp; DR'!$D$182</definedName>
    <definedName name="input_mgmt_az1_host8_fqdn">'Deploy Management Domain'!$L$135</definedName>
    <definedName name="input_mgmt_az1_host8_mgmt_ip">'Deploy Management Domain'!$L$337</definedName>
    <definedName name="input_mgmt_az1_host8_vrms_ip">'Site Protection &amp; DR'!$D$183</definedName>
    <definedName name="input_mgmt_az1_host9_fqdn">'Deploy Management Domain'!$L$136</definedName>
    <definedName name="input_mgmt_az1_host9_mgmt_ip">'Deploy Management Domain'!$L$338</definedName>
    <definedName name="input_mgmt_az1_host9_vrms_ip">'Site Protection &amp; DR'!$D$184</definedName>
    <definedName name="input_mgmt_az1_mgmt_cidr">'Deploy Management Domain'!$L$150</definedName>
    <definedName name="input_mgmt_az1_mgmt_gateway_ip">'Deploy Management Domain'!$L$149</definedName>
    <definedName name="input_mgmt_az1_mgmt_mtu">'Deploy Management Domain'!$L$151</definedName>
    <definedName name="input_mgmt_az1_mgmt_vlan">'Deploy Management Domain'!$L$148</definedName>
    <definedName name="input_mgmt_az1_mgmt_vm_cidr">'Deploy Management Domain'!$L$156</definedName>
    <definedName name="input_mgmt_az1_mgmt_vm_gateway_ip">'Deploy Management Domain'!$L$155</definedName>
    <definedName name="input_mgmt_az1_mgmt_vm_mtu">'Deploy Management Domain'!$L$157</definedName>
    <definedName name="input_mgmt_az1_mgmt_vm_vlan">'Deploy Management Domain'!$L$154</definedName>
    <definedName name="input_mgmt_az1_rtep_ip_pool_name">'Configure Management Domain'!$D$491</definedName>
    <definedName name="input_mgmt_az1_rtep_overlay_cidr">'Configure Management Domain'!$D$494</definedName>
    <definedName name="input_mgmt_az1_rtep_overlay_gateway_ip">'Configure Management Domain'!$D$495</definedName>
    <definedName name="input_mgmt_az1_rtep_overlay_vlan">'Configure Management Domain'!$D$518</definedName>
    <definedName name="input_mgmt_az1_secondary_storage_cidr">'Deploy Management Domain'!$L$175</definedName>
    <definedName name="input_mgmt_az1_secondary_storage_gateway_ip">'Deploy Management Domain'!$L$174</definedName>
    <definedName name="input_mgmt_az1_secondary_storage_mtu">'Deploy Management Domain'!$L$176</definedName>
    <definedName name="input_mgmt_az1_secondary_storage_pool_end_ip">'Deploy Management Domain'!$L$178</definedName>
    <definedName name="input_mgmt_az1_secondary_storage_pool_start_ip">'Deploy Management Domain'!$L$177</definedName>
    <definedName name="input_mgmt_az1_secondary_storage_vlan">'Deploy Management Domain'!$L$173</definedName>
    <definedName name="input_mgmt_az1_tor1_peer_asn">'Configure Management Domain'!$D$163</definedName>
    <definedName name="input_mgmt_az1_tor1_peer_bgp_password">'Configure Management Domain'!$D$164</definedName>
    <definedName name="input_mgmt_az1_tor1_peer_ip">'Configure Management Domain'!$D$160</definedName>
    <definedName name="input_mgmt_az1_tor2_peer_asn">'Configure Management Domain'!$D$170</definedName>
    <definedName name="input_mgmt_az1_tor2_peer_bgp_password">'Configure Management Domain'!$D$171</definedName>
    <definedName name="input_mgmt_az1_tor2_peer_ip">'Configure Management Domain'!$D$167</definedName>
    <definedName name="input_mgmt_az1_uplink01_cidr">'Configure Management Domain'!$D$195</definedName>
    <definedName name="input_mgmt_az1_uplink01_gateway_ip">'Configure Management Domain'!$D$194</definedName>
    <definedName name="input_mgmt_az1_uplink01_mtu">'Configure Management Domain'!$D$162</definedName>
    <definedName name="input_mgmt_az1_uplink01_vlan">'Configure Management Domain'!$D$158</definedName>
    <definedName name="input_mgmt_az1_uplink02_cidr">'Configure Management Domain'!$D$199</definedName>
    <definedName name="input_mgmt_az1_uplink02_gateway_ip">'Configure Management Domain'!$D$198</definedName>
    <definedName name="input_mgmt_az1_uplink02_mtu">'Configure Management Domain'!$D$169</definedName>
    <definedName name="input_mgmt_az1_uplink02_vlan">'Configure Management Domain'!$D$165</definedName>
    <definedName name="input_mgmt_az1_vmotion_cidr">'Deploy Management Domain'!$L$161</definedName>
    <definedName name="input_mgmt_az1_vmotion_gateway_ip">'Deploy Management Domain'!$L$160</definedName>
    <definedName name="input_mgmt_az1_vmotion_mtu">'Deploy Management Domain'!$L$162</definedName>
    <definedName name="input_mgmt_az1_vmotion_pool_end_ip">'Deploy Management Domain'!$L$164</definedName>
    <definedName name="input_mgmt_az1_vmotion_pool_start_ip">'Deploy Management Domain'!$L$163</definedName>
    <definedName name="input_mgmt_az1_vmotion_vlan">'Deploy Management Domain'!$L$159</definedName>
    <definedName name="input_mgmt_az1_vrms_mask">'Site Protection &amp; DR'!$D$172</definedName>
    <definedName name="input_mgmt_az1_vrms_mtu">'Site Protection &amp; DR'!$D$174</definedName>
    <definedName name="input_mgmt_az1_vrms_vlan">'Site Protection &amp; DR'!$D$163</definedName>
    <definedName name="input_mgmt_az1_vsan_cidr">'Deploy Management Domain'!$L$168</definedName>
    <definedName name="input_mgmt_az1_vsan_gateway_ip">'Deploy Management Domain'!$L$167</definedName>
    <definedName name="input_mgmt_az1_vsan_mtu">'Deploy Management Domain'!$L$169</definedName>
    <definedName name="input_mgmt_az1_vsan_pool_end_ip">'Deploy Management Domain'!$L$171</definedName>
    <definedName name="input_mgmt_az1_vsan_pool_start_ip">'Deploy Management Domain'!$L$170</definedName>
    <definedName name="input_mgmt_az1_vsan_vlan">'Deploy Management Domain'!$L$166</definedName>
    <definedName name="input_mgmt_az2_host_overlay_cidr">'Configure Management Domain'!$D$367</definedName>
    <definedName name="input_mgmt_az2_host_overlay_gateway_ip">'Configure Management Domain'!$D$366</definedName>
    <definedName name="input_mgmt_az2_host_overlay_mtu">'Configure Management Domain'!$D$368</definedName>
    <definedName name="input_mgmt_az2_host_overlay_network_pool_name">'Configure Management Domain'!$D$363</definedName>
    <definedName name="input_mgmt_az2_host_overlay_network_profile_name">'Configure Management Domain'!$D$361</definedName>
    <definedName name="input_mgmt_az2_host_overlay_pool_end_ip">'Configure Management Domain'!$D$370</definedName>
    <definedName name="input_mgmt_az2_host_overlay_pool_start_ip">'Configure Management Domain'!$D$369</definedName>
    <definedName name="input_mgmt_az2_host_overlay_uplink_profile_name">'Configure Management Domain'!$D$364</definedName>
    <definedName name="input_mgmt_az2_host_overlay_vlan">'Configure Management Domain'!$D$365</definedName>
    <definedName name="input_mgmt_az2_host1_fqdn">'Configure Management Domain'!$D$279</definedName>
    <definedName name="input_mgmt_az2_host1_mgmt_ip">'Configure Management Domain'!$D$230</definedName>
    <definedName name="input_mgmt_az2_host1_sddc_id">'Configure Management Domain'!$D$345</definedName>
    <definedName name="input_mgmt_az2_host1_vrms_ip">'Site Protection &amp; DR'!$D$193</definedName>
    <definedName name="input_mgmt_az2_host10_fqdn">'Configure Management Domain'!$D$288</definedName>
    <definedName name="input_mgmt_az2_host10_mgmt_ip">'Configure Management Domain'!$D$239</definedName>
    <definedName name="input_mgmt_az2_host10_vrms_ip">'Site Protection &amp; DR'!$D$202</definedName>
    <definedName name="input_mgmt_az2_host11_fqdn">'Configure Management Domain'!$D$289</definedName>
    <definedName name="input_mgmt_az2_host11_mgmt_ip">'Configure Management Domain'!$D$240</definedName>
    <definedName name="input_mgmt_az2_host11_vrms_ip">'Site Protection &amp; DR'!$D$203</definedName>
    <definedName name="input_mgmt_az2_host12_fqdn">'Configure Management Domain'!$D$290</definedName>
    <definedName name="input_mgmt_az2_host12_mgmt_ip">'Configure Management Domain'!$D$241</definedName>
    <definedName name="input_mgmt_az2_host12_vrms_ip">'Site Protection &amp; DR'!$D$204</definedName>
    <definedName name="input_mgmt_az2_host13_fqdn">'Configure Management Domain'!$D$291</definedName>
    <definedName name="input_mgmt_az2_host13_mgmt_ip">'Configure Management Domain'!$D$242</definedName>
    <definedName name="input_mgmt_az2_host13_vrms_ip">'Site Protection &amp; DR'!$D$205</definedName>
    <definedName name="input_mgmt_az2_host14_fqdn">'Configure Management Domain'!$D$292</definedName>
    <definedName name="input_mgmt_az2_host14_mgmt_ip">'Configure Management Domain'!$D$243</definedName>
    <definedName name="input_mgmt_az2_host14_vrms_ip">'Site Protection &amp; DR'!$D$206</definedName>
    <definedName name="input_mgmt_az2_host15_fqdn">'Configure Management Domain'!$D$293</definedName>
    <definedName name="input_mgmt_az2_host15_mgmt_ip">'Configure Management Domain'!$D$244</definedName>
    <definedName name="input_mgmt_az2_host15_vrms_ip">'Site Protection &amp; DR'!$D$207</definedName>
    <definedName name="input_mgmt_az2_host16_fqdn">'Configure Management Domain'!$D$294</definedName>
    <definedName name="input_mgmt_az2_host16_mgmt_ip">'Configure Management Domain'!$D$245</definedName>
    <definedName name="input_mgmt_az2_host16_vrms_ip">'Site Protection &amp; DR'!$D$208</definedName>
    <definedName name="input_mgmt_az2_host2_fqdn">'Configure Management Domain'!$D$280</definedName>
    <definedName name="input_mgmt_az2_host2_mgmt_ip">'Configure Management Domain'!$D$231</definedName>
    <definedName name="input_mgmt_az2_host2_sddc_id">'Configure Management Domain'!$D$346</definedName>
    <definedName name="input_mgmt_az2_host2_vrms_ip">'Site Protection &amp; DR'!$D$194</definedName>
    <definedName name="input_mgmt_az2_host3_fqdn">'Configure Management Domain'!$D$281</definedName>
    <definedName name="input_mgmt_az2_host3_mgmt_ip">'Configure Management Domain'!$D$232</definedName>
    <definedName name="input_mgmt_az2_host3_sddc_id">'Configure Management Domain'!$D$347</definedName>
    <definedName name="input_mgmt_az2_host3_vrms_ip">'Site Protection &amp; DR'!$D$195</definedName>
    <definedName name="input_mgmt_az2_host4_fqdn">'Configure Management Domain'!$D$282</definedName>
    <definedName name="input_mgmt_az2_host4_mgmt_ip">'Configure Management Domain'!$D$233</definedName>
    <definedName name="input_mgmt_az2_host4_sddc_id">'Configure Management Domain'!$D$348</definedName>
    <definedName name="input_mgmt_az2_host4_vrms_ip">'Site Protection &amp; DR'!$D$196</definedName>
    <definedName name="input_mgmt_az2_host5_fqdn">'Configure Management Domain'!$D$283</definedName>
    <definedName name="input_mgmt_az2_host5_mgmt_ip">'Configure Management Domain'!$D$234</definedName>
    <definedName name="input_mgmt_az2_host5_vrms_ip">'Site Protection &amp; DR'!$D$197</definedName>
    <definedName name="input_mgmt_az2_host6_fqdn">'Configure Management Domain'!$D$284</definedName>
    <definedName name="input_mgmt_az2_host6_mgmt_ip">'Configure Management Domain'!$D$235</definedName>
    <definedName name="input_mgmt_az2_host6_vrms_ip">'Site Protection &amp; DR'!$D$198</definedName>
    <definedName name="input_mgmt_az2_host7_fqdn">'Configure Management Domain'!$D$285</definedName>
    <definedName name="input_mgmt_az2_host7_mgmt_ip">'Configure Management Domain'!$D$236</definedName>
    <definedName name="input_mgmt_az2_host7_vrms_ip">'Site Protection &amp; DR'!$D$199</definedName>
    <definedName name="input_mgmt_az2_host8_fqdn">'Configure Management Domain'!$D$286</definedName>
    <definedName name="input_mgmt_az2_host8_mgmt_ip">'Configure Management Domain'!$D$237</definedName>
    <definedName name="input_mgmt_az2_host8_vrms_ip">'Site Protection &amp; DR'!$D$200</definedName>
    <definedName name="input_mgmt_az2_host9_fqdn">'Configure Management Domain'!$D$287</definedName>
    <definedName name="input_mgmt_az2_host9_mgmt_ip">'Configure Management Domain'!$D$238</definedName>
    <definedName name="input_mgmt_az2_host9_vrms_ip">'Site Protection &amp; DR'!$D$201</definedName>
    <definedName name="input_mgmt_az2_mgmt_cidr">'Configure Management Domain'!$D$227</definedName>
    <definedName name="input_mgmt_az2_mgmt_gateway_ip">'Configure Management Domain'!$D$226</definedName>
    <definedName name="input_mgmt_az2_mgmt_mtu">'Configure Management Domain'!$D$228</definedName>
    <definedName name="input_mgmt_az2_mgmt_vlan">'Configure Management Domain'!$D$225</definedName>
    <definedName name="input_mgmt_az2_pool_name">'Configure Management Domain'!$D$250</definedName>
    <definedName name="input_mgmt_az2_secondary_storage_gateway_ip">'Configure Management Domain'!$D$272</definedName>
    <definedName name="input_mgmt_az2_secondary_storage_mask">'Configure Management Domain'!$D$271</definedName>
    <definedName name="input_mgmt_az2_secondary_storage_mtu">'Configure Management Domain'!$D$269</definedName>
    <definedName name="input_mgmt_az2_secondary_storage_network">'Configure Management Domain'!$D$270</definedName>
    <definedName name="input_mgmt_az2_secondary_storage_pool_end_ip">'Configure Management Domain'!$D$274</definedName>
    <definedName name="input_mgmt_az2_secondary_storage_pool_start_ip">'Configure Management Domain'!$D$273</definedName>
    <definedName name="input_mgmt_az2_secondary_storage_vlan">'Configure Management Domain'!$D$268</definedName>
    <definedName name="input_mgmt_az2_tor1_peer_asn">'Configure Management Domain'!$D$385</definedName>
    <definedName name="input_mgmt_az2_tor1_peer_bgp_password">'Configure Management Domain'!$D$388</definedName>
    <definedName name="input_mgmt_az2_tor1_peer_ip">'Configure Management Domain'!$D$384</definedName>
    <definedName name="input_mgmt_az2_tor2_peer_asn">'Configure Management Domain'!$D$392</definedName>
    <definedName name="input_mgmt_az2_tor2_peer_bgp_password">'Configure Management Domain'!$D$393</definedName>
    <definedName name="input_mgmt_az2_tor2_peer_ip">'Configure Management Domain'!$D$389</definedName>
    <definedName name="input_mgmt_az2_vmotion_gateway_ip">'Configure Management Domain'!$D$256</definedName>
    <definedName name="input_mgmt_az2_vmotion_mask">'Configure Management Domain'!$D$255</definedName>
    <definedName name="input_mgmt_az2_vmotion_mtu">'Configure Management Domain'!$D$253</definedName>
    <definedName name="input_mgmt_az2_vmotion_network">'Configure Management Domain'!$D$254</definedName>
    <definedName name="input_mgmt_az2_vmotion_pool_end_ip">'Configure Management Domain'!$D$258</definedName>
    <definedName name="input_mgmt_az2_vmotion_pool_start_ip">'Configure Management Domain'!$D$257</definedName>
    <definedName name="input_mgmt_az2_vmotion_vlan">'Configure Management Domain'!$D$252</definedName>
    <definedName name="input_mgmt_az2_vsan_gateway_ip">'Configure Management Domain'!$D$264</definedName>
    <definedName name="input_mgmt_az2_vsan_mask">'Configure Management Domain'!$D$263</definedName>
    <definedName name="input_mgmt_az2_vsan_mtu">'Configure Management Domain'!$D$261</definedName>
    <definedName name="input_mgmt_az2_vsan_network">'Configure Management Domain'!$D$262</definedName>
    <definedName name="input_mgmt_az2_vsan_pool_end_ip">'Configure Management Domain'!$D$266</definedName>
    <definedName name="input_mgmt_az2_vsan_pool_start_ip">'Configure Management Domain'!$D$265</definedName>
    <definedName name="input_mgmt_az2_vsan_vlan">'Configure Management Domain'!$D$260</definedName>
    <definedName name="input_mgmt_cl01_az1_mgmt_pg">'Deploy Management Domain'!$L$221</definedName>
    <definedName name="input_mgmt_cl01_az1_mgmt_vm_pg">'Deploy Management Domain'!$L$226</definedName>
    <definedName name="input_mgmt_cl01_az1_nfs_pg">'Deploy Management Domain'!$L$241</definedName>
    <definedName name="input_mgmt_cl01_az1_uplink01_pg">'Configure Management Domain'!$D$193</definedName>
    <definedName name="input_mgmt_cl01_az1_uplink02_pg">'Configure Management Domain'!$D$197</definedName>
    <definedName name="input_mgmt_cl01_az1_vcf_mgmt_pg">Arkham!$B$9</definedName>
    <definedName name="input_mgmt_cl01_az1_vmotion_pg">'Deploy Management Domain'!$L$231</definedName>
    <definedName name="input_mgmt_cl01_az1_vsan_pg">'Deploy Management Domain'!$L$236</definedName>
    <definedName name="input_mgmt_cl01_cluster">'Deploy Management Domain'!$L$94</definedName>
    <definedName name="input_mgmt_cl01_cluster_sddc_id">'Configure Management Domain'!$D$374</definedName>
    <definedName name="input_mgmt_cl01_nfs_server_ip">'Deploy Management Domain'!$L$121</definedName>
    <definedName name="input_mgmt_cl01_nfs_share">'Deploy Management Domain'!$L$120</definedName>
    <definedName name="input_mgmt_cl01_vds01_lag_name">'Deploy Management Domain'!$L$191</definedName>
    <definedName name="input_mgmt_cl01_vds01_mtu">'Deploy Management Domain'!$L$189</definedName>
    <definedName name="input_mgmt_cl01_vds01_name">'Deploy Management Domain'!$L$188</definedName>
    <definedName name="input_mgmt_cl01_vds01_uplink_count">'Deploy Management Domain'!$L$195</definedName>
    <definedName name="input_mgmt_cl01_vds01_uplink1">'Deploy Management Domain'!$L$196</definedName>
    <definedName name="input_mgmt_cl01_vds01_uplink2">'Deploy Management Domain'!$L$197</definedName>
    <definedName name="input_mgmt_cl01_vds02_lag_name">'Deploy Management Domain'!$L$202</definedName>
    <definedName name="input_mgmt_cl01_vds02_mtu">'Deploy Management Domain'!$L$200</definedName>
    <definedName name="input_mgmt_cl01_vds02_name">'Deploy Management Domain'!$L$199</definedName>
    <definedName name="input_mgmt_cl01_vds02_uplink_count">'Deploy Management Domain'!$L$206</definedName>
    <definedName name="input_mgmt_cl01_vds02_uplink1">'Deploy Management Domain'!$L$207</definedName>
    <definedName name="input_mgmt_cl01_vds02_uplink2">'Deploy Management Domain'!$L$208</definedName>
    <definedName name="input_mgmt_cl01_vds03_lag_name">'Deploy Management Domain'!$L$213</definedName>
    <definedName name="input_mgmt_cl01_vds03_mtu">'Deploy Management Domain'!$L$212</definedName>
    <definedName name="input_mgmt_cl01_vds03_name">'Deploy Management Domain'!$L$210</definedName>
    <definedName name="input_mgmt_cl01_vds03_uplink_count">'Deploy Management Domain'!$L$217</definedName>
    <definedName name="input_mgmt_cl01_vds03_uplink1">'Deploy Management Domain'!$L$218</definedName>
    <definedName name="input_mgmt_cl01_vds03_uplink2">'Deploy Management Domain'!$L$219</definedName>
    <definedName name="input_mgmt_cl01_vsan_datastore">'Deploy Management Domain'!$L$117</definedName>
    <definedName name="input_mgmt_cross_instance_linked_t0_name">'Configure Management Domain'!$D$523</definedName>
    <definedName name="input_mgmt_datacenter">'Deploy Management Domain'!$L$93</definedName>
    <definedName name="input_mgmt_ec_mtu">'Configure Management Domain'!$D$96</definedName>
    <definedName name="input_mgmt_ec_name">'Configure Management Domain'!$D$95</definedName>
    <definedName name="input_mgmt_ec_rp_name">'Configure Management Domain'!$D$101</definedName>
    <definedName name="input_mgmt_ec01_en01_host_group_affinity_rule_name">'Configure Management Domain'!$D$103</definedName>
    <definedName name="input_mgmt_ec01_en02_host_group_affinity_rule_name">'Configure Management Domain'!$D$129</definedName>
    <definedName name="input_mgmt_en_asn">'Configure Management Domain'!$D$156</definedName>
    <definedName name="input_mgmt_existing_active_nsx_gm">'Configure Management Domain'!$D$531</definedName>
    <definedName name="input_mgmt_existing_cross_instance_t0_name">'Configure Management Domain'!$D$532</definedName>
    <definedName name="input_mgmt_host_overlay_transportzone">'Deploy Management Domain'!$L$252</definedName>
    <definedName name="input_mgmt_internet_proxy_address">'Deploy Management Domain'!$L$15</definedName>
    <definedName name="input_mgmt_internet_proxy_email">'Deploy Management Domain'!$L$18</definedName>
    <definedName name="input_mgmt_internet_proxy_password">'Deploy Management Domain'!$L$19</definedName>
    <definedName name="input_mgmt_internet_proxy_port">'Deploy Management Domain'!$L$16</definedName>
    <definedName name="input_mgmt_mgmt_rp">'Deploy Management Domain'!$M$350</definedName>
    <definedName name="input_mgmt_nsx_rp">'Deploy Management Domain'!$M$351</definedName>
    <definedName name="input_mgmt_nsxt_en_admin_password">'Configure Management Domain'!$D$150</definedName>
    <definedName name="input_mgmt_nsxt_en_root_password">'Configure Management Domain'!$D$149</definedName>
    <definedName name="input_mgmt_nsxt_federation_global_manager_name">'Configure Management Domain'!$D$498</definedName>
    <definedName name="input_mgmt_nsxt_federation_location_name">'Configure Management Domain'!$D$512</definedName>
    <definedName name="input_mgmt_nsxt_global_mgr_anti_affinity_rule_name">'Configure Management Domain'!$D$469</definedName>
    <definedName name="input_mgmt_nsxt_global_mgr_certificate_id">'Configure Management Domain'!$D$481</definedName>
    <definedName name="input_mgmt_nsxt_global_mgr_cluster_id">'Configure Management Domain'!$D$453</definedName>
    <definedName name="input_mgmt_nsxt_global_mgr_vmca_signed_thumbprint">'Configure Management Domain'!$D$454</definedName>
    <definedName name="input_mgmt_nsxt_global_mgra_fqdn">'Configure Management Domain'!$D$409</definedName>
    <definedName name="input_mgmt_nsxt_global_mgra_hostname">'Configure Management Domain'!$D$400</definedName>
    <definedName name="input_mgmt_nsxt_global_mgra_ip">'Configure Management Domain'!$D$410</definedName>
    <definedName name="input_mgmt_nsxt_global_mgrb_fqdn">'Configure Management Domain'!$D$426</definedName>
    <definedName name="input_mgmt_nsxt_global_mgrb_hostname">'Configure Management Domain'!$D$417</definedName>
    <definedName name="input_mgmt_nsxt_global_mgrb_ip">'Configure Management Domain'!$D$427</definedName>
    <definedName name="input_mgmt_nsxt_global_mgrc_fqdn">'Configure Management Domain'!$D$443</definedName>
    <definedName name="input_mgmt_nsxt_global_mgrc_hostname">'Configure Management Domain'!$D$434</definedName>
    <definedName name="input_mgmt_nsxt_global_mgrc_ip">'Configure Management Domain'!$D$444</definedName>
    <definedName name="input_mgmt_nsxt_gm_fingerprint">'Configure Management Domain'!$D$501</definedName>
    <definedName name="input_mgmt_nsxt_gm_vip_fqdn">'Configure Management Domain'!$D$450</definedName>
    <definedName name="input_mgmt_nsxt_gm_vip_ip">'Configure Management Domain'!$D$475</definedName>
    <definedName name="input_mgmt_nsxt_lm_fingerprint">'Configure Management Domain'!$D$510</definedName>
    <definedName name="input_mgmt_nsxt_mgra_fqdn">'Deploy Management Domain'!$L$105</definedName>
    <definedName name="input_mgmt_nsxt_mgra_ip">'Deploy Management Domain'!$L$326</definedName>
    <definedName name="input_mgmt_nsxt_mgrb_fqdn">'Deploy Management Domain'!$L$106</definedName>
    <definedName name="input_mgmt_nsxt_mgrb_ip">'Deploy Management Domain'!$L$327</definedName>
    <definedName name="input_mgmt_nsxt_mgrc_fqdn">'Deploy Management Domain'!$L$107</definedName>
    <definedName name="input_mgmt_nsxt_mgrc_ip">'Deploy Management Domain'!$L$328</definedName>
    <definedName name="input_mgmt_nsxt_vip_fqdn">'Deploy Management Domain'!$L$104</definedName>
    <definedName name="input_mgmt_nsxt_vip_ip">'Deploy Management Domain'!$L$325</definedName>
    <definedName name="input_mgmt_nsxt_xreg_t1_name">'Configure Management Domain'!$D$522</definedName>
    <definedName name="input_mgmt_offline_depot_fqdn">'Deploy Management Domain'!$L$10</definedName>
    <definedName name="input_mgmt_offline_depot_port">'Deploy Management Domain'!$L$11</definedName>
    <definedName name="input_mgmt_recovery_lb_creation_method">'Dumping Ground'!$D$53</definedName>
    <definedName name="input_mgmt_rtep_overlay_pool_end_ip">'Configure Management Domain'!$D$493</definedName>
    <definedName name="input_mgmt_rtep_overlay_pool_start_ip">'Configure Management Domain'!$D$492</definedName>
    <definedName name="input_mgmt_rwr_recovery_site_az1_mgmt_cidr">'On-Premises Ransomware Recovery'!$D$101</definedName>
    <definedName name="input_mgmt_rwr_vc_fqdn">'On-Premises Ransomware Recovery'!$D$9</definedName>
    <definedName name="input_mgmt_sddc_domain">'Deploy Management Domain'!$L$39</definedName>
    <definedName name="input_mgmt_srm_admin_email">'Dumping Ground'!$D$41</definedName>
    <definedName name="input_mgmt_srm_admin_password">'Dumping Ground'!$D$38</definedName>
    <definedName name="input_mgmt_srm_database_password">'Dumping Ground'!$D$39</definedName>
    <definedName name="input_mgmt_srm_days">'Site Protection &amp; DR'!$D$255</definedName>
    <definedName name="input_mgmt_srm_instances_per_day">'Site Protection &amp; DR'!$D$254</definedName>
    <definedName name="input_mgmt_srm_ip">'Dumping Ground'!$G$6</definedName>
    <definedName name="input_mgmt_srm_logs_pg">'Site Protection &amp; DR'!$D$282</definedName>
    <definedName name="input_mgmt_srm_logs_rp">'Site Protection &amp; DR'!$D$283</definedName>
    <definedName name="input_mgmt_srm_net_pg">'Site Protection &amp; DR'!$D$307</definedName>
    <definedName name="input_mgmt_srm_net_rp">'Site Protection &amp; DR'!$D$308</definedName>
    <definedName name="input_mgmt_srm_p12_password">'Dumping Ground'!$D$42</definedName>
    <definedName name="input_mgmt_srm_recovery_cluster">'Site Protection &amp; DR'!$D$324</definedName>
    <definedName name="input_mgmt_srm_recovery_datastore">'Site Protection &amp; DR'!$D$252</definedName>
    <definedName name="input_mgmt_srm_recovery_gateway">'Site Protection &amp; DR'!$D$382</definedName>
    <definedName name="input_mgmt_srm_recovery_mask">'Site Protection &amp; DR'!$D$383</definedName>
    <definedName name="input_mgmt_srm_recovery_nsx_ec_name">'Dumping Ground'!$D$60</definedName>
    <definedName name="input_mgmt_srm_recovery_nsx_location">'Dumping Ground'!$D$59</definedName>
    <definedName name="input_mgmt_srm_recovery_pg">'Site Protection &amp; DR'!$D$376</definedName>
    <definedName name="input_mgmt_srm_recovery_sddc_manager_domain">'Dumping Ground'!$D$58</definedName>
    <definedName name="input_mgmt_srm_recovery_sddc_manager_fqdn">'Dumping Ground'!$D$17</definedName>
    <definedName name="input_mgmt_srm_recovery_sddc_manager_password">'Dumping Ground'!$D$19</definedName>
    <definedName name="input_mgmt_srm_recovery_sddc_manager_username">'Dumping Ground'!$D$18</definedName>
    <definedName name="input_mgmt_srm_recovery_t1_si_ip">'Dumping Ground'!$G$7</definedName>
    <definedName name="input_mgmt_srm_recovery_vcenter_fqdn">'Site Protection &amp; DR'!$D$217</definedName>
    <definedName name="input_mgmt_srm_recovery_vcenter_password">'Site Protection &amp; DR'!$D$219</definedName>
    <definedName name="input_mgmt_srm_recovery_vcenter_username">'Site Protection &amp; DR'!$D$218</definedName>
    <definedName name="input_mgmt_srm_root_password">'Dumping Ground'!$D$37</definedName>
    <definedName name="input_mgmt_srm_rpo">'Site Protection &amp; DR'!$D$253</definedName>
    <definedName name="input_mgmt_srm_site_name">'Dumping Ground'!$D$40</definedName>
    <definedName name="input_mgmt_srm_sso_domain_membership">'Dumping Ground'!$D$64</definedName>
    <definedName name="input_mgmt_srm_vm_folder">'Dumping Ground'!$D$36</definedName>
    <definedName name="input_mgmt_srm_vra_pg">'Dumping Ground'!$D$50</definedName>
    <definedName name="input_mgmt_srm_vra_rp">'Dumping Ground'!$D$51</definedName>
    <definedName name="input_mgmt_srm_vrops_pg">'Site Protection &amp; DR'!$D$256</definedName>
    <definedName name="input_mgmt_srm_vrops_rp">'Site Protection &amp; DR'!$D$257</definedName>
    <definedName name="input_mgmt_srm_vrslcm_wsa_pg">'Dumping Ground'!$D$46</definedName>
    <definedName name="input_mgmt_srm_vrslcm_wsa_rp">'Dumping Ground'!$D$47</definedName>
    <definedName name="input_mgmt_sso_domain">'Deploy Management Domain'!$L$95</definedName>
    <definedName name="input_mgmt_sso_domain_username">'Deploy Management Domain'!$L$96</definedName>
    <definedName name="input_mgmt_tier0_name">'Configure Management Domain'!$D$153</definedName>
    <definedName name="input_mgmt_tier1_name">'Value Reference Tables'!$U$212</definedName>
    <definedName name="input_mgmt_user_edge_rp">'Deploy Management Domain'!$M$352</definedName>
    <definedName name="input_mgmt_user_vm_rp">'Deploy Management Domain'!$M$353</definedName>
    <definedName name="input_mgmt_vc_fqdn">'Deploy Management Domain'!$L$90</definedName>
    <definedName name="input_mgmt_vc_ip">'Deploy Management Domain'!$L$323</definedName>
    <definedName name="input_mgmt_vnaa_fqdn">Arkham!$Q$49</definedName>
    <definedName name="input_mgmt_vnaa_ip">Arkham!$Q$47</definedName>
    <definedName name="input_mgmt_vnab_fqdn">Arkham!$Q$50</definedName>
    <definedName name="input_mgmt_vnab_ip">Arkham!$Q$48</definedName>
    <definedName name="input_mgmt_vpc_ext_ip_blocks">'Configure Management Domain'!$D$188</definedName>
    <definedName name="input_mgmt_vpc_transit_gateway_ip_blocks">'Configure Management Domain'!$D$189</definedName>
    <definedName name="input_mgmt_vrms_admin_email">'Site Protection &amp; DR'!$D$153</definedName>
    <definedName name="input_mgmt_vrms_admin_password">'Dumping Ground'!$D$30</definedName>
    <definedName name="input_mgmt_vrms_hostname">'Dumping Ground'!$E$4</definedName>
    <definedName name="input_mgmt_vrms_mgmt_ip">'Site Protection &amp; DR'!$D$113</definedName>
    <definedName name="input_mgmt_vrms_p12_password">'Dumping Ground'!$D$34</definedName>
    <definedName name="input_mgmt_vrms_pg">'Site Protection &amp; DR'!$D$162</definedName>
    <definedName name="input_mgmt_vrms_recovery_replication_cidr">'Dumping Ground'!$D$63</definedName>
    <definedName name="input_mgmt_vrms_root_password">'Dumping Ground'!$D$29</definedName>
    <definedName name="input_mgmt_vrms_site_name">'Site Protection &amp; DR'!$D$152</definedName>
    <definedName name="input_mgmt_vrms_vm_folder">'Dumping Ground'!$D$28</definedName>
    <definedName name="input_mgmt_vrms_vrms_ip">'Dumping Ground'!$G$5</definedName>
    <definedName name="input_mgmt_witness_cluster">'Configure Management Domain'!$D$313</definedName>
    <definedName name="input_mgmt_witness_dns1_ip">'Configure Management Domain'!$D$324</definedName>
    <definedName name="input_mgmt_witness_dns2_ip">'Configure Management Domain'!$D$325</definedName>
    <definedName name="input_mgmt_witness_fqdn">'Configure Management Domain'!$D$371</definedName>
    <definedName name="input_mgmt_witness_hostname">'Configure Management Domain'!$D$312</definedName>
    <definedName name="input_mgmt_witness_ip">'Configure Management Domain'!$D$319</definedName>
    <definedName name="input_mgmt_witness_mgmt_pg">'Configure Management Domain'!$D$316</definedName>
    <definedName name="input_mgmt_witness_ntp1_server">'Configure Management Domain'!$D$326</definedName>
    <definedName name="input_mgmt_witness_ntp2_server">'Configure Management Domain'!$D$327</definedName>
    <definedName name="input_mgmt_witness_root_password">'Configure Management Domain'!$D$318</definedName>
    <definedName name="input_mgmt_witness_vm_folder">'Configure Management Domain'!$D$314</definedName>
    <definedName name="input_mgmt_witness_vsan_datastore">'Configure Management Domain'!$D$315</definedName>
    <definedName name="input_mgmt_witness_zone_vc_fqdn">'Configure Management Domain'!$D$310</definedName>
    <definedName name="input_mgmt_witness_zone_vc_ip">'Configure Management Domain'!$D$311</definedName>
    <definedName name="input_mgmt_witnessaz_mgmt_cidr">'Configure Management Domain'!$D$307</definedName>
    <definedName name="input_mgmt_witnessaz_mgmt_gateway_ip">'Configure Management Domain'!$D$306</definedName>
    <definedName name="input_mgmt_witnessaz_mgmt_mtu">'Configure Management Domain'!$D$308</definedName>
    <definedName name="input_mgmt_witnessaz_mgmt_vlan">'Configure Management Domain'!$D$305</definedName>
    <definedName name="input_nsxt_gm_admin_password">'Configure Management Domain'!$D$407</definedName>
    <definedName name="input_nsxt_gm_audit_password">'Configure Management Domain'!$D$408</definedName>
    <definedName name="input_nsxt_gm_root_password">'Configure Management Domain'!$D$406</definedName>
    <definedName name="input_nsxt_lm_admin_password">'Deploy Management Domain'!$L$108</definedName>
    <definedName name="input_nsxt_lm_audit_password">'Deploy Management Domain'!$L$110</definedName>
    <definedName name="input_nsxt_lm_root_password">'Deploy Management Domain'!$L$109</definedName>
    <definedName name="input_parent_ad_groups_ou">'Active Directory Inputs'!$E$10</definedName>
    <definedName name="input_parent_ad_users_ou">'Active Directory Inputs'!$G$10</definedName>
    <definedName name="input_parent_dns_zone">'Deploy Management Domain'!$L$43</definedName>
    <definedName name="input_parent_gg_wsa_admins_group">'Active Directory Inputs'!$E$59</definedName>
    <definedName name="input_parent_gg_wsa_directory_admins_group">'Active Directory Inputs'!$E$60</definedName>
    <definedName name="input_parent_gg_wsa_read_only_group">'Active Directory Inputs'!$E$61</definedName>
    <definedName name="input_region_ad_child_fqdn">'Active Directory Inputs'!$E$9</definedName>
    <definedName name="input_region_ad_child_netbios">'Active Directory Inputs'!$G$9</definedName>
    <definedName name="input_region_ad_parent_fqdn">'Active Directory Inputs'!$E$8</definedName>
    <definedName name="input_region_ad_parent_netbios">'Active Directory Inputs'!$G$8</definedName>
    <definedName name="input_region_dns1_ip">'Deploy Management Domain'!$L$44</definedName>
    <definedName name="input_region_dns2_ip">'Deploy Management Domain'!$L$45</definedName>
    <definedName name="input_region_ntp1_server">'Deploy Management Domain'!$L$47</definedName>
    <definedName name="input_region_ntp2_server">'Deploy Management Domain'!$L$48</definedName>
    <definedName name="input_rwr_child_dns_zone">'On-Premises Ransomware Recovery'!$D$20</definedName>
    <definedName name="input_rwr_datacenter">'On-Premises Ransomware Recovery'!$D$143</definedName>
    <definedName name="input_rwr_sso_domain_name">'On-Premises Ransomware Recovery'!$D$43</definedName>
    <definedName name="input_rwr_vlr_replication_password">'On-Premises Ransomware Recovery'!$D$45</definedName>
    <definedName name="input_rwr_vrms_pg">'On-Premises Ransomware Recovery'!$D$71</definedName>
    <definedName name="input_sddc_mgr_admin_local_password">'Deploy Management Domain'!$L$269</definedName>
    <definedName name="input_sddc_mgr_fqdn">'Deploy Management Domain'!$L$266</definedName>
    <definedName name="input_sddc_mgr_ip">'Deploy Management Domain'!$L$322</definedName>
    <definedName name="input_sddc_mgr_root_password">'Deploy Management Domain'!$L$267</definedName>
    <definedName name="input_sddc_mgr_vcf_password">'Deploy Management Domain'!$L$268</definedName>
    <definedName name="input_sftp_server">'Configure Management Domain'!$D$21</definedName>
    <definedName name="input_sftp_server_backup_dir">'Configure Management Domain'!$D$26</definedName>
    <definedName name="input_sftp_server_passphrase">'Configure Management Domain'!$D$28</definedName>
    <definedName name="input_sftp_server_port">'Configure Management Domain'!$D$22</definedName>
    <definedName name="input_sftp_server_protocol">'Configure Management Domain'!$D$23</definedName>
    <definedName name="input_sftp_server_sshfingerprint">'Configure Management Domain'!$D$27</definedName>
    <definedName name="input_smtp_server">Arkham!$C$16</definedName>
    <definedName name="input_smtp_server_port">Arkham!$C$17</definedName>
    <definedName name="input_svc_cbr_vcdr_vsphere_password">'Cloud-Based Ransomware Recovery'!$D$16</definedName>
    <definedName name="input_svc_cbr_vcdr_vsphere_user">'Cloud-Based Ransomware Recovery'!$D$15</definedName>
    <definedName name="input_svc_ccm_hcx_nsx_password">'Active Directory Inputs'!$G$49</definedName>
    <definedName name="input_svc_ccm_hcx_nsx_user">'Active Directory Inputs'!$E$49</definedName>
    <definedName name="input_svc_ccm_hcx_vsphere_password">'Active Directory Inputs'!$G$48</definedName>
    <definedName name="input_svc_ccm_hcx_vsphere_user">'Active Directory Inputs'!$E$48</definedName>
    <definedName name="input_svc_hrm_vrops_user">'Active Directory Inputs'!$E$45</definedName>
    <definedName name="input_svc_ila_ad_password">'Active Directory Inputs'!$G$24</definedName>
    <definedName name="input_svc_ila_ad_user">'Active Directory Inputs'!$E$24</definedName>
    <definedName name="input_svc_inv_ad_password">'Active Directory Inputs'!$G$32</definedName>
    <definedName name="input_svc_inv_ad_user">'Active Directory Inputs'!$E$32</definedName>
    <definedName name="input_svc_inv_vrops_password">'Active Directory Inputs'!$G$34</definedName>
    <definedName name="input_svc_inv_vrops_user">'Active Directory Inputs'!$E$34</definedName>
    <definedName name="input_svc_inv_vsphere_password">'Active Directory Inputs'!$G$33</definedName>
    <definedName name="input_svc_inv_vsphere_user">'Active Directory Inputs'!$E$33</definedName>
    <definedName name="input_svc_iom_vcf_password">'Active Directory Inputs'!$G$27</definedName>
    <definedName name="input_svc_iom_vcf_user">'Active Directory Inputs'!$E$27</definedName>
    <definedName name="input_svc_iom_vsphere_password">'Active Directory Inputs'!$G$28</definedName>
    <definedName name="input_svc_iom_vsphere_user">'Active Directory Inputs'!$E$28</definedName>
    <definedName name="input_svc_my_vmware_password">'Deploy Management Domain'!$L$12</definedName>
    <definedName name="input_svc_vcf_bck_password">'Configure Management Domain'!$D$25</definedName>
    <definedName name="input_svc_vcf_bck_user">'Configure Management Domain'!$D$24</definedName>
    <definedName name="input_svc_vcf_ca_vcf_password">'Configure Management Domain'!$D$55</definedName>
    <definedName name="input_svc_vcf_ca_vcf_user">'Configure Management Domain'!$D$50</definedName>
    <definedName name="input_svc_vra_nsx_password">'Active Directory Inputs'!$G$38</definedName>
    <definedName name="input_svc_vra_nsx_user">'Active Directory Inputs'!$E$38</definedName>
    <definedName name="input_svc_vra_vcf_password">'Active Directory Inputs'!$G$39</definedName>
    <definedName name="input_svc_vra_vcf_user">'Active Directory Inputs'!$E$39</definedName>
    <definedName name="input_svc_vra_vrops_password">'Active Directory Inputs'!$G$41</definedName>
    <definedName name="input_svc_vra_vrops_user">'Active Directory Inputs'!$E$41</definedName>
    <definedName name="input_svc_vra_vsphere_password">'Active Directory Inputs'!$G$37</definedName>
    <definedName name="input_svc_vra_vsphere_user">'Active Directory Inputs'!$E$37</definedName>
    <definedName name="input_svc_vro_vsphere_password">'Active Directory Inputs'!$G$40</definedName>
    <definedName name="input_svc_vro_vsphere_user">'Active Directory Inputs'!$E$40</definedName>
    <definedName name="input_svc_vrops_vra_password">'Active Directory Inputs'!$G$29</definedName>
    <definedName name="input_svc_vrops_vra_user">'Active Directory Inputs'!$E$29</definedName>
    <definedName name="input_vcenter_root_password">'Deploy Management Domain'!$L$98</definedName>
    <definedName name="input_vcf_automation_additional_vips">'Deploy Fleet Management Day-N'!$D$112</definedName>
    <definedName name="input_vcf_automation_admin_password">'Deploy Fleet Management Day-N'!$D$97</definedName>
    <definedName name="input_vcf_automation_admin_password_alias">'Deploy Fleet Management Day-N'!$D$96</definedName>
    <definedName name="input_vcf_automation_admin_password_description">'Deploy Fleet Management Day-N'!$D$98</definedName>
    <definedName name="input_vcf_automation_admin_username">'Deploy Fleet Management Day-N'!$D$99</definedName>
    <definedName name="input_vcf_automation_cert_alias">'Deploy Fleet Management Day-N'!$D$68</definedName>
    <definedName name="input_vcf_automation_cert_common_name">'Deploy Fleet Management Day-N'!$D$70</definedName>
    <definedName name="input_vcf_automation_cert_country_code">'Deploy Fleet Management Day-N'!$D$73</definedName>
    <definedName name="input_vcf_automation_cert_file">'Deploy Fleet Management Day-N'!$D$69</definedName>
    <definedName name="input_vcf_automation_cert_locality">'Deploy Fleet Management Day-N'!$D$74</definedName>
    <definedName name="input_vcf_automation_cert_organisation">'Deploy Fleet Management Day-N'!$D$71</definedName>
    <definedName name="input_vcf_automation_cert_state">'Deploy Fleet Management Day-N'!$D$75</definedName>
    <definedName name="input_vcf_automation_folder">'Deploy Fleet Management Day-N'!$D$83</definedName>
    <definedName name="input_vcf_automation_gateway_ip">'Deploy Fleet Management Day-N'!$D$93</definedName>
    <definedName name="input_vcf_automation_mask">'Deploy Fleet Management Day-N'!$D$94</definedName>
    <definedName name="input_vcf_automation_nodea_ip">'Deploy Fleet Management Day-N'!$D$113</definedName>
    <definedName name="input_vcf_automation_nodeb_ip">'Deploy Fleet Management Day-N'!$D$114</definedName>
    <definedName name="input_vcf_automation_nodec_ip">'Deploy Fleet Management Day-N'!$D$115</definedName>
    <definedName name="input_vcf_automation_noded_ip">'Deploy Fleet Management Day-N'!$D$116</definedName>
    <definedName name="input_vcf_automation_nodee_ip">Arkham!$Q$14</definedName>
    <definedName name="input_vcf_automation_nodef_ip">Arkham!$Q$15</definedName>
    <definedName name="input_vcf_automation_ou_cert">'Deploy Fleet Management Day-N'!$D$72</definedName>
    <definedName name="input_vcf_automation_portgroup">'Deploy Fleet Management Day-N'!$D$85</definedName>
    <definedName name="input_vcf_automation_resource_pool">'Deploy Fleet Management Day-N'!$D$84</definedName>
    <definedName name="input_vcf_automation_root_password">'Deploy Fleet Management Day-N'!$D$101</definedName>
    <definedName name="input_vcf_automation_root_password_alias">'Deploy Fleet Management Day-N'!$D$100</definedName>
    <definedName name="input_vcf_automation_root_password_description">'Deploy Fleet Management Day-N'!$D$102</definedName>
    <definedName name="input_vcf_automation_root_username">'Deploy Fleet Management Day-N'!$D$103</definedName>
    <definedName name="input_vcf_automation_version">'Deploy Fleet Management Day-N'!$D$64</definedName>
    <definedName name="input_vcf_automation_vip_fqdn">'Deploy Fleet Management Day-N'!$D$77</definedName>
    <definedName name="input_vcf_automation_vip_ip">'Deploy Fleet Management Day-N'!$D$78</definedName>
    <definedName name="input_vcf_installer_fqdn">'Deploy Management Domain'!$J$321</definedName>
    <definedName name="input_vcf_installer_ip">'Deploy Management Domain'!$L$321</definedName>
    <definedName name="input_vcf_instance_name">'Deploy Management Domain'!$L$38</definedName>
    <definedName name="input_vrslcm_admin_password">'Deploy Management Domain'!$L$67</definedName>
    <definedName name="input_vrslcm_root_password">'Deploy Management Domain'!$L$68</definedName>
    <definedName name="input_vvs_dr_dns1_ip">'Site Protection &amp; DR'!$D$69</definedName>
    <definedName name="input_vvs_dr_dns2_ip">'Site Protection &amp; DR'!$D$70</definedName>
    <definedName name="input_vvs_dr_flt_auto_fqdn">'Site Protection &amp; DR'!$D$67</definedName>
    <definedName name="input_vvs_dr_flt_fleet_manager_fqdn">'Site Protection &amp; DR'!$D$13</definedName>
    <definedName name="input_vvs_dr_flt_logs_nodea_fqdn">'Site Protection &amp; DR'!$D$35</definedName>
    <definedName name="input_vvs_dr_flt_logs_nodeb_fqdn">'Site Protection &amp; DR'!$D$36</definedName>
    <definedName name="input_vvs_dr_flt_logs_nodec_fqdn">'Site Protection &amp; DR'!$D$37</definedName>
    <definedName name="input_vvs_dr_flt_net_nodea_fqdn">'Site Protection &amp; DR'!$D$38</definedName>
    <definedName name="input_vvs_dr_flt_net_nodeb_fqdn">'Site Protection &amp; DR'!$D$39</definedName>
    <definedName name="input_vvs_dr_flt_net_nodec_fqdn">'Site Protection &amp; DR'!$D$40</definedName>
    <definedName name="input_vvs_dr_flt_ops_nodea_fqdn">'Site Protection &amp; DR'!$D$21</definedName>
    <definedName name="input_vvs_dr_flt_ops_nodeb_fqdn">'Site Protection &amp; DR'!$D$33</definedName>
    <definedName name="input_vvs_dr_flt_ops_nodec_fqdn">'Site Protection &amp; DR'!$D$34</definedName>
    <definedName name="input_vvs_dr_mgmt_az1_mgmt_vm_pg">'Site Protection &amp; DR'!$D$104</definedName>
    <definedName name="input_vvs_dr_mgmt_cl01_cluster">'Site Protection &amp; DR'!$D$100</definedName>
    <definedName name="input_vvs_dr_mgmt_cl01_datastore">'Site Protection &amp; DR'!$D$103</definedName>
    <definedName name="input_vvs_dr_mgmt_vc_fqdn">'Site Protection &amp; DR'!$D$99</definedName>
    <definedName name="input_vvs_dr_ntp1_server">'Site Protection &amp; DR'!$D$23</definedName>
    <definedName name="input_vvs_dr_parent_dns_zone">'Site Protection &amp; DR'!$D$17</definedName>
    <definedName name="input_vvs_dr_sso_domain">'Site Protection &amp; DR'!$D$133</definedName>
    <definedName name="input_vvs_dr_vr_password">'Site Protection &amp; DR'!$D$135</definedName>
    <definedName name="input_vvs_dr_vr_username">'Site Protection &amp; DR'!$D$134</definedName>
    <definedName name="input_vvs_mgmt_dr_vlr_fqdn">'Site Protection &amp; DR'!$D$105</definedName>
    <definedName name="input_vvs_mgmt_dr_vlr_hostname">'Site Protection &amp; DR'!$D$101</definedName>
    <definedName name="input_witness_dns_zone">Arkham!$C$12</definedName>
    <definedName name="input_wld_administrator_vsphere_local_password">'Deploy Workload Domain'!$D$152</definedName>
    <definedName name="input_wld_avilb_cluster_name">'Configure Workload Domain'!$D$161</definedName>
    <definedName name="input_wld_avilb_cluster_version">'Configure Workload Domain'!$D$151</definedName>
    <definedName name="input_wld_avilb_fqdn">'Configure Workload Domain'!$D$160</definedName>
    <definedName name="input_wld_avilb_ip">'Configure Workload Domain'!$D$159</definedName>
    <definedName name="input_wld_avilb_mgra_ip">'Configure Workload Domain'!$D$156</definedName>
    <definedName name="input_wld_avilb_mgrb_ip">'Configure Workload Domain'!$D$157</definedName>
    <definedName name="input_wld_avilb_mgrc_ip">'Configure Workload Domain'!$D$158</definedName>
    <definedName name="input_wld_az1_edge_overlay_cidr">'Configure Workload Domain'!$D$144</definedName>
    <definedName name="input_wld_az1_edge_overlay_gateway_ip">'Configure Workload Domain'!$D$65</definedName>
    <definedName name="input_wld_az1_edge_overlay_mask">'Configure Workload Domain'!$D$66</definedName>
    <definedName name="input_wld_az1_edge_overlay_network_pool_name">'Configure Workload Domain'!$D$60</definedName>
    <definedName name="input_wld_az1_edge_overlay_pool_end_ip">'Configure Workload Domain'!$D$62</definedName>
    <definedName name="input_wld_az1_edge_overlay_pool_start_ip">'Configure Workload Domain'!$D$61</definedName>
    <definedName name="input_wld_az1_edge_overlay_vlan">'Configure Workload Domain'!$D$58</definedName>
    <definedName name="input_wld_az1_en1_edge_overlay_interface_ip_1_ip">'Configure Workload Domain'!$D$63</definedName>
    <definedName name="input_wld_az1_en1_edge_overlay_interface_ip_2_ip">'Configure Workload Domain'!$D$64</definedName>
    <definedName name="input_wld_az1_en1_eth0_uplink0">'Configure Workload Domain'!$D$54</definedName>
    <definedName name="input_wld_az1_en1_eth0_uplink1">'Configure Workload Domain'!$D$55</definedName>
    <definedName name="input_wld_az1_en1_eth1_uplink0">'Configure Workload Domain'!$D$56</definedName>
    <definedName name="input_wld_az1_en1_eth1_uplink1">'Configure Workload Domain'!$D$57</definedName>
    <definedName name="input_wld_az1_en1_fqdn">'Configure Workload Domain'!$D$42</definedName>
    <definedName name="input_wld_az1_en1_mgmt_cidr">'Configure Workload Domain'!$D$50</definedName>
    <definedName name="input_wld_az1_en1_mgmt_ip">Arkham!$Q$19</definedName>
    <definedName name="input_wld_az1_en1_uplink01_interface_cidr">'Configure Workload Domain'!$D$102</definedName>
    <definedName name="input_wld_az1_en1_uplink02_interface_cidr">'Configure Workload Domain'!$D$109</definedName>
    <definedName name="input_wld_az1_en2_edge_overlay_interface_ip_1_ip">'Configure Workload Domain'!$D$87</definedName>
    <definedName name="input_wld_az1_en2_edge_overlay_interface_ip_2_ip">'Configure Workload Domain'!$D$88</definedName>
    <definedName name="input_wld_az1_en2_eth0_uplink0">'Configure Workload Domain'!$D$80</definedName>
    <definedName name="input_wld_az1_en2_eth0_uplink1">'Configure Workload Domain'!$D$81</definedName>
    <definedName name="input_wld_az1_en2_eth1_uplink0">'Configure Workload Domain'!$D$82</definedName>
    <definedName name="input_wld_az1_en2_eth1_uplink1">'Configure Workload Domain'!$D$83</definedName>
    <definedName name="input_wld_az1_en2_fqdn">'Configure Workload Domain'!$D$68</definedName>
    <definedName name="input_wld_az1_en2_mgmt_cidr">'Configure Workload Domain'!$D$76</definedName>
    <definedName name="input_wld_az1_en2_mgmt_ip">Arkham!$Q$20</definedName>
    <definedName name="input_wld_az1_en2_uplink01_interface_cidr">'Configure Workload Domain'!$D$117</definedName>
    <definedName name="input_wld_az1_en2_uplink02_interface_cidr">'Configure Workload Domain'!$D$124</definedName>
    <definedName name="input_wld_az1_host_overlay_cidr">'Deploy Workload Domain'!$D$308</definedName>
    <definedName name="input_wld_az1_host_overlay_gateway_ip">'Deploy Workload Domain'!$D$311</definedName>
    <definedName name="input_wld_az1_host_overlay_mtu">'Deploy Workload Domain'!$D$368</definedName>
    <definedName name="input_wld_az1_host_overlay_network_pool_description">'Deploy Workload Domain'!$D$307</definedName>
    <definedName name="input_wld_az1_host_overlay_network_pool_name">'Deploy Workload Domain'!$D$306</definedName>
    <definedName name="input_wld_az1_host_overlay_pool_end_ip">'Deploy Workload Domain'!$D$310</definedName>
    <definedName name="input_wld_az1_host_overlay_pool_start_ip">'Deploy Workload Domain'!$D$309</definedName>
    <definedName name="input_wld_az1_host_overlay_uplink_profile_name">'Deploy Workload Domain'!$D$318</definedName>
    <definedName name="input_wld_az1_host_overlay_vlan">'Deploy Workload Domain'!$D$303</definedName>
    <definedName name="input_wld_az1_host1_fqdn">'Deploy Workload Domain'!$D$120</definedName>
    <definedName name="input_wld_az1_host1_mgmt_ip">'Deploy Workload Domain'!$D$63</definedName>
    <definedName name="input_wld_az1_host1_vrms_ip">'Dumping Ground'!$D$293</definedName>
    <definedName name="input_wld_az1_host10_fqdn">'Deploy Workload Domain'!$D$129</definedName>
    <definedName name="input_wld_az1_host10_mgmt_ip">'Deploy Workload Domain'!$D$72</definedName>
    <definedName name="input_wld_az1_host10_vrms_ip">'Dumping Ground'!$D$302</definedName>
    <definedName name="input_wld_az1_host11_fqdn">'Deploy Workload Domain'!$D$130</definedName>
    <definedName name="input_wld_az1_host11_mgmt_ip">'Deploy Workload Domain'!$D$73</definedName>
    <definedName name="input_wld_az1_host11_vrms_ip">'Dumping Ground'!$D$303</definedName>
    <definedName name="input_wld_az1_host12_fqdn">'Deploy Workload Domain'!$D$131</definedName>
    <definedName name="input_wld_az1_host12_mgmt_ip">'Deploy Workload Domain'!$D$74</definedName>
    <definedName name="input_wld_az1_host12_vrms_ip">'Dumping Ground'!$D$304</definedName>
    <definedName name="input_wld_az1_host13_fqdn">'Deploy Workload Domain'!$D$132</definedName>
    <definedName name="input_wld_az1_host13_mgmt_ip">'Deploy Workload Domain'!$D$75</definedName>
    <definedName name="input_wld_az1_host13_vrms_ip">'Dumping Ground'!$D$305</definedName>
    <definedName name="input_wld_az1_host14_fqdn">'Deploy Workload Domain'!$D$133</definedName>
    <definedName name="input_wld_az1_host14_mgmt_ip">'Deploy Workload Domain'!$D$76</definedName>
    <definedName name="input_wld_az1_host14_vrms_ip">'Dumping Ground'!$D$306</definedName>
    <definedName name="input_wld_az1_host15_fqdn">'Deploy Workload Domain'!$D$134</definedName>
    <definedName name="input_wld_az1_host15_mgmt_ip">'Deploy Workload Domain'!$D$77</definedName>
    <definedName name="input_wld_az1_host15_vrms_ip">'Dumping Ground'!$D$307</definedName>
    <definedName name="input_wld_az1_host16_fqdn">'Deploy Workload Domain'!$D$135</definedName>
    <definedName name="input_wld_az1_host16_mgmt_ip">'Deploy Workload Domain'!$D$78</definedName>
    <definedName name="input_wld_az1_host16_vrms_ip">'Dumping Ground'!$D$308</definedName>
    <definedName name="input_wld_az1_host2_fqdn">'Deploy Workload Domain'!$D$121</definedName>
    <definedName name="input_wld_az1_host2_mgmt_ip">'Deploy Workload Domain'!$D$64</definedName>
    <definedName name="input_wld_az1_host2_vrms_ip">'Dumping Ground'!$D$294</definedName>
    <definedName name="input_wld_az1_host3_fqdn">'Deploy Workload Domain'!$D$122</definedName>
    <definedName name="input_wld_az1_host3_mgmt_ip">'Deploy Workload Domain'!$D$65</definedName>
    <definedName name="input_wld_az1_host3_vrms_ip">'Dumping Ground'!$D$295</definedName>
    <definedName name="input_wld_az1_host4_fqdn">'Deploy Workload Domain'!$D$123</definedName>
    <definedName name="input_wld_az1_host4_mgmt_ip">'Deploy Workload Domain'!$D$66</definedName>
    <definedName name="input_wld_az1_host4_vrms_ip">'Dumping Ground'!$D$296</definedName>
    <definedName name="input_wld_az1_host5_fqdn">'Deploy Workload Domain'!$D$124</definedName>
    <definedName name="input_wld_az1_host5_mgmt_ip">'Deploy Workload Domain'!$D$67</definedName>
    <definedName name="input_wld_az1_host5_vrms_ip">'Dumping Ground'!$D$297</definedName>
    <definedName name="input_wld_az1_host6_fqdn">'Deploy Workload Domain'!$D$125</definedName>
    <definedName name="input_wld_az1_host6_mgmt_ip">'Deploy Workload Domain'!$D$68</definedName>
    <definedName name="input_wld_az1_host6_vrms_ip">'Dumping Ground'!$D$298</definedName>
    <definedName name="input_wld_az1_host7_fqdn">'Deploy Workload Domain'!$D$126</definedName>
    <definedName name="input_wld_az1_host7_mgmt_ip">'Deploy Workload Domain'!$D$69</definedName>
    <definedName name="input_wld_az1_host7_vrms_ip">'Dumping Ground'!$D$299</definedName>
    <definedName name="input_wld_az1_host8_fqdn">'Deploy Workload Domain'!$D$127</definedName>
    <definedName name="input_wld_az1_host8_mgmt_ip">'Deploy Workload Domain'!$D$70</definedName>
    <definedName name="input_wld_az1_host8_vrms_ip">'Dumping Ground'!$D$300</definedName>
    <definedName name="input_wld_az1_host9_fqdn">'Deploy Workload Domain'!$D$128</definedName>
    <definedName name="input_wld_az1_host9_mgmt_ip">'Deploy Workload Domain'!$D$71</definedName>
    <definedName name="input_wld_az1_host9_vrms_ip">'Dumping Ground'!$D$301</definedName>
    <definedName name="input_wld_az1_mgmt_cidr">'Deploy Workload Domain'!$D$60</definedName>
    <definedName name="input_wld_az1_mgmt_gateway_ip">'Deploy Workload Domain'!$D$59</definedName>
    <definedName name="input_wld_az1_mgmt_mtu">'Deploy Workload Domain'!$D$61</definedName>
    <definedName name="input_wld_az1_mgmt_vlan">'Deploy Workload Domain'!$D$58</definedName>
    <definedName name="input_wld_az1_mgmt_vm_cidr">'Deploy Workload Domain'!$D$348</definedName>
    <definedName name="input_wld_az1_mgmt_vm_gateway_ip">'Deploy Workload Domain'!$D$347</definedName>
    <definedName name="input_wld_az1_mgmt_vm_mtu">'Deploy Workload Domain'!$D$349</definedName>
    <definedName name="input_wld_az1_mgmt_vm_vlan">'Deploy Workload Domain'!$D$346</definedName>
    <definedName name="input_wld_az1_pool_name">'Deploy Workload Domain'!$D$83</definedName>
    <definedName name="input_wld_az1_principal_storage_gateway_ip">'Deploy Workload Domain'!$D$97</definedName>
    <definedName name="input_wld_az1_principal_storage_mask">'Deploy Workload Domain'!$D$96</definedName>
    <definedName name="input_wld_az1_principal_storage_mtu">'Deploy Workload Domain'!$D$94</definedName>
    <definedName name="input_wld_az1_principal_storage_network">'Deploy Workload Domain'!$D$95</definedName>
    <definedName name="input_wld_az1_principal_storage_pool_end_ip">'Deploy Workload Domain'!$D$99</definedName>
    <definedName name="input_wld_az1_principal_storage_pool_start_ip">'Deploy Workload Domain'!$D$98</definedName>
    <definedName name="input_wld_az1_principal_storage_vlan">'Deploy Workload Domain'!$D$93</definedName>
    <definedName name="input_wld_az1_rack1_host_overlay_network_profile_name">'Deploy Workload Domain'!$D$314</definedName>
    <definedName name="input_wld_az1_rack2_edge_overlay_gateway_ip">Arkham!$C$64</definedName>
    <definedName name="input_wld_az1_rack2_edge_overlay_mask">Arkham!$C$67</definedName>
    <definedName name="input_wld_az1_rack2_edge_overlay_mtu">Arkham!$C$70</definedName>
    <definedName name="input_wld_az1_rack2_edge_overlay_network">Arkham!$C$61</definedName>
    <definedName name="input_wld_az1_rack2_edge_overlay_network_pool_name">'Additional Racks'!$D$82</definedName>
    <definedName name="input_wld_az1_rack2_edge_overlay_pool_end_ip">Arkham!$C$72</definedName>
    <definedName name="input_wld_az1_rack2_edge_overlay_pool_start_ip">Arkham!$C$71</definedName>
    <definedName name="input_wld_az1_rack2_edge_overlay_vlan">Arkham!$C$58</definedName>
    <definedName name="input_wld_az1_rack2_host_overlay_cidr">Arkham!$C$23</definedName>
    <definedName name="input_wld_az1_rack2_host_overlay_gateway_ip">'Additional Racks'!$D$95</definedName>
    <definedName name="input_wld_az1_rack2_host_overlay_mask">'Additional Racks'!$D$94</definedName>
    <definedName name="input_wld_az1_rack2_host_overlay_mtu">'Additional Racks'!$D$92</definedName>
    <definedName name="input_wld_az1_rack2_host_overlay_network">'Additional Racks'!$D$93</definedName>
    <definedName name="input_wld_az1_rack2_host_overlay_network_pool_name">'Additional Racks'!$D$80</definedName>
    <definedName name="input_wld_az1_rack2_host_overlay_network_profile_name">'Additional Racks'!$D$78</definedName>
    <definedName name="input_wld_az1_rack2_host_overlay_pool_end_ip">'Additional Racks'!$D$97</definedName>
    <definedName name="input_wld_az1_rack2_host_overlay_pool_start_ip">'Additional Racks'!$D$96</definedName>
    <definedName name="input_wld_az1_rack2_host_overlay_uplink_profile_name">'Additional Racks'!$D$81</definedName>
    <definedName name="input_wld_az1_rack2_host_overlay_vlan">'Additional Racks'!$D$91</definedName>
    <definedName name="input_wld_az1_rack2_host1_fqdn">'Additional Racks'!$D$54</definedName>
    <definedName name="input_wld_az1_rack2_host1_mgmt_ip">'Additional Racks'!$D$14</definedName>
    <definedName name="input_wld_az1_rack2_host10_fqdn">'Additional Racks'!$D$63</definedName>
    <definedName name="input_wld_az1_rack2_host10_mgmt_ip">'Additional Racks'!$D$23</definedName>
    <definedName name="input_wld_az1_rack2_host11_fqdn">'Additional Racks'!$D$64</definedName>
    <definedName name="input_wld_az1_rack2_host11_mgmt_ip">'Additional Racks'!$D$24</definedName>
    <definedName name="input_wld_az1_rack2_host12_fqdn">'Additional Racks'!$D$65</definedName>
    <definedName name="input_wld_az1_rack2_host12_mgmt_ip">'Additional Racks'!$D$25</definedName>
    <definedName name="input_wld_az1_rack2_host13_fqdn">'Additional Racks'!$D$66</definedName>
    <definedName name="input_wld_az1_rack2_host13_mgmt_ip">'Additional Racks'!$D$26</definedName>
    <definedName name="input_wld_az1_rack2_host14_fqdn">'Additional Racks'!$D$67</definedName>
    <definedName name="input_wld_az1_rack2_host14_mgmt_ip">'Additional Racks'!$D$27</definedName>
    <definedName name="input_wld_az1_rack2_host15_fqdn">'Additional Racks'!$D$68</definedName>
    <definedName name="input_wld_az1_rack2_host15_mgmt_ip">'Additional Racks'!$D$28</definedName>
    <definedName name="input_wld_az1_rack2_host16_fqdn">'Additional Racks'!$D$69</definedName>
    <definedName name="input_wld_az1_rack2_host16_mgmt_ip">'Additional Racks'!$D$29</definedName>
    <definedName name="input_wld_az1_rack2_host2_fqdn">'Additional Racks'!$D$55</definedName>
    <definedName name="input_wld_az1_rack2_host2_mgmt_ip">'Additional Racks'!$D$15</definedName>
    <definedName name="input_wld_az1_rack2_host3_fqdn">'Additional Racks'!$D$56</definedName>
    <definedName name="input_wld_az1_rack2_host3_mgmt_ip">'Additional Racks'!$D$16</definedName>
    <definedName name="input_wld_az1_rack2_host4_fqdn">'Additional Racks'!$D$57</definedName>
    <definedName name="input_wld_az1_rack2_host4_mgmt_ip">'Additional Racks'!$D$17</definedName>
    <definedName name="input_wld_az1_rack2_host5_fqdn">'Additional Racks'!$D$58</definedName>
    <definedName name="input_wld_az1_rack2_host5_mgmt_ip">'Additional Racks'!$D$18</definedName>
    <definedName name="input_wld_az1_rack2_host6_fqdn">'Additional Racks'!$D$59</definedName>
    <definedName name="input_wld_az1_rack2_host6_mgmt_ip">'Additional Racks'!$D$19</definedName>
    <definedName name="input_wld_az1_rack2_host7_fqdn">'Additional Racks'!$D$60</definedName>
    <definedName name="input_wld_az1_rack2_host7_mgmt_ip">'Additional Racks'!$D$20</definedName>
    <definedName name="input_wld_az1_rack2_host8_fqdn">'Additional Racks'!$D$61</definedName>
    <definedName name="input_wld_az1_rack2_host8_mgmt_ip">'Additional Racks'!$D$21</definedName>
    <definedName name="input_wld_az1_rack2_host9_fqdn">'Additional Racks'!$D$62</definedName>
    <definedName name="input_wld_az1_rack2_host9_mgmt_ip">'Additional Racks'!$D$22</definedName>
    <definedName name="input_wld_az1_rack2_mgmt_cidr">'Additional Racks'!$D$11</definedName>
    <definedName name="input_wld_az1_rack2_mgmt_gateway_ip">'Additional Racks'!$D$10</definedName>
    <definedName name="input_wld_az1_rack2_mgmt_mtu">'Additional Racks'!$D$12</definedName>
    <definedName name="input_wld_az1_rack2_mgmt_vlan">'Additional Racks'!$D$9</definedName>
    <definedName name="input_wld_az1_rack2_mgmt_vm_cidr">'Value Reference Tables - MR'!$N$259</definedName>
    <definedName name="input_wld_az1_rack2_mgmt_vm_gateway_ip">'Value Reference Tables - MR'!$P$259</definedName>
    <definedName name="input_wld_az1_rack2_mgmt_vm_mtu">'Value Reference Tables - MR'!$R$259</definedName>
    <definedName name="input_wld_az1_rack2_mgmt_vm_vlan">'Value Reference Tables - MR'!$L$259</definedName>
    <definedName name="input_wld_az1_rack2_pool_name">'Additional Racks'!$D$34</definedName>
    <definedName name="input_wld_az1_rack2_principal_storage_cidr">Arkham!$C$21</definedName>
    <definedName name="input_wld_az1_rack2_principal_storage_gateway_ip">'Additional Racks'!$D$48</definedName>
    <definedName name="input_wld_az1_rack2_principal_storage_mask">'Additional Racks'!$D$47</definedName>
    <definedName name="input_wld_az1_rack2_principal_storage_mtu">'Additional Racks'!$D$45</definedName>
    <definedName name="input_wld_az1_rack2_principal_storage_network">'Additional Racks'!$D$46</definedName>
    <definedName name="input_wld_az1_rack2_principal_storage_pool_end_ip">'Additional Racks'!$D$50</definedName>
    <definedName name="input_wld_az1_rack2_principal_storage_pool_start_ip">'Additional Racks'!$D$49</definedName>
    <definedName name="input_wld_az1_rack2_principal_storage_vlan">'Additional Racks'!$D$44</definedName>
    <definedName name="input_wld_az1_rack2_rtep_ip_pool_name">'Additional Racks'!$D$83</definedName>
    <definedName name="input_wld_az1_rack2_secondary_storage_cidr">Arkham!$C$22</definedName>
    <definedName name="input_wld_az1_rack2_secondary_storage_gateway_ip">'Dumping Ground'!$D$512</definedName>
    <definedName name="input_wld_az1_rack2_secondary_storage_mask">'Dumping Ground'!$D$511</definedName>
    <definedName name="input_wld_az1_rack2_secondary_storage_mtu">'Dumping Ground'!$D$509</definedName>
    <definedName name="input_wld_az1_rack2_secondary_storage_network">'Dumping Ground'!$D$510</definedName>
    <definedName name="input_wld_az1_rack2_secondary_storage_pool_end_ip">'Dumping Ground'!$D$514</definedName>
    <definedName name="input_wld_az1_rack2_secondary_storage_pool_start_ip">'Dumping Ground'!$D$513</definedName>
    <definedName name="input_wld_az1_rack2_secondary_storage_vlan">'Dumping Ground'!$D$508</definedName>
    <definedName name="input_wld_az1_rack2_tor1_peer_asn">Arkham!$C$75</definedName>
    <definedName name="input_wld_az1_rack2_tor1_peer_bgp_password">Arkham!$C$76</definedName>
    <definedName name="input_wld_az1_rack2_tor1_peer_ip">Arkham!$C$74</definedName>
    <definedName name="input_wld_az1_rack2_tor2_peer_asn">Arkham!$C$78</definedName>
    <definedName name="input_wld_az1_rack2_tor2_peer_bgp_password">Arkham!$C$79</definedName>
    <definedName name="input_wld_az1_rack2_tor2_peer_ip">Arkham!$C$77</definedName>
    <definedName name="input_wld_az1_rack2_uplink01_gateway_ip">Arkham!$C$62</definedName>
    <definedName name="input_wld_az1_rack2_uplink01_mask">Arkham!$C$65</definedName>
    <definedName name="input_wld_az1_rack2_uplink01_mtu">Arkham!$C$68</definedName>
    <definedName name="input_wld_az1_rack2_uplink01_network">Arkham!$C$59</definedName>
    <definedName name="input_wld_az1_rack2_uplink01_vlan">Arkham!$C$56</definedName>
    <definedName name="input_wld_az1_rack2_uplink02_gateway_ip">Arkham!$C$63</definedName>
    <definedName name="input_wld_az1_rack2_uplink02_mask">Arkham!$C$66</definedName>
    <definedName name="input_wld_az1_rack2_uplink02_mtu">Arkham!$C$69</definedName>
    <definedName name="input_wld_az1_rack2_uplink02_network">Arkham!$C$60</definedName>
    <definedName name="input_wld_az1_rack2_uplink02_vlan">Arkham!$C$57</definedName>
    <definedName name="input_wld_az1_rack2_vmotion_cidr">Arkham!$C$20</definedName>
    <definedName name="input_wld_az1_rack2_vmotion_gateway_ip">'Additional Racks'!$D$40</definedName>
    <definedName name="input_wld_az1_rack2_vmotion_mask">'Additional Racks'!$D$39</definedName>
    <definedName name="input_wld_az1_rack2_vmotion_mtu">'Additional Racks'!$D$37</definedName>
    <definedName name="input_wld_az1_rack2_vmotion_network">'Additional Racks'!$D$38</definedName>
    <definedName name="input_wld_az1_rack2_vmotion_pool_end_ip">'Additional Racks'!$D$42</definedName>
    <definedName name="input_wld_az1_rack2_vmotion_pool_start_ip">'Additional Racks'!$D$41</definedName>
    <definedName name="input_wld_az1_rack2_vmotion_vlan">'Additional Racks'!$D$36</definedName>
    <definedName name="input_wld_az1_rack2_vsan_fault_domain">'Additional Racks'!$D$86</definedName>
    <definedName name="input_wld_az1_rack3_edge_overlay_gateway_ip">Arkham!$F$64</definedName>
    <definedName name="input_wld_az1_rack3_edge_overlay_mask">Arkham!$F$67</definedName>
    <definedName name="input_wld_az1_rack3_edge_overlay_mtu">Arkham!$F$70</definedName>
    <definedName name="input_wld_az1_rack3_edge_overlay_network">Arkham!$F$61</definedName>
    <definedName name="input_wld_az1_rack3_edge_overlay_network_pool_name">'Additional Racks'!$D$175</definedName>
    <definedName name="input_wld_az1_rack3_edge_overlay_pool_end_ip">Arkham!$F$72</definedName>
    <definedName name="input_wld_az1_rack3_edge_overlay_pool_start_ip">Arkham!$F$71</definedName>
    <definedName name="input_wld_az1_rack3_edge_overlay_vlan">Arkham!$F$58</definedName>
    <definedName name="input_wld_az1_rack3_host_overlay_cidr">Arkham!$C$27</definedName>
    <definedName name="input_wld_az1_rack3_host_overlay_gateway_ip">'Additional Racks'!$D$188</definedName>
    <definedName name="input_wld_az1_rack3_host_overlay_mask">'Additional Racks'!$D$187</definedName>
    <definedName name="input_wld_az1_rack3_host_overlay_mtu">'Additional Racks'!$D$185</definedName>
    <definedName name="input_wld_az1_rack3_host_overlay_network">'Additional Racks'!$D$186</definedName>
    <definedName name="input_wld_az1_rack3_host_overlay_network_pool_name">'Additional Racks'!$D$173</definedName>
    <definedName name="input_wld_az1_rack3_host_overlay_network_profile_name">'Additional Racks'!$D$171</definedName>
    <definedName name="input_wld_az1_rack3_host_overlay_pool_end_ip">'Additional Racks'!$D$190</definedName>
    <definedName name="input_wld_az1_rack3_host_overlay_pool_start_ip">'Additional Racks'!$D$189</definedName>
    <definedName name="input_wld_az1_rack3_host_overlay_uplink_profile_name">'Additional Racks'!$D$174</definedName>
    <definedName name="input_wld_az1_rack3_host_overlay_vlan">'Additional Racks'!$D$184</definedName>
    <definedName name="input_wld_az1_rack3_host1_fqdn">'Additional Racks'!$D$147</definedName>
    <definedName name="input_wld_az1_rack3_host1_mgmt_ip">'Additional Racks'!$D$107</definedName>
    <definedName name="input_wld_az1_rack3_host10_fqdn">'Additional Racks'!$D$156</definedName>
    <definedName name="input_wld_az1_rack3_host10_mgmt_ip">'Additional Racks'!$D$116</definedName>
    <definedName name="input_wld_az1_rack3_host11_fqdn">'Additional Racks'!$D$157</definedName>
    <definedName name="input_wld_az1_rack3_host11_mgmt_ip">'Additional Racks'!$D$117</definedName>
    <definedName name="input_wld_az1_rack3_host12_fqdn">'Additional Racks'!$D$158</definedName>
    <definedName name="input_wld_az1_rack3_host12_mgmt_ip">'Additional Racks'!$D$118</definedName>
    <definedName name="input_wld_az1_rack3_host13_fqdn">'Additional Racks'!$D$159</definedName>
    <definedName name="input_wld_az1_rack3_host13_mgmt_ip">'Additional Racks'!$D$119</definedName>
    <definedName name="input_wld_az1_rack3_host14_fqdn">'Additional Racks'!$D$160</definedName>
    <definedName name="input_wld_az1_rack3_host14_mgmt_ip">'Additional Racks'!$D$120</definedName>
    <definedName name="input_wld_az1_rack3_host15_fqdn">'Additional Racks'!$D$161</definedName>
    <definedName name="input_wld_az1_rack3_host15_mgmt_ip">'Additional Racks'!$D$121</definedName>
    <definedName name="input_wld_az1_rack3_host16_fqdn">'Additional Racks'!$D$162</definedName>
    <definedName name="input_wld_az1_rack3_host16_mgmt_ip">'Additional Racks'!$D$122</definedName>
    <definedName name="input_wld_az1_rack3_host2_fqdn">'Additional Racks'!$D$148</definedName>
    <definedName name="input_wld_az1_rack3_host2_mgmt_ip">'Additional Racks'!$D$108</definedName>
    <definedName name="input_wld_az1_rack3_host3_fqdn">'Additional Racks'!$D$149</definedName>
    <definedName name="input_wld_az1_rack3_host3_mgmt_ip">'Additional Racks'!$D$109</definedName>
    <definedName name="input_wld_az1_rack3_host4_fqdn">'Additional Racks'!$D$150</definedName>
    <definedName name="input_wld_az1_rack3_host4_mgmt_ip">'Additional Racks'!$D$110</definedName>
    <definedName name="input_wld_az1_rack3_host5_fqdn">'Additional Racks'!$D$151</definedName>
    <definedName name="input_wld_az1_rack3_host5_mgmt_ip">'Additional Racks'!$D$111</definedName>
    <definedName name="input_wld_az1_rack3_host6_fqdn">'Additional Racks'!$D$152</definedName>
    <definedName name="input_wld_az1_rack3_host6_mgmt_ip">'Additional Racks'!$D$112</definedName>
    <definedName name="input_wld_az1_rack3_host7_fqdn">'Additional Racks'!$D$153</definedName>
    <definedName name="input_wld_az1_rack3_host7_mgmt_ip">'Additional Racks'!$D$113</definedName>
    <definedName name="input_wld_az1_rack3_host8_fqdn">'Additional Racks'!$D$154</definedName>
    <definedName name="input_wld_az1_rack3_host8_mgmt_ip">'Additional Racks'!$D$114</definedName>
    <definedName name="input_wld_az1_rack3_host9_fqdn">'Additional Racks'!$D$155</definedName>
    <definedName name="input_wld_az1_rack3_host9_mgmt_ip">'Additional Racks'!$D$115</definedName>
    <definedName name="input_wld_az1_rack3_mgmt_cidr">'Additional Racks'!$D$104</definedName>
    <definedName name="input_wld_az1_rack3_mgmt_gateway_ip">'Additional Racks'!$D$103</definedName>
    <definedName name="input_wld_az1_rack3_mgmt_mtu">'Additional Racks'!$D$105</definedName>
    <definedName name="input_wld_az1_rack3_mgmt_vlan">'Additional Racks'!$D$102</definedName>
    <definedName name="input_wld_az1_rack3_mgmt_vm_cidr">'Value Reference Tables - MR'!$N$260</definedName>
    <definedName name="input_wld_az1_rack3_mgmt_vm_gateway_ip">'Value Reference Tables - MR'!$P$260</definedName>
    <definedName name="input_wld_az1_rack3_mgmt_vm_mtu">'Value Reference Tables - MR'!$R$260</definedName>
    <definedName name="input_wld_az1_rack3_mgmt_vm_vlan">'Value Reference Tables - MR'!$L$260</definedName>
    <definedName name="input_wld_az1_rack3_pool_name">'Additional Racks'!$D$127</definedName>
    <definedName name="input_wld_az1_rack3_principal_storage_cidr">Arkham!$C$25</definedName>
    <definedName name="input_wld_az1_rack3_principal_storage_gateway_ip">'Additional Racks'!$D$141</definedName>
    <definedName name="input_wld_az1_rack3_principal_storage_mask">'Additional Racks'!$D$140</definedName>
    <definedName name="input_wld_az1_rack3_principal_storage_mtu">'Additional Racks'!$D$138</definedName>
    <definedName name="input_wld_az1_rack3_principal_storage_network">'Additional Racks'!$D$139</definedName>
    <definedName name="input_wld_az1_rack3_principal_storage_pool_end_ip">'Additional Racks'!$D$143</definedName>
    <definedName name="input_wld_az1_rack3_principal_storage_pool_start_ip">'Additional Racks'!$D$142</definedName>
    <definedName name="input_wld_az1_rack3_principal_storage_vlan">'Additional Racks'!$D$137</definedName>
    <definedName name="input_wld_az1_rack3_rtep_ip_pool_name">'Additional Racks'!$D$176</definedName>
    <definedName name="input_wld_az1_rack3_secondary_storage_cidr">Arkham!$C$26</definedName>
    <definedName name="input_wld_az1_rack3_secondary_storage_gateway_ip">'Dumping Ground'!$D$520</definedName>
    <definedName name="input_wld_az1_rack3_secondary_storage_mask">'Dumping Ground'!$D$519</definedName>
    <definedName name="input_wld_az1_rack3_secondary_storage_mtu">'Dumping Ground'!$D$517</definedName>
    <definedName name="input_wld_az1_rack3_secondary_storage_network">'Dumping Ground'!$D$518</definedName>
    <definedName name="input_wld_az1_rack3_secondary_storage_pool_end_ip">'Dumping Ground'!$D$522</definedName>
    <definedName name="input_wld_az1_rack3_secondary_storage_pool_start_ip">'Dumping Ground'!$D$521</definedName>
    <definedName name="input_wld_az1_rack3_secondary_storage_vlan">'Dumping Ground'!$D$516</definedName>
    <definedName name="input_wld_az1_rack3_tor1_peer_asn">Arkham!$F$75</definedName>
    <definedName name="input_wld_az1_rack3_tor1_peer_bgp_password">Arkham!$F$76</definedName>
    <definedName name="input_wld_az1_rack3_tor1_peer_ip">Arkham!$F$74</definedName>
    <definedName name="input_wld_az1_rack3_tor2_peer_asn">Arkham!$F$78</definedName>
    <definedName name="input_wld_az1_rack3_tor2_peer_bgp_password">Arkham!$F$79</definedName>
    <definedName name="input_wld_az1_rack3_tor2_peer_ip">Arkham!$F$77</definedName>
    <definedName name="input_wld_az1_rack3_uplink01_gateway_ip">Arkham!$F$62</definedName>
    <definedName name="input_wld_az1_rack3_uplink01_mask">Arkham!$F$65</definedName>
    <definedName name="input_wld_az1_rack3_uplink01_mtu">Arkham!$F$68</definedName>
    <definedName name="input_wld_az1_rack3_uplink01_network">Arkham!$F$59</definedName>
    <definedName name="input_wld_az1_rack3_uplink01_vlan">Arkham!$F$56</definedName>
    <definedName name="input_wld_az1_rack3_uplink02_gateway_ip">Arkham!$F$63</definedName>
    <definedName name="input_wld_az1_rack3_uplink02_mask">Arkham!$F$66</definedName>
    <definedName name="input_wld_az1_rack3_uplink02_mtu">Arkham!$F$69</definedName>
    <definedName name="input_wld_az1_rack3_uplink02_network">Arkham!$F$60</definedName>
    <definedName name="input_wld_az1_rack3_uplink02_vlan">Arkham!$F$57</definedName>
    <definedName name="input_wld_az1_rack3_vmotion_cidr">Arkham!$C$24</definedName>
    <definedName name="input_wld_az1_rack3_vmotion_gateway_ip">'Additional Racks'!$D$133</definedName>
    <definedName name="input_wld_az1_rack3_vmotion_mask">'Additional Racks'!$D$132</definedName>
    <definedName name="input_wld_az1_rack3_vmotion_mtu">'Additional Racks'!$D$130</definedName>
    <definedName name="input_wld_az1_rack3_vmotion_network">'Additional Racks'!$D$131</definedName>
    <definedName name="input_wld_az1_rack3_vmotion_pool_end_ip">'Additional Racks'!$D$135</definedName>
    <definedName name="input_wld_az1_rack3_vmotion_pool_start_ip">'Additional Racks'!$D$134</definedName>
    <definedName name="input_wld_az1_rack3_vmotion_vlan">'Additional Racks'!$D$129</definedName>
    <definedName name="input_wld_az1_rack3_vsan_fault_domain">'Additional Racks'!$D$179</definedName>
    <definedName name="input_wld_az1_rack4_edge_overlay_gateway_ip">Arkham!$I$64</definedName>
    <definedName name="input_wld_az1_rack4_edge_overlay_mask">Arkham!$I$67</definedName>
    <definedName name="input_wld_az1_rack4_edge_overlay_mtu">Arkham!$I$70</definedName>
    <definedName name="input_wld_az1_rack4_edge_overlay_network">Arkham!$I$61</definedName>
    <definedName name="input_wld_az1_rack4_edge_overlay_network_pool_name">'Additional Racks'!$D$268</definedName>
    <definedName name="input_wld_az1_rack4_edge_overlay_pool_end_ip">Arkham!$I$72</definedName>
    <definedName name="input_wld_az1_rack4_edge_overlay_pool_start_ip">Arkham!$I$71</definedName>
    <definedName name="input_wld_az1_rack4_edge_overlay_vlan">Arkham!$I$58</definedName>
    <definedName name="input_wld_az1_rack4_host_overlay_cidr">Arkham!$C$31</definedName>
    <definedName name="input_wld_az1_rack4_host_overlay_gateway_ip">'Additional Racks'!$D$281</definedName>
    <definedName name="input_wld_az1_rack4_host_overlay_mask">'Additional Racks'!$D$280</definedName>
    <definedName name="input_wld_az1_rack4_host_overlay_mtu">'Additional Racks'!$D$278</definedName>
    <definedName name="input_wld_az1_rack4_host_overlay_network">'Additional Racks'!$D$279</definedName>
    <definedName name="input_wld_az1_rack4_host_overlay_network_pool_name">'Additional Racks'!$D$266</definedName>
    <definedName name="input_wld_az1_rack4_host_overlay_network_profile_name">'Additional Racks'!$D$264</definedName>
    <definedName name="input_wld_az1_rack4_host_overlay_pool_end_ip">'Additional Racks'!$D$283</definedName>
    <definedName name="input_wld_az1_rack4_host_overlay_pool_start_ip">'Additional Racks'!$D$282</definedName>
    <definedName name="input_wld_az1_rack4_host_overlay_uplink_profile_name">'Additional Racks'!$D$267</definedName>
    <definedName name="input_wld_az1_rack4_host_overlay_vlan">'Additional Racks'!$D$277</definedName>
    <definedName name="input_wld_az1_rack4_host1_fqdn">'Additional Racks'!$D$240</definedName>
    <definedName name="input_wld_az1_rack4_host1_mgmt_ip">'Additional Racks'!$D$200</definedName>
    <definedName name="input_wld_az1_rack4_host10_fqdn">'Additional Racks'!$D$249</definedName>
    <definedName name="input_wld_az1_rack4_host10_mgmt_ip">'Additional Racks'!$D$209</definedName>
    <definedName name="input_wld_az1_rack4_host11_fqdn">'Additional Racks'!$D$250</definedName>
    <definedName name="input_wld_az1_rack4_host11_mgmt_ip">'Additional Racks'!$D$210</definedName>
    <definedName name="input_wld_az1_rack4_host12_fqdn">'Additional Racks'!$D$251</definedName>
    <definedName name="input_wld_az1_rack4_host12_mgmt_ip">'Additional Racks'!$D$211</definedName>
    <definedName name="input_wld_az1_rack4_host13_fqdn">'Additional Racks'!$D$252</definedName>
    <definedName name="input_wld_az1_rack4_host13_mgmt_ip">'Additional Racks'!$D$212</definedName>
    <definedName name="input_wld_az1_rack4_host14_fqdn">'Additional Racks'!$D$253</definedName>
    <definedName name="input_wld_az1_rack4_host14_mgmt_ip">'Additional Racks'!$D$213</definedName>
    <definedName name="input_wld_az1_rack4_host15_fqdn">'Additional Racks'!$D$254</definedName>
    <definedName name="input_wld_az1_rack4_host15_mgmt_ip">'Additional Racks'!$D$214</definedName>
    <definedName name="input_wld_az1_rack4_host16_fqdn">'Additional Racks'!$D$255</definedName>
    <definedName name="input_wld_az1_rack4_host16_mgmt_ip">'Additional Racks'!$D$215</definedName>
    <definedName name="input_wld_az1_rack4_host2_fqdn">'Additional Racks'!$D$241</definedName>
    <definedName name="input_wld_az1_rack4_host2_mgmt_ip">'Additional Racks'!$D$201</definedName>
    <definedName name="input_wld_az1_rack4_host3_fqdn">'Additional Racks'!$D$242</definedName>
    <definedName name="input_wld_az1_rack4_host3_mgmt_ip">'Additional Racks'!$D$202</definedName>
    <definedName name="input_wld_az1_rack4_host4_fqdn">'Additional Racks'!$D$243</definedName>
    <definedName name="input_wld_az1_rack4_host4_mgmt_ip">'Additional Racks'!$D$203</definedName>
    <definedName name="input_wld_az1_rack4_host5_fqdn">'Additional Racks'!$D$244</definedName>
    <definedName name="input_wld_az1_rack4_host5_mgmt_ip">'Additional Racks'!$D$204</definedName>
    <definedName name="input_wld_az1_rack4_host6_fqdn">'Additional Racks'!$D$245</definedName>
    <definedName name="input_wld_az1_rack4_host6_mgmt_ip">'Additional Racks'!$D$205</definedName>
    <definedName name="input_wld_az1_rack4_host7_fqdn">'Additional Racks'!$D$246</definedName>
    <definedName name="input_wld_az1_rack4_host7_mgmt_ip">'Additional Racks'!$D$206</definedName>
    <definedName name="input_wld_az1_rack4_host8_fqdn">'Additional Racks'!$D$247</definedName>
    <definedName name="input_wld_az1_rack4_host8_mgmt_ip">'Additional Racks'!$D$207</definedName>
    <definedName name="input_wld_az1_rack4_host9_fqdn">'Additional Racks'!$D$248</definedName>
    <definedName name="input_wld_az1_rack4_host9_mgmt_ip">'Additional Racks'!$D$208</definedName>
    <definedName name="input_wld_az1_rack4_mgmt_cidr">'Additional Racks'!$D$197</definedName>
    <definedName name="input_wld_az1_rack4_mgmt_gateway_ip">'Additional Racks'!$D$196</definedName>
    <definedName name="input_wld_az1_rack4_mgmt_mtu">'Additional Racks'!$D$198</definedName>
    <definedName name="input_wld_az1_rack4_mgmt_vlan">'Additional Racks'!$D$195</definedName>
    <definedName name="input_wld_az1_rack4_mgmt_vm_cidr">'Value Reference Tables - MR'!$N$261</definedName>
    <definedName name="input_wld_az1_rack4_mgmt_vm_gateway_ip">'Value Reference Tables - MR'!$P$261</definedName>
    <definedName name="input_wld_az1_rack4_mgmt_vm_mtu">'Value Reference Tables - MR'!$R$261</definedName>
    <definedName name="input_wld_az1_rack4_mgmt_vm_vlan">'Value Reference Tables - MR'!$L$261</definedName>
    <definedName name="input_wld_az1_rack4_pool_name">'Additional Racks'!$D$220</definedName>
    <definedName name="input_wld_az1_rack4_principal_storage_cidr">Arkham!$C$29</definedName>
    <definedName name="input_wld_az1_rack4_principal_storage_gateway_ip">'Additional Racks'!$D$234</definedName>
    <definedName name="input_wld_az1_rack4_principal_storage_mask">'Additional Racks'!$D$233</definedName>
    <definedName name="input_wld_az1_rack4_principal_storage_mtu">'Additional Racks'!$D$231</definedName>
    <definedName name="input_wld_az1_rack4_principal_storage_network">'Additional Racks'!$D$232</definedName>
    <definedName name="input_wld_az1_rack4_principal_storage_pool_end_ip">'Additional Racks'!$D$236</definedName>
    <definedName name="input_wld_az1_rack4_principal_storage_pool_start_ip">'Additional Racks'!$D$235</definedName>
    <definedName name="input_wld_az1_rack4_principal_storage_vlan">'Additional Racks'!$D$230</definedName>
    <definedName name="input_wld_az1_rack4_rtep_ip_pool_name">'Additional Racks'!$D$269</definedName>
    <definedName name="input_wld_az1_rack4_secondary_storage_cidr">Arkham!$C$30</definedName>
    <definedName name="input_wld_az1_rack4_secondary_storage_gateway_ip">'Dumping Ground'!$D$528</definedName>
    <definedName name="input_wld_az1_rack4_secondary_storage_mask">'Dumping Ground'!$D$527</definedName>
    <definedName name="input_wld_az1_rack4_secondary_storage_mtu">'Dumping Ground'!$D$525</definedName>
    <definedName name="input_wld_az1_rack4_secondary_storage_network">'Dumping Ground'!$D$526</definedName>
    <definedName name="input_wld_az1_rack4_secondary_storage_pool_end_ip">'Dumping Ground'!$D$530</definedName>
    <definedName name="input_wld_az1_rack4_secondary_storage_pool_start_ip">'Dumping Ground'!$D$529</definedName>
    <definedName name="input_wld_az1_rack4_secondary_storage_vlan">'Dumping Ground'!$D$524</definedName>
    <definedName name="input_wld_az1_rack4_tor1_peer_asn">Arkham!$I$75</definedName>
    <definedName name="input_wld_az1_rack4_tor1_peer_bgp_password">Arkham!$I$76</definedName>
    <definedName name="input_wld_az1_rack4_tor1_peer_ip">Arkham!$I$74</definedName>
    <definedName name="input_wld_az1_rack4_tor2_peer_asn">Arkham!$I$78</definedName>
    <definedName name="input_wld_az1_rack4_tor2_peer_bgp_password">Arkham!$I$79</definedName>
    <definedName name="input_wld_az1_rack4_tor2_peer_ip">Arkham!$I$77</definedName>
    <definedName name="input_wld_az1_rack4_uplink01_gateway_ip">Arkham!$I$62</definedName>
    <definedName name="input_wld_az1_rack4_uplink01_mask">Arkham!$I$65</definedName>
    <definedName name="input_wld_az1_rack4_uplink01_mtu">Arkham!$I$68</definedName>
    <definedName name="input_wld_az1_rack4_uplink01_network">Arkham!$I$59</definedName>
    <definedName name="input_wld_az1_rack4_uplink01_vlan">Arkham!$I$56</definedName>
    <definedName name="input_wld_az1_rack4_uplink02_gateway_ip">Arkham!$I$63</definedName>
    <definedName name="input_wld_az1_rack4_uplink02_mask">Arkham!$I$66</definedName>
    <definedName name="input_wld_az1_rack4_uplink02_mtu">Arkham!$I$69</definedName>
    <definedName name="input_wld_az1_rack4_uplink02_network">Arkham!$I$60</definedName>
    <definedName name="input_wld_az1_rack4_uplink02_vlan">Arkham!$I$57</definedName>
    <definedName name="input_wld_az1_rack4_vmotion_cidr">Arkham!$C$28</definedName>
    <definedName name="input_wld_az1_rack4_vmotion_gateway_ip">'Additional Racks'!$D$226</definedName>
    <definedName name="input_wld_az1_rack4_vmotion_mask">'Additional Racks'!$D$225</definedName>
    <definedName name="input_wld_az1_rack4_vmotion_mtu">'Additional Racks'!$D$223</definedName>
    <definedName name="input_wld_az1_rack4_vmotion_network">'Additional Racks'!$D$224</definedName>
    <definedName name="input_wld_az1_rack4_vmotion_pool_end_ip">'Additional Racks'!$D$228</definedName>
    <definedName name="input_wld_az1_rack4_vmotion_pool_start_ip">'Additional Racks'!$D$227</definedName>
    <definedName name="input_wld_az1_rack4_vmotion_vlan">'Additional Racks'!$D$222</definedName>
    <definedName name="input_wld_az1_rack4_vsan_fault_domain">'Additional Racks'!$D$272</definedName>
    <definedName name="input_wld_az1_rack5_edge_overlay_gateway_ip">Arkham!$L$64</definedName>
    <definedName name="input_wld_az1_rack5_edge_overlay_mask">Arkham!$L$67</definedName>
    <definedName name="input_wld_az1_rack5_edge_overlay_mtu">Arkham!$L$70</definedName>
    <definedName name="input_wld_az1_rack5_edge_overlay_network">Arkham!$L$61</definedName>
    <definedName name="input_wld_az1_rack5_edge_overlay_network_pool_name">'Additional Racks'!$D$361</definedName>
    <definedName name="input_wld_az1_rack5_edge_overlay_pool_end_ip">Arkham!$L$72</definedName>
    <definedName name="input_wld_az1_rack5_edge_overlay_pool_start_ip">Arkham!$L$71</definedName>
    <definedName name="input_wld_az1_rack5_edge_overlay_vlan">Arkham!$L$58</definedName>
    <definedName name="input_wld_az1_rack5_host_overlay_cidr">Arkham!$C$35</definedName>
    <definedName name="input_wld_az1_rack5_host_overlay_gateway_ip">'Additional Racks'!$D$374</definedName>
    <definedName name="input_wld_az1_rack5_host_overlay_mask">'Additional Racks'!$D$373</definedName>
    <definedName name="input_wld_az1_rack5_host_overlay_mtu">'Additional Racks'!$D$371</definedName>
    <definedName name="input_wld_az1_rack5_host_overlay_network">'Additional Racks'!$D$372</definedName>
    <definedName name="input_wld_az1_rack5_host_overlay_network_pool_name">'Additional Racks'!$D$359</definedName>
    <definedName name="input_wld_az1_rack5_host_overlay_network_profile_name">'Additional Racks'!$D$357</definedName>
    <definedName name="input_wld_az1_rack5_host_overlay_pool_end_ip">'Additional Racks'!$D$376</definedName>
    <definedName name="input_wld_az1_rack5_host_overlay_pool_start_ip">'Additional Racks'!$D$375</definedName>
    <definedName name="input_wld_az1_rack5_host_overlay_uplink_profile_name">'Additional Racks'!$D$360</definedName>
    <definedName name="input_wld_az1_rack5_host_overlay_vlan">'Additional Racks'!$D$370</definedName>
    <definedName name="input_wld_az1_rack5_host1_fqdn">'Additional Racks'!$D$333</definedName>
    <definedName name="input_wld_az1_rack5_host1_mgmt_ip">'Additional Racks'!$D$293</definedName>
    <definedName name="input_wld_az1_rack5_host10_fqdn">'Additional Racks'!$D$342</definedName>
    <definedName name="input_wld_az1_rack5_host10_mgmt_ip">'Additional Racks'!$D$302</definedName>
    <definedName name="input_wld_az1_rack5_host11_fqdn">'Additional Racks'!$D$343</definedName>
    <definedName name="input_wld_az1_rack5_host11_mgmt_ip">'Additional Racks'!$D$303</definedName>
    <definedName name="input_wld_az1_rack5_host12_fqdn">'Additional Racks'!$D$344</definedName>
    <definedName name="input_wld_az1_rack5_host12_mgmt_ip">'Additional Racks'!$D$304</definedName>
    <definedName name="input_wld_az1_rack5_host13_fqdn">'Additional Racks'!$D$345</definedName>
    <definedName name="input_wld_az1_rack5_host13_mgmt_ip">'Additional Racks'!$D$305</definedName>
    <definedName name="input_wld_az1_rack5_host14_fqdn">'Additional Racks'!$D$346</definedName>
    <definedName name="input_wld_az1_rack5_host14_mgmt_ip">'Additional Racks'!$D$306</definedName>
    <definedName name="input_wld_az1_rack5_host15_fqdn">'Additional Racks'!$D$347</definedName>
    <definedName name="input_wld_az1_rack5_host15_mgmt_ip">'Additional Racks'!$D$307</definedName>
    <definedName name="input_wld_az1_rack5_host16_fqdn">'Additional Racks'!$D$348</definedName>
    <definedName name="input_wld_az1_rack5_host16_mgmt_ip">'Additional Racks'!$D$308</definedName>
    <definedName name="input_wld_az1_rack5_host2_fqdn">'Additional Racks'!$D$334</definedName>
    <definedName name="input_wld_az1_rack5_host2_mgmt_ip">'Additional Racks'!$D$294</definedName>
    <definedName name="input_wld_az1_rack5_host3_fqdn">'Additional Racks'!$D$335</definedName>
    <definedName name="input_wld_az1_rack5_host3_mgmt_ip">'Additional Racks'!$D$295</definedName>
    <definedName name="input_wld_az1_rack5_host4_fqdn">'Additional Racks'!$D$336</definedName>
    <definedName name="input_wld_az1_rack5_host4_mgmt_ip">'Additional Racks'!$D$296</definedName>
    <definedName name="input_wld_az1_rack5_host5_fqdn">'Additional Racks'!$D$337</definedName>
    <definedName name="input_wld_az1_rack5_host5_mgmt_ip">'Additional Racks'!$D$297</definedName>
    <definedName name="input_wld_az1_rack5_host6_fqdn">'Additional Racks'!$D$338</definedName>
    <definedName name="input_wld_az1_rack5_host6_mgmt_ip">'Additional Racks'!$D$298</definedName>
    <definedName name="input_wld_az1_rack5_host7_fqdn">'Additional Racks'!$D$339</definedName>
    <definedName name="input_wld_az1_rack5_host7_mgmt_ip">'Additional Racks'!$D$299</definedName>
    <definedName name="input_wld_az1_rack5_host8_fqdn">'Additional Racks'!$D$340</definedName>
    <definedName name="input_wld_az1_rack5_host8_mgmt_ip">'Additional Racks'!$D$300</definedName>
    <definedName name="input_wld_az1_rack5_host9_fqdn">'Additional Racks'!$D$341</definedName>
    <definedName name="input_wld_az1_rack5_host9_mgmt_ip">'Additional Racks'!$D$301</definedName>
    <definedName name="input_wld_az1_rack5_mgmt_cidr">'Additional Racks'!$D$290</definedName>
    <definedName name="input_wld_az1_rack5_mgmt_gateway_ip">'Additional Racks'!$D$289</definedName>
    <definedName name="input_wld_az1_rack5_mgmt_mtu">'Additional Racks'!$D$291</definedName>
    <definedName name="input_wld_az1_rack5_mgmt_vlan">'Additional Racks'!$D$288</definedName>
    <definedName name="input_wld_az1_rack5_mgmt_vm_cidr">'Value Reference Tables - MR'!$N$262</definedName>
    <definedName name="input_wld_az1_rack5_mgmt_vm_gateway_ip">'Value Reference Tables - MR'!$P$262</definedName>
    <definedName name="input_wld_az1_rack5_mgmt_vm_mtu">'Value Reference Tables - MR'!$R$262</definedName>
    <definedName name="input_wld_az1_rack5_mgmt_vm_vlan">'Value Reference Tables - MR'!$L$262</definedName>
    <definedName name="input_wld_az1_rack5_pool_name">'Additional Racks'!$D$313</definedName>
    <definedName name="input_wld_az1_rack5_principal_storage_cidr">Arkham!$C$33</definedName>
    <definedName name="input_wld_az1_rack5_principal_storage_gateway_ip">'Additional Racks'!$D$327</definedName>
    <definedName name="input_wld_az1_rack5_principal_storage_mask">'Additional Racks'!$D$326</definedName>
    <definedName name="input_wld_az1_rack5_principal_storage_mtu">'Additional Racks'!$D$324</definedName>
    <definedName name="input_wld_az1_rack5_principal_storage_network">'Additional Racks'!$D$325</definedName>
    <definedName name="input_wld_az1_rack5_principal_storage_pool_end_ip">'Additional Racks'!$D$329</definedName>
    <definedName name="input_wld_az1_rack5_principal_storage_pool_start_ip">'Additional Racks'!$D$328</definedName>
    <definedName name="input_wld_az1_rack5_principal_storage_vlan">'Additional Racks'!$D$323</definedName>
    <definedName name="input_wld_az1_rack5_rtep_ip_pool_name">'Additional Racks'!$D$362</definedName>
    <definedName name="input_wld_az1_rack5_secondary_storage_cidr">Arkham!$C$34</definedName>
    <definedName name="input_wld_az1_rack5_secondary_storage_gateway_ip">'Dumping Ground'!$D$536</definedName>
    <definedName name="input_wld_az1_rack5_secondary_storage_mask">'Dumping Ground'!$D$535</definedName>
    <definedName name="input_wld_az1_rack5_secondary_storage_mtu">'Dumping Ground'!$D$533</definedName>
    <definedName name="input_wld_az1_rack5_secondary_storage_network">'Dumping Ground'!$D$534</definedName>
    <definedName name="input_wld_az1_rack5_secondary_storage_pool_end_ip">'Dumping Ground'!$D$538</definedName>
    <definedName name="input_wld_az1_rack5_secondary_storage_pool_start_ip">'Dumping Ground'!$D$537</definedName>
    <definedName name="input_wld_az1_rack5_secondary_storage_vlan">'Dumping Ground'!$D$532</definedName>
    <definedName name="input_wld_az1_rack5_tor1_peer_asn">Arkham!$L$75</definedName>
    <definedName name="input_wld_az1_rack5_tor1_peer_bgp_password">Arkham!$L$76</definedName>
    <definedName name="input_wld_az1_rack5_tor1_peer_ip">Arkham!$L$74</definedName>
    <definedName name="input_wld_az1_rack5_tor2_peer_asn">Arkham!$L$78</definedName>
    <definedName name="input_wld_az1_rack5_tor2_peer_bgp_password">Arkham!$L$79</definedName>
    <definedName name="input_wld_az1_rack5_tor2_peer_ip">Arkham!$L$77</definedName>
    <definedName name="input_wld_az1_rack5_uplink01_gateway_ip">Arkham!$L$62</definedName>
    <definedName name="input_wld_az1_rack5_uplink01_mask">Arkham!$L$65</definedName>
    <definedName name="input_wld_az1_rack5_uplink01_mtu">Arkham!$L$68</definedName>
    <definedName name="input_wld_az1_rack5_uplink01_network">Arkham!$L$59</definedName>
    <definedName name="input_wld_az1_rack5_uplink01_vlan">Arkham!$L$56</definedName>
    <definedName name="input_wld_az1_rack5_uplink02_gateway_ip">Arkham!$L$63</definedName>
    <definedName name="input_wld_az1_rack5_uplink02_mask">Arkham!$L$66</definedName>
    <definedName name="input_wld_az1_rack5_uplink02_mtu">Arkham!$L$69</definedName>
    <definedName name="input_wld_az1_rack5_uplink02_network">Arkham!$L$60</definedName>
    <definedName name="input_wld_az1_rack5_uplink02_vlan">Arkham!$L$57</definedName>
    <definedName name="input_wld_az1_rack5_vmotion_cidr">Arkham!$C$32</definedName>
    <definedName name="input_wld_az1_rack5_vmotion_gateway_ip">'Additional Racks'!$D$319</definedName>
    <definedName name="input_wld_az1_rack5_vmotion_mask">'Additional Racks'!$D$318</definedName>
    <definedName name="input_wld_az1_rack5_vmotion_mtu">'Additional Racks'!$D$316</definedName>
    <definedName name="input_wld_az1_rack5_vmotion_network">'Additional Racks'!$D$317</definedName>
    <definedName name="input_wld_az1_rack5_vmotion_pool_end_ip">'Additional Racks'!$D$321</definedName>
    <definedName name="input_wld_az1_rack5_vmotion_pool_start_ip">'Additional Racks'!$D$320</definedName>
    <definedName name="input_wld_az1_rack5_vmotion_vlan">'Additional Racks'!$D$315</definedName>
    <definedName name="input_wld_az1_rack5_vsan_fault_domain">'Additional Racks'!$D$365</definedName>
    <definedName name="input_wld_az1_rack6_edge_overlay_gateway_ip">Arkham!$O$64</definedName>
    <definedName name="input_wld_az1_rack6_edge_overlay_mask">Arkham!$O$67</definedName>
    <definedName name="input_wld_az1_rack6_edge_overlay_mtu">Arkham!$O$70</definedName>
    <definedName name="input_wld_az1_rack6_edge_overlay_network">Arkham!$O$61</definedName>
    <definedName name="input_wld_az1_rack6_edge_overlay_network_pool_name">'Additional Racks'!$D$454</definedName>
    <definedName name="input_wld_az1_rack6_edge_overlay_pool_end_ip">Arkham!$O$72</definedName>
    <definedName name="input_wld_az1_rack6_edge_overlay_pool_start_ip">Arkham!$O$71</definedName>
    <definedName name="input_wld_az1_rack6_edge_overlay_vlan">Arkham!$O$58</definedName>
    <definedName name="input_wld_az1_rack6_host_overlay_cidr">Arkham!$C$39</definedName>
    <definedName name="input_wld_az1_rack6_host_overlay_gateway_ip">'Additional Racks'!$D$467</definedName>
    <definedName name="input_wld_az1_rack6_host_overlay_mask">'Additional Racks'!$D$466</definedName>
    <definedName name="input_wld_az1_rack6_host_overlay_mtu">'Additional Racks'!$D$464</definedName>
    <definedName name="input_wld_az1_rack6_host_overlay_network">'Additional Racks'!$D$465</definedName>
    <definedName name="input_wld_az1_rack6_host_overlay_network_pool_name">'Additional Racks'!$D$452</definedName>
    <definedName name="input_wld_az1_rack6_host_overlay_network_profile_name">'Additional Racks'!$D$450</definedName>
    <definedName name="input_wld_az1_rack6_host_overlay_pool_end_ip">'Additional Racks'!$D$469</definedName>
    <definedName name="input_wld_az1_rack6_host_overlay_pool_start_ip">'Additional Racks'!$D$468</definedName>
    <definedName name="input_wld_az1_rack6_host_overlay_uplink_profile_name">'Additional Racks'!$D$453</definedName>
    <definedName name="input_wld_az1_rack6_host_overlay_vlan">'Additional Racks'!$D$463</definedName>
    <definedName name="input_wld_az1_rack6_host1_fqdn">'Additional Racks'!$D$426</definedName>
    <definedName name="input_wld_az1_rack6_host1_mgmt_ip">'Additional Racks'!$D$386</definedName>
    <definedName name="input_wld_az1_rack6_host10_fqdn">'Additional Racks'!$D$435</definedName>
    <definedName name="input_wld_az1_rack6_host10_mgmt_ip">'Additional Racks'!$D$395</definedName>
    <definedName name="input_wld_az1_rack6_host11_fqdn">'Additional Racks'!$D$436</definedName>
    <definedName name="input_wld_az1_rack6_host11_mgmt_ip">'Additional Racks'!$D$396</definedName>
    <definedName name="input_wld_az1_rack6_host12_fqdn">'Additional Racks'!$D$437</definedName>
    <definedName name="input_wld_az1_rack6_host12_mgmt_ip">'Additional Racks'!$D$397</definedName>
    <definedName name="input_wld_az1_rack6_host13_fqdn">'Additional Racks'!$D$438</definedName>
    <definedName name="input_wld_az1_rack6_host13_mgmt_ip">'Additional Racks'!$D$398</definedName>
    <definedName name="input_wld_az1_rack6_host14_fqdn">'Additional Racks'!$D$439</definedName>
    <definedName name="input_wld_az1_rack6_host14_mgmt_ip">'Additional Racks'!$D$399</definedName>
    <definedName name="input_wld_az1_rack6_host15_fqdn">'Additional Racks'!$D$440</definedName>
    <definedName name="input_wld_az1_rack6_host15_mgmt_ip">'Additional Racks'!$D$400</definedName>
    <definedName name="input_wld_az1_rack6_host16_fqdn">'Additional Racks'!$D$441</definedName>
    <definedName name="input_wld_az1_rack6_host16_mgmt_ip">'Additional Racks'!$D$401</definedName>
    <definedName name="input_wld_az1_rack6_host2_fqdn">'Additional Racks'!$D$427</definedName>
    <definedName name="input_wld_az1_rack6_host2_mgmt_ip">'Additional Racks'!$D$387</definedName>
    <definedName name="input_wld_az1_rack6_host3_fqdn">'Additional Racks'!$D$428</definedName>
    <definedName name="input_wld_az1_rack6_host3_mgmt_ip">'Additional Racks'!$D$388</definedName>
    <definedName name="input_wld_az1_rack6_host4_fqdn">'Additional Racks'!$D$429</definedName>
    <definedName name="input_wld_az1_rack6_host4_mgmt_ip">'Additional Racks'!$D$389</definedName>
    <definedName name="input_wld_az1_rack6_host5_fqdn">'Additional Racks'!$D$430</definedName>
    <definedName name="input_wld_az1_rack6_host5_mgmt_ip">'Additional Racks'!$D$390</definedName>
    <definedName name="input_wld_az1_rack6_host6_fqdn">'Additional Racks'!$D$431</definedName>
    <definedName name="input_wld_az1_rack6_host6_mgmt_ip">'Additional Racks'!$D$391</definedName>
    <definedName name="input_wld_az1_rack6_host7_fqdn">'Additional Racks'!$D$432</definedName>
    <definedName name="input_wld_az1_rack6_host7_mgmt_ip">'Additional Racks'!$D$392</definedName>
    <definedName name="input_wld_az1_rack6_host8_fqdn">'Additional Racks'!$D$433</definedName>
    <definedName name="input_wld_az1_rack6_host8_mgmt_ip">'Additional Racks'!$D$393</definedName>
    <definedName name="input_wld_az1_rack6_host9_fqdn">'Additional Racks'!$D$434</definedName>
    <definedName name="input_wld_az1_rack6_host9_mgmt_ip">'Additional Racks'!$D$394</definedName>
    <definedName name="input_wld_az1_rack6_mgmt_cidr">'Additional Racks'!$D$383</definedName>
    <definedName name="input_wld_az1_rack6_mgmt_gateway_ip">'Additional Racks'!$D$382</definedName>
    <definedName name="input_wld_az1_rack6_mgmt_mtu">'Additional Racks'!$D$384</definedName>
    <definedName name="input_wld_az1_rack6_mgmt_vlan">'Additional Racks'!$D$381</definedName>
    <definedName name="input_wld_az1_rack6_mgmt_vm_cidr">'Value Reference Tables - MR'!$N$263</definedName>
    <definedName name="input_wld_az1_rack6_mgmt_vm_gateway_ip">'Value Reference Tables - MR'!$P$263</definedName>
    <definedName name="input_wld_az1_rack6_mgmt_vm_mtu">'Value Reference Tables - MR'!$R$263</definedName>
    <definedName name="input_wld_az1_rack6_mgmt_vm_vlan">'Value Reference Tables - MR'!$L$263</definedName>
    <definedName name="input_wld_az1_rack6_pool_name">'Additional Racks'!$D$406</definedName>
    <definedName name="input_wld_az1_rack6_principal_storage_cidr">Arkham!$C$37</definedName>
    <definedName name="input_wld_az1_rack6_principal_storage_gateway_ip">'Additional Racks'!$D$420</definedName>
    <definedName name="input_wld_az1_rack6_principal_storage_mask">'Additional Racks'!$D$419</definedName>
    <definedName name="input_wld_az1_rack6_principal_storage_mtu">'Additional Racks'!$D$417</definedName>
    <definedName name="input_wld_az1_rack6_principal_storage_network">'Additional Racks'!$D$418</definedName>
    <definedName name="input_wld_az1_rack6_principal_storage_pool_end_ip">'Additional Racks'!$D$422</definedName>
    <definedName name="input_wld_az1_rack6_principal_storage_pool_start_ip">'Additional Racks'!$D$421</definedName>
    <definedName name="input_wld_az1_rack6_principal_storage_vlan">'Additional Racks'!$D$416</definedName>
    <definedName name="input_wld_az1_rack6_rtep_ip_pool_name">'Additional Racks'!$D$455</definedName>
    <definedName name="input_wld_az1_rack6_secondary_storage_cidr">Arkham!$C$38</definedName>
    <definedName name="input_wld_az1_rack6_secondary_storage_gateway_ip">'Dumping Ground'!$D$544</definedName>
    <definedName name="input_wld_az1_rack6_secondary_storage_mask">'Dumping Ground'!$D$543</definedName>
    <definedName name="input_wld_az1_rack6_secondary_storage_mtu">'Dumping Ground'!$D$541</definedName>
    <definedName name="input_wld_az1_rack6_secondary_storage_network">'Dumping Ground'!$D$542</definedName>
    <definedName name="input_wld_az1_rack6_secondary_storage_pool_end_ip">'Dumping Ground'!$D$546</definedName>
    <definedName name="input_wld_az1_rack6_secondary_storage_pool_start_ip">'Dumping Ground'!$D$545</definedName>
    <definedName name="input_wld_az1_rack6_secondary_storage_vlan">'Dumping Ground'!$D$540</definedName>
    <definedName name="input_wld_az1_rack6_tor1_peer_asn">Arkham!$O$75</definedName>
    <definedName name="input_wld_az1_rack6_tor1_peer_bgp_password">Arkham!$O$76</definedName>
    <definedName name="input_wld_az1_rack6_tor1_peer_ip">Arkham!$O$74</definedName>
    <definedName name="input_wld_az1_rack6_tor2_peer_asn">Arkham!$O$78</definedName>
    <definedName name="input_wld_az1_rack6_tor2_peer_bgp_password">Arkham!$O$79</definedName>
    <definedName name="input_wld_az1_rack6_tor2_peer_ip">Arkham!$O$77</definedName>
    <definedName name="input_wld_az1_rack6_uplink01_gateway_ip">Arkham!$O$62</definedName>
    <definedName name="input_wld_az1_rack6_uplink01_mask">Arkham!$O$65</definedName>
    <definedName name="input_wld_az1_rack6_uplink01_mtu">Arkham!$O$68</definedName>
    <definedName name="input_wld_az1_rack6_uplink01_network">Arkham!$O$59</definedName>
    <definedName name="input_wld_az1_rack6_uplink01_vlan">Arkham!$O$56</definedName>
    <definedName name="input_wld_az1_rack6_uplink02_gateway_ip">Arkham!$O$63</definedName>
    <definedName name="input_wld_az1_rack6_uplink02_mask">Arkham!$O$66</definedName>
    <definedName name="input_wld_az1_rack6_uplink02_mtu">Arkham!$O$69</definedName>
    <definedName name="input_wld_az1_rack6_uplink02_network">Arkham!$O$60</definedName>
    <definedName name="input_wld_az1_rack6_uplink02_vlan">Arkham!$O$57</definedName>
    <definedName name="input_wld_az1_rack6_vmotion_cidr">Arkham!$C$36</definedName>
    <definedName name="input_wld_az1_rack6_vmotion_gateway_ip">'Additional Racks'!$D$412</definedName>
    <definedName name="input_wld_az1_rack6_vmotion_mask">'Additional Racks'!$D$411</definedName>
    <definedName name="input_wld_az1_rack6_vmotion_mtu">'Additional Racks'!$D$409</definedName>
    <definedName name="input_wld_az1_rack6_vmotion_network">'Additional Racks'!$D$410</definedName>
    <definedName name="input_wld_az1_rack6_vmotion_pool_end_ip">'Additional Racks'!$D$414</definedName>
    <definedName name="input_wld_az1_rack6_vmotion_pool_start_ip">'Additional Racks'!$D$413</definedName>
    <definedName name="input_wld_az1_rack6_vmotion_vlan">'Additional Racks'!$D$408</definedName>
    <definedName name="input_wld_az1_rack6_vsan_fault_domain">'Additional Racks'!$D$458</definedName>
    <definedName name="input_wld_az1_rack7_edge_overlay_gateway_ip">Arkham!$R$64</definedName>
    <definedName name="input_wld_az1_rack7_edge_overlay_mask">Arkham!$R$67</definedName>
    <definedName name="input_wld_az1_rack7_edge_overlay_mtu">Arkham!$R$70</definedName>
    <definedName name="input_wld_az1_rack7_edge_overlay_network">Arkham!$R$61</definedName>
    <definedName name="input_wld_az1_rack7_edge_overlay_network_pool_name">'Additional Racks'!$D$547</definedName>
    <definedName name="input_wld_az1_rack7_edge_overlay_pool_end_ip">Arkham!$R$72</definedName>
    <definedName name="input_wld_az1_rack7_edge_overlay_pool_start_ip">Arkham!$R$71</definedName>
    <definedName name="input_wld_az1_rack7_edge_overlay_vlan">Arkham!$R$58</definedName>
    <definedName name="input_wld_az1_rack7_host_overlay_cidr">Arkham!$C$43</definedName>
    <definedName name="input_wld_az1_rack7_host_overlay_gateway_ip">'Additional Racks'!$D$560</definedName>
    <definedName name="input_wld_az1_rack7_host_overlay_mask">'Additional Racks'!$D$559</definedName>
    <definedName name="input_wld_az1_rack7_host_overlay_mtu">'Additional Racks'!$D$557</definedName>
    <definedName name="input_wld_az1_rack7_host_overlay_network">'Additional Racks'!$D$558</definedName>
    <definedName name="input_wld_az1_rack7_host_overlay_network_pool_name">'Additional Racks'!$D$545</definedName>
    <definedName name="input_wld_az1_rack7_host_overlay_network_profile_name">'Additional Racks'!$D$543</definedName>
    <definedName name="input_wld_az1_rack7_host_overlay_pool_end_ip">'Additional Racks'!$D$562</definedName>
    <definedName name="input_wld_az1_rack7_host_overlay_pool_start_ip">'Additional Racks'!$D$561</definedName>
    <definedName name="input_wld_az1_rack7_host_overlay_uplink_profile_name">'Additional Racks'!$D$546</definedName>
    <definedName name="input_wld_az1_rack7_host_overlay_vlan">'Additional Racks'!$D$556</definedName>
    <definedName name="input_wld_az1_rack7_host1_fqdn">'Additional Racks'!$D$519</definedName>
    <definedName name="input_wld_az1_rack7_host1_mgmt_ip">'Additional Racks'!$D$479</definedName>
    <definedName name="input_wld_az1_rack7_host10_fqdn">'Additional Racks'!$D$528</definedName>
    <definedName name="input_wld_az1_rack7_host10_mgmt_ip">'Additional Racks'!$D$488</definedName>
    <definedName name="input_wld_az1_rack7_host11_fqdn">'Additional Racks'!$D$529</definedName>
    <definedName name="input_wld_az1_rack7_host11_mgmt_ip">'Additional Racks'!$D$489</definedName>
    <definedName name="input_wld_az1_rack7_host12_fqdn">'Additional Racks'!$D$530</definedName>
    <definedName name="input_wld_az1_rack7_host12_mgmt_ip">'Additional Racks'!$D$490</definedName>
    <definedName name="input_wld_az1_rack7_host13_fqdn">'Additional Racks'!$D$531</definedName>
    <definedName name="input_wld_az1_rack7_host13_mgmt_ip">'Additional Racks'!$D$491</definedName>
    <definedName name="input_wld_az1_rack7_host14_fqdn">'Additional Racks'!$D$532</definedName>
    <definedName name="input_wld_az1_rack7_host14_mgmt_ip">'Additional Racks'!$D$492</definedName>
    <definedName name="input_wld_az1_rack7_host15_fqdn">'Additional Racks'!$D$533</definedName>
    <definedName name="input_wld_az1_rack7_host15_mgmt_ip">'Additional Racks'!$D$493</definedName>
    <definedName name="input_wld_az1_rack7_host16_fqdn">'Additional Racks'!$D$534</definedName>
    <definedName name="input_wld_az1_rack7_host16_mgmt_ip">'Additional Racks'!$D$494</definedName>
    <definedName name="input_wld_az1_rack7_host2_fqdn">'Additional Racks'!$D$520</definedName>
    <definedName name="input_wld_az1_rack7_host2_mgmt_ip">'Additional Racks'!$D$480</definedName>
    <definedName name="input_wld_az1_rack7_host3_fqdn">'Additional Racks'!$D$521</definedName>
    <definedName name="input_wld_az1_rack7_host3_mgmt_ip">'Additional Racks'!$D$481</definedName>
    <definedName name="input_wld_az1_rack7_host4_fqdn">'Additional Racks'!$D$522</definedName>
    <definedName name="input_wld_az1_rack7_host4_mgmt_ip">'Additional Racks'!$D$482</definedName>
    <definedName name="input_wld_az1_rack7_host5_fqdn">'Additional Racks'!$D$523</definedName>
    <definedName name="input_wld_az1_rack7_host5_mgmt_ip">'Additional Racks'!$D$483</definedName>
    <definedName name="input_wld_az1_rack7_host6_fqdn">'Additional Racks'!$D$524</definedName>
    <definedName name="input_wld_az1_rack7_host6_mgmt_ip">'Additional Racks'!$D$484</definedName>
    <definedName name="input_wld_az1_rack7_host7_fqdn">'Additional Racks'!$D$525</definedName>
    <definedName name="input_wld_az1_rack7_host7_mgmt_ip">'Additional Racks'!$D$485</definedName>
    <definedName name="input_wld_az1_rack7_host8_fqdn">'Additional Racks'!$D$526</definedName>
    <definedName name="input_wld_az1_rack7_host8_mgmt_ip">'Additional Racks'!$D$486</definedName>
    <definedName name="input_wld_az1_rack7_host9_fqdn">'Additional Racks'!$D$527</definedName>
    <definedName name="input_wld_az1_rack7_host9_mgmt_ip">'Additional Racks'!$D$487</definedName>
    <definedName name="input_wld_az1_rack7_mgmt_cidr">'Additional Racks'!$D$476</definedName>
    <definedName name="input_wld_az1_rack7_mgmt_gateway_ip">'Additional Racks'!$D$475</definedName>
    <definedName name="input_wld_az1_rack7_mgmt_mtu">'Additional Racks'!$D$477</definedName>
    <definedName name="input_wld_az1_rack7_mgmt_vlan">'Additional Racks'!$D$474</definedName>
    <definedName name="input_wld_az1_rack7_mgmt_vm_cidr">'Value Reference Tables - MR'!$N$264</definedName>
    <definedName name="input_wld_az1_rack7_mgmt_vm_gateway_ip">'Value Reference Tables - MR'!$P$264</definedName>
    <definedName name="input_wld_az1_rack7_mgmt_vm_mtu">'Value Reference Tables - MR'!$R$264</definedName>
    <definedName name="input_wld_az1_rack7_mgmt_vm_vlan">'Value Reference Tables - MR'!$L$264</definedName>
    <definedName name="input_wld_az1_rack7_pool_name">'Additional Racks'!$D$499</definedName>
    <definedName name="input_wld_az1_rack7_principal_storage_cidr">Arkham!$C$41</definedName>
    <definedName name="input_wld_az1_rack7_principal_storage_gateway_ip">'Additional Racks'!$D$513</definedName>
    <definedName name="input_wld_az1_rack7_principal_storage_mask">'Additional Racks'!$D$512</definedName>
    <definedName name="input_wld_az1_rack7_principal_storage_mtu">'Additional Racks'!$D$510</definedName>
    <definedName name="input_wld_az1_rack7_principal_storage_network">'Additional Racks'!$D$511</definedName>
    <definedName name="input_wld_az1_rack7_principal_storage_pool_end_ip">'Additional Racks'!$D$515</definedName>
    <definedName name="input_wld_az1_rack7_principal_storage_pool_start_ip">'Additional Racks'!$D$514</definedName>
    <definedName name="input_wld_az1_rack7_principal_storage_vlan">'Additional Racks'!$D$509</definedName>
    <definedName name="input_wld_az1_rack7_rtep_ip_pool_name">'Additional Racks'!$D$548</definedName>
    <definedName name="input_wld_az1_rack7_secondary_storage_cidr">Arkham!$C$42</definedName>
    <definedName name="input_wld_az1_rack7_secondary_storage_gateway_ip">'Dumping Ground'!$D$552</definedName>
    <definedName name="input_wld_az1_rack7_secondary_storage_mask">'Dumping Ground'!$D$551</definedName>
    <definedName name="input_wld_az1_rack7_secondary_storage_mtu">'Dumping Ground'!$D$549</definedName>
    <definedName name="input_wld_az1_rack7_secondary_storage_network">'Dumping Ground'!$D$550</definedName>
    <definedName name="input_wld_az1_rack7_secondary_storage_pool_end_ip">'Dumping Ground'!$D$554</definedName>
    <definedName name="input_wld_az1_rack7_secondary_storage_pool_start_ip">'Dumping Ground'!$D$553</definedName>
    <definedName name="input_wld_az1_rack7_secondary_storage_vlan">'Dumping Ground'!$D$548</definedName>
    <definedName name="input_wld_az1_rack7_tor1_peer_asn">Arkham!$R$75</definedName>
    <definedName name="input_wld_az1_rack7_tor1_peer_bgp_password">Arkham!$R$76</definedName>
    <definedName name="input_wld_az1_rack7_tor1_peer_ip">Arkham!$R$74</definedName>
    <definedName name="input_wld_az1_rack7_tor2_peer_asn">Arkham!$R$78</definedName>
    <definedName name="input_wld_az1_rack7_tor2_peer_bgp_password">Arkham!$R$79</definedName>
    <definedName name="input_wld_az1_rack7_tor2_peer_ip">Arkham!$R$77</definedName>
    <definedName name="input_wld_az1_rack7_uplink01_gateway_ip">Arkham!$R$62</definedName>
    <definedName name="input_wld_az1_rack7_uplink01_mask">Arkham!$R$65</definedName>
    <definedName name="input_wld_az1_rack7_uplink01_mtu">Arkham!$R$68</definedName>
    <definedName name="input_wld_az1_rack7_uplink01_network">Arkham!$R$59</definedName>
    <definedName name="input_wld_az1_rack7_uplink01_vlan">Arkham!$R$56</definedName>
    <definedName name="input_wld_az1_rack7_uplink02_gateway_ip">Arkham!$R$63</definedName>
    <definedName name="input_wld_az1_rack7_uplink02_mask">Arkham!$R$66</definedName>
    <definedName name="input_wld_az1_rack7_uplink02_mtu">Arkham!$R$69</definedName>
    <definedName name="input_wld_az1_rack7_uplink02_network">Arkham!$R$60</definedName>
    <definedName name="input_wld_az1_rack7_uplink02_vlan">Arkham!$R$57</definedName>
    <definedName name="input_wld_az1_rack7_vmotion_cidr">Arkham!$C$40</definedName>
    <definedName name="input_wld_az1_rack7_vmotion_gateway_ip">'Additional Racks'!$D$505</definedName>
    <definedName name="input_wld_az1_rack7_vmotion_mask">'Additional Racks'!$D$504</definedName>
    <definedName name="input_wld_az1_rack7_vmotion_mtu">'Additional Racks'!$D$502</definedName>
    <definedName name="input_wld_az1_rack7_vmotion_network">'Additional Racks'!$D$503</definedName>
    <definedName name="input_wld_az1_rack7_vmotion_pool_end_ip">'Additional Racks'!$D$507</definedName>
    <definedName name="input_wld_az1_rack7_vmotion_pool_start_ip">'Additional Racks'!$D$506</definedName>
    <definedName name="input_wld_az1_rack7_vmotion_vlan">'Additional Racks'!$D$501</definedName>
    <definedName name="input_wld_az1_rack7_vsan_fault_domain">'Additional Racks'!$D$551</definedName>
    <definedName name="input_wld_az1_rack8_edge_overlay_gateway_ip">Arkham!$U$64</definedName>
    <definedName name="input_wld_az1_rack8_edge_overlay_mask">Arkham!$U$67</definedName>
    <definedName name="input_wld_az1_rack8_edge_overlay_mtu">Arkham!$U$70</definedName>
    <definedName name="input_wld_az1_rack8_edge_overlay_network">Arkham!$U$61</definedName>
    <definedName name="input_wld_az1_rack8_edge_overlay_network_pool_name">'Additional Racks'!$D$640</definedName>
    <definedName name="input_wld_az1_rack8_edge_overlay_pool_end_ip">Arkham!$U$72</definedName>
    <definedName name="input_wld_az1_rack8_edge_overlay_pool_start_ip">Arkham!$U$71</definedName>
    <definedName name="input_wld_az1_rack8_edge_overlay_vlan">Arkham!$U$58</definedName>
    <definedName name="input_wld_az1_rack8_host_overlay_cidr">Arkham!$C$47</definedName>
    <definedName name="input_wld_az1_rack8_host_overlay_gateway_ip">'Additional Racks'!$D$653</definedName>
    <definedName name="input_wld_az1_rack8_host_overlay_mask">'Additional Racks'!$D$652</definedName>
    <definedName name="input_wld_az1_rack8_host_overlay_mtu">'Additional Racks'!$D$650</definedName>
    <definedName name="input_wld_az1_rack8_host_overlay_network">'Additional Racks'!$D$651</definedName>
    <definedName name="input_wld_az1_rack8_host_overlay_network_pool_name">'Additional Racks'!$D$638</definedName>
    <definedName name="input_wld_az1_rack8_host_overlay_network_profile_name">'Additional Racks'!$D$636</definedName>
    <definedName name="input_wld_az1_rack8_host_overlay_pool_end_ip">'Additional Racks'!$D$655</definedName>
    <definedName name="input_wld_az1_rack8_host_overlay_pool_start_ip">'Additional Racks'!$D$654</definedName>
    <definedName name="input_wld_az1_rack8_host_overlay_uplink_profile_name">'Additional Racks'!$D$639</definedName>
    <definedName name="input_wld_az1_rack8_host_overlay_vlan">'Additional Racks'!$D$649</definedName>
    <definedName name="input_wld_az1_rack8_host1_fqdn">'Additional Racks'!$D$612</definedName>
    <definedName name="input_wld_az1_rack8_host1_mgmt_ip">'Additional Racks'!$D$572</definedName>
    <definedName name="input_wld_az1_rack8_host10_fqdn">'Additional Racks'!$D$621</definedName>
    <definedName name="input_wld_az1_rack8_host10_mgmt_ip">'Additional Racks'!$D$581</definedName>
    <definedName name="input_wld_az1_rack8_host11_fqdn">'Additional Racks'!$D$622</definedName>
    <definedName name="input_wld_az1_rack8_host11_mgmt_ip">'Additional Racks'!$D$582</definedName>
    <definedName name="input_wld_az1_rack8_host12_fqdn">'Additional Racks'!$D$623</definedName>
    <definedName name="input_wld_az1_rack8_host12_mgmt_ip">'Additional Racks'!$D$583</definedName>
    <definedName name="input_wld_az1_rack8_host13_fqdn">'Additional Racks'!$D$624</definedName>
    <definedName name="input_wld_az1_rack8_host13_mgmt_ip">'Additional Racks'!$D$584</definedName>
    <definedName name="input_wld_az1_rack8_host14_fqdn">'Additional Racks'!$D$625</definedName>
    <definedName name="input_wld_az1_rack8_host14_mgmt_ip">'Additional Racks'!$D$585</definedName>
    <definedName name="input_wld_az1_rack8_host15_fqdn">'Additional Racks'!$D$626</definedName>
    <definedName name="input_wld_az1_rack8_host15_mgmt_ip">'Additional Racks'!$D$586</definedName>
    <definedName name="input_wld_az1_rack8_host16_fqdn">'Additional Racks'!$D$627</definedName>
    <definedName name="input_wld_az1_rack8_host16_mgmt_ip">'Additional Racks'!$D$587</definedName>
    <definedName name="input_wld_az1_rack8_host2_fqdn">'Additional Racks'!$D$613</definedName>
    <definedName name="input_wld_az1_rack8_host2_mgmt_ip">'Additional Racks'!$D$573</definedName>
    <definedName name="input_wld_az1_rack8_host3_fqdn">'Additional Racks'!$D$614</definedName>
    <definedName name="input_wld_az1_rack8_host3_mgmt_ip">'Additional Racks'!$D$574</definedName>
    <definedName name="input_wld_az1_rack8_host4_fqdn">'Additional Racks'!$D$615</definedName>
    <definedName name="input_wld_az1_rack8_host4_mgmt_ip">'Additional Racks'!$D$575</definedName>
    <definedName name="input_wld_az1_rack8_host5_fqdn">'Additional Racks'!$D$616</definedName>
    <definedName name="input_wld_az1_rack8_host5_mgmt_ip">'Additional Racks'!$D$576</definedName>
    <definedName name="input_wld_az1_rack8_host6_fqdn">'Additional Racks'!$D$617</definedName>
    <definedName name="input_wld_az1_rack8_host6_mgmt_ip">'Additional Racks'!$D$577</definedName>
    <definedName name="input_wld_az1_rack8_host7_fqdn">'Additional Racks'!$D$618</definedName>
    <definedName name="input_wld_az1_rack8_host7_mgmt_ip">'Additional Racks'!$D$578</definedName>
    <definedName name="input_wld_az1_rack8_host8_fqdn">'Additional Racks'!$D$619</definedName>
    <definedName name="input_wld_az1_rack8_host8_mgmt_ip">'Additional Racks'!$D$579</definedName>
    <definedName name="input_wld_az1_rack8_host9_fqdn">'Additional Racks'!$D$620</definedName>
    <definedName name="input_wld_az1_rack8_host9_mgmt_ip">'Additional Racks'!$D$580</definedName>
    <definedName name="input_wld_az1_rack8_mgmt_cidr">'Additional Racks'!$D$569</definedName>
    <definedName name="input_wld_az1_rack8_mgmt_gateway_ip">'Additional Racks'!$D$568</definedName>
    <definedName name="input_wld_az1_rack8_mgmt_mtu">'Additional Racks'!$D$570</definedName>
    <definedName name="input_wld_az1_rack8_mgmt_vlan">'Additional Racks'!$D$567</definedName>
    <definedName name="input_wld_az1_rack8_mgmt_vm_cidr">'Value Reference Tables - MR'!$N$265</definedName>
    <definedName name="input_wld_az1_rack8_mgmt_vm_gateway_ip">'Value Reference Tables - MR'!$P$265</definedName>
    <definedName name="input_wld_az1_rack8_mgmt_vm_mtu">'Value Reference Tables - MR'!$R$265</definedName>
    <definedName name="input_wld_az1_rack8_mgmt_vm_vlan">'Value Reference Tables - MR'!$L$265</definedName>
    <definedName name="input_wld_az1_rack8_pool_name">'Additional Racks'!$D$592</definedName>
    <definedName name="input_wld_az1_rack8_principal_storage_cidr">Arkham!$C$45</definedName>
    <definedName name="input_wld_az1_rack8_principal_storage_gateway_ip">'Additional Racks'!$D$606</definedName>
    <definedName name="input_wld_az1_rack8_principal_storage_mask">'Additional Racks'!$D$605</definedName>
    <definedName name="input_wld_az1_rack8_principal_storage_mtu">'Additional Racks'!$D$603</definedName>
    <definedName name="input_wld_az1_rack8_principal_storage_network">'Additional Racks'!$D$604</definedName>
    <definedName name="input_wld_az1_rack8_principal_storage_pool_end_ip">'Additional Racks'!$D$608</definedName>
    <definedName name="input_wld_az1_rack8_principal_storage_pool_start_ip">'Additional Racks'!$D$607</definedName>
    <definedName name="input_wld_az1_rack8_principal_storage_vlan">'Additional Racks'!$D$602</definedName>
    <definedName name="input_wld_az1_rack8_rtep_ip_pool_name">'Additional Racks'!$D$641</definedName>
    <definedName name="input_wld_az1_rack8_secondary_storage_cidr">Arkham!$C$46</definedName>
    <definedName name="input_wld_az1_rack8_secondary_storage_gateway_ip">'Dumping Ground'!$D$560</definedName>
    <definedName name="input_wld_az1_rack8_secondary_storage_mask">'Dumping Ground'!$D$559</definedName>
    <definedName name="input_wld_az1_rack8_secondary_storage_mtu">'Dumping Ground'!$D$557</definedName>
    <definedName name="input_wld_az1_rack8_secondary_storage_network">'Dumping Ground'!$D$558</definedName>
    <definedName name="input_wld_az1_rack8_secondary_storage_pool_end_ip">'Dumping Ground'!$D$562</definedName>
    <definedName name="input_wld_az1_rack8_secondary_storage_pool_start_ip">'Dumping Ground'!$D$561</definedName>
    <definedName name="input_wld_az1_rack8_secondary_storage_vlan">'Dumping Ground'!$D$556</definedName>
    <definedName name="input_wld_az1_rack8_tor1_peer_asn">Arkham!$U$75</definedName>
    <definedName name="input_wld_az1_rack8_tor1_peer_bgp_password">Arkham!$U$76</definedName>
    <definedName name="input_wld_az1_rack8_tor1_peer_ip">Arkham!$U$74</definedName>
    <definedName name="input_wld_az1_rack8_tor2_peer_asn">Arkham!$U$78</definedName>
    <definedName name="input_wld_az1_rack8_tor2_peer_bgp_password">Arkham!$U$79</definedName>
    <definedName name="input_wld_az1_rack8_tor2_peer_ip">Arkham!$U$77</definedName>
    <definedName name="input_wld_az1_rack8_uplink01_gateway_ip">Arkham!$U$62</definedName>
    <definedName name="input_wld_az1_rack8_uplink01_mask">Arkham!$U$65</definedName>
    <definedName name="input_wld_az1_rack8_uplink01_mtu">Arkham!$U$68</definedName>
    <definedName name="input_wld_az1_rack8_uplink01_network">Arkham!$U$59</definedName>
    <definedName name="input_wld_az1_rack8_uplink01_vlan">Arkham!$U$56</definedName>
    <definedName name="input_wld_az1_rack8_uplink02_gateway_ip">Arkham!$U$63</definedName>
    <definedName name="input_wld_az1_rack8_uplink02_mask">Arkham!$U$66</definedName>
    <definedName name="input_wld_az1_rack8_uplink02_mtu">Arkham!$U$69</definedName>
    <definedName name="input_wld_az1_rack8_uplink02_network">Arkham!$U$60</definedName>
    <definedName name="input_wld_az1_rack8_uplink02_vlan">Arkham!$U$57</definedName>
    <definedName name="input_wld_az1_rack8_vmotion_cidr">Arkham!$C$44</definedName>
    <definedName name="input_wld_az1_rack8_vmotion_gateway_ip">'Additional Racks'!$D$598</definedName>
    <definedName name="input_wld_az1_rack8_vmotion_mask">'Additional Racks'!$D$597</definedName>
    <definedName name="input_wld_az1_rack8_vmotion_mtu">'Additional Racks'!$D$595</definedName>
    <definedName name="input_wld_az1_rack8_vmotion_network">'Additional Racks'!$D$596</definedName>
    <definedName name="input_wld_az1_rack8_vmotion_pool_end_ip">'Additional Racks'!$D$600</definedName>
    <definedName name="input_wld_az1_rack8_vmotion_pool_start_ip">'Additional Racks'!$D$599</definedName>
    <definedName name="input_wld_az1_rack8_vmotion_vlan">'Additional Racks'!$D$594</definedName>
    <definedName name="input_wld_az1_rack8_vsan_fault_domain">'Additional Racks'!$D$644</definedName>
    <definedName name="input_wld_az1_rtep_ip_pool_name">'Configure Workload Domain'!$D$466</definedName>
    <definedName name="input_wld_az1_rtep_overlay_cidr">'Configure Workload Domain'!$D$469</definedName>
    <definedName name="input_wld_az1_rtep_overlay_gateway_ip">'Configure Workload Domain'!$D$470</definedName>
    <definedName name="input_wld_az1_rtep_overlay_vlan">'Configure Workload Domain'!$D$499</definedName>
    <definedName name="input_wld_az1_secondary_storage_gateway_ip">'Deploy Workload Domain'!$D$105</definedName>
    <definedName name="input_wld_az1_secondary_storage_mask">'Deploy Workload Domain'!$D$104</definedName>
    <definedName name="input_wld_az1_secondary_storage_mtu">'Deploy Workload Domain'!$D$102</definedName>
    <definedName name="input_wld_az1_secondary_storage_network">'Deploy Workload Domain'!$D$103</definedName>
    <definedName name="input_wld_az1_secondary_storage_pool_end_ip">'Deploy Workload Domain'!$D$107</definedName>
    <definedName name="input_wld_az1_secondary_storage_pool_start_ip">'Deploy Workload Domain'!$D$106</definedName>
    <definedName name="input_wld_az1_secondary_storage_vlan">'Deploy Workload Domain'!$D$101</definedName>
    <definedName name="input_wld_az1_storage_cluster_gateway_ip">'Deploy Workload Domain'!$D$113</definedName>
    <definedName name="input_wld_az1_storage_cluster_mask">'Deploy Workload Domain'!$D$112</definedName>
    <definedName name="input_wld_az1_storage_cluster_mtu">'Deploy Workload Domain'!$D$110</definedName>
    <definedName name="input_wld_az1_storage_cluster_network">'Deploy Workload Domain'!$D$111</definedName>
    <definedName name="input_wld_az1_storage_cluster_pool_end_ip">'Deploy Workload Domain'!$D$115</definedName>
    <definedName name="input_wld_az1_storage_cluster_pool_start_ip">'Deploy Workload Domain'!$D$114</definedName>
    <definedName name="input_wld_az1_storage_cluster_vlan">'Deploy Workload Domain'!$D$109</definedName>
    <definedName name="input_wld_az1_tor1_peer_asn">'Configure Workload Domain'!$D$106</definedName>
    <definedName name="input_wld_az1_tor1_peer_bgp_password">'Configure Workload Domain'!$D$107</definedName>
    <definedName name="input_wld_az1_tor1_peer_ip">'Configure Workload Domain'!$D$103</definedName>
    <definedName name="input_wld_az1_tor2_peer_asn">'Configure Workload Domain'!$D$113</definedName>
    <definedName name="input_wld_az1_tor2_peer_bgp_password">'Configure Workload Domain'!$D$114</definedName>
    <definedName name="input_wld_az1_tor2_peer_ip">'Configure Workload Domain'!$D$110</definedName>
    <definedName name="input_wld_az1_uplink01_cidr">'Configure Workload Domain'!$D$138</definedName>
    <definedName name="input_wld_az1_uplink01_gateway_ip">'Configure Workload Domain'!$D$137</definedName>
    <definedName name="input_wld_az1_uplink01_mtu">'Configure Workload Domain'!$D$105</definedName>
    <definedName name="input_wld_az1_uplink01_vlan">'Configure Workload Domain'!$D$101</definedName>
    <definedName name="input_wld_az1_uplink02_cidr">'Configure Workload Domain'!$D$142</definedName>
    <definedName name="input_wld_az1_uplink02_gateway_ip">'Configure Workload Domain'!$D$141</definedName>
    <definedName name="input_wld_az1_uplink02_mtu">'Configure Workload Domain'!$D$112</definedName>
    <definedName name="input_wld_az1_uplink02_vlan">'Configure Workload Domain'!$D$108</definedName>
    <definedName name="input_wld_az1_vmotion_gateway_ip">'Deploy Workload Domain'!$D$89</definedName>
    <definedName name="input_wld_az1_vmotion_mask">'Deploy Workload Domain'!$D$88</definedName>
    <definedName name="input_wld_az1_vmotion_mtu">'Deploy Workload Domain'!$D$86</definedName>
    <definedName name="input_wld_az1_vmotion_network">'Deploy Workload Domain'!$D$87</definedName>
    <definedName name="input_wld_az1_vmotion_pool_end_ip">'Deploy Workload Domain'!$D$91</definedName>
    <definedName name="input_wld_az1_vmotion_pool_start_ip">'Deploy Workload Domain'!$D$90</definedName>
    <definedName name="input_wld_az1_vmotion_vlan">'Deploy Workload Domain'!$D$85</definedName>
    <definedName name="input_wld_az1_vrms_cidr">'Dumping Ground'!$D$270</definedName>
    <definedName name="input_wld_az1_vrms_gateway_ip">'Dumping Ground'!$D$269</definedName>
    <definedName name="input_wld_az1_vrms_mtu">'Dumping Ground'!$D$271</definedName>
    <definedName name="input_wld_az1_vrms_vlan">'Dumping Ground'!$D$268</definedName>
    <definedName name="input_wld_az2_host_overlay_cidr">'Configure Workload Domain'!$D$325</definedName>
    <definedName name="input_wld_az2_host_overlay_gateway_ip">'Configure Workload Domain'!$D$324</definedName>
    <definedName name="input_wld_az2_host_overlay_mtu">'Configure Workload Domain'!$D$326</definedName>
    <definedName name="input_wld_az2_host_overlay_network_pool_name">'Configure Workload Domain'!$D$321</definedName>
    <definedName name="input_wld_az2_host_overlay_network_profile_name">'Configure Workload Domain'!$D$319</definedName>
    <definedName name="input_wld_az2_host_overlay_pool_end_ip">'Configure Workload Domain'!$D$328</definedName>
    <definedName name="input_wld_az2_host_overlay_pool_start_ip">'Configure Workload Domain'!$D$327</definedName>
    <definedName name="input_wld_az2_host_overlay_uplink_profile_name">'Configure Workload Domain'!$D$322</definedName>
    <definedName name="input_wld_az2_host_overlay_vlan">'Configure Workload Domain'!$D$323</definedName>
    <definedName name="input_wld_az2_host1_fqdn">'Configure Workload Domain'!$D$232</definedName>
    <definedName name="input_wld_az2_host1_mgmt_ip">'Configure Workload Domain'!$D$174</definedName>
    <definedName name="input_wld_az2_host1_sddc_id">'Configure Workload Domain'!$D$303</definedName>
    <definedName name="input_wld_az2_host1_vrms_ip">'Dumping Ground'!$D$310</definedName>
    <definedName name="input_wld_az2_host10_fqdn">'Configure Workload Domain'!$D$241</definedName>
    <definedName name="input_wld_az2_host10_mgmt_ip">'Configure Workload Domain'!$D$183</definedName>
    <definedName name="input_wld_az2_host10_vrms_ip">'Dumping Ground'!$D$319</definedName>
    <definedName name="input_wld_az2_host11_fqdn">'Configure Workload Domain'!$D$242</definedName>
    <definedName name="input_wld_az2_host11_mgmt_ip">'Configure Workload Domain'!$D$184</definedName>
    <definedName name="input_wld_az2_host11_vrms_ip">'Dumping Ground'!$D$320</definedName>
    <definedName name="input_wld_az2_host12_fqdn">'Configure Workload Domain'!$D$243</definedName>
    <definedName name="input_wld_az2_host12_mgmt_ip">'Configure Workload Domain'!$D$185</definedName>
    <definedName name="input_wld_az2_host12_vrms_ip">'Dumping Ground'!$D$321</definedName>
    <definedName name="input_wld_az2_host13_fqdn">'Configure Workload Domain'!$D$244</definedName>
    <definedName name="input_wld_az2_host13_mgmt_ip">'Configure Workload Domain'!$D$186</definedName>
    <definedName name="input_wld_az2_host13_vrms_ip">'Dumping Ground'!$D$322</definedName>
    <definedName name="input_wld_az2_host14_fqdn">'Configure Workload Domain'!$D$245</definedName>
    <definedName name="input_wld_az2_host14_mgmt_ip">'Configure Workload Domain'!$D$187</definedName>
    <definedName name="input_wld_az2_host14_vrms_ip">'Dumping Ground'!$D$323</definedName>
    <definedName name="input_wld_az2_host15_fqdn">'Configure Workload Domain'!$D$246</definedName>
    <definedName name="input_wld_az2_host15_mgmt_ip">'Configure Workload Domain'!$D$188</definedName>
    <definedName name="input_wld_az2_host15_vrms_ip">'Dumping Ground'!$D$324</definedName>
    <definedName name="input_wld_az2_host16_fqdn">'Configure Workload Domain'!$D$247</definedName>
    <definedName name="input_wld_az2_host16_mgmt_ip">'Configure Workload Domain'!$D$189</definedName>
    <definedName name="input_wld_az2_host16_vrms_ip">'Dumping Ground'!$D$325</definedName>
    <definedName name="input_wld_az2_host2_fqdn">'Configure Workload Domain'!$D$233</definedName>
    <definedName name="input_wld_az2_host2_mgmt_ip">'Configure Workload Domain'!$D$175</definedName>
    <definedName name="input_wld_az2_host2_sddc_id">'Configure Workload Domain'!$D$304</definedName>
    <definedName name="input_wld_az2_host2_vrms_ip">'Dumping Ground'!$D$311</definedName>
    <definedName name="input_wld_az2_host3_fqdn">'Configure Workload Domain'!$D$234</definedName>
    <definedName name="input_wld_az2_host3_mgmt_ip">'Configure Workload Domain'!$D$176</definedName>
    <definedName name="input_wld_az2_host3_sddc_id">'Configure Workload Domain'!$D$305</definedName>
    <definedName name="input_wld_az2_host3_vrms_ip">'Dumping Ground'!$D$312</definedName>
    <definedName name="input_wld_az2_host4_fqdn">'Configure Workload Domain'!$D$235</definedName>
    <definedName name="input_wld_az2_host4_mgmt_ip">'Configure Workload Domain'!$D$177</definedName>
    <definedName name="input_wld_az2_host4_sddc_id">'Configure Workload Domain'!$D$306</definedName>
    <definedName name="input_wld_az2_host4_vrms_ip">'Dumping Ground'!$D$313</definedName>
    <definedName name="input_wld_az2_host5_fqdn">'Configure Workload Domain'!$D$236</definedName>
    <definedName name="input_wld_az2_host5_mgmt_ip">'Configure Workload Domain'!$D$178</definedName>
    <definedName name="input_wld_az2_host5_vrms_ip">'Dumping Ground'!$D$314</definedName>
    <definedName name="input_wld_az2_host6_fqdn">'Configure Workload Domain'!$D$237</definedName>
    <definedName name="input_wld_az2_host6_mgmt_ip">'Configure Workload Domain'!$D$179</definedName>
    <definedName name="input_wld_az2_host6_vrms_ip">'Dumping Ground'!$D$315</definedName>
    <definedName name="input_wld_az2_host7_fqdn">'Configure Workload Domain'!$D$238</definedName>
    <definedName name="input_wld_az2_host7_mgmt_ip">'Configure Workload Domain'!$D$180</definedName>
    <definedName name="input_wld_az2_host7_vrms_ip">'Dumping Ground'!$D$316</definedName>
    <definedName name="input_wld_az2_host8_fqdn">'Configure Workload Domain'!$D$239</definedName>
    <definedName name="input_wld_az2_host8_mgmt_ip">'Configure Workload Domain'!$D$181</definedName>
    <definedName name="input_wld_az2_host8_vrms_ip">'Dumping Ground'!$D$317</definedName>
    <definedName name="input_wld_az2_host9_fqdn">'Configure Workload Domain'!$D$240</definedName>
    <definedName name="input_wld_az2_host9_mgmt_ip">'Configure Workload Domain'!$D$182</definedName>
    <definedName name="input_wld_az2_host9_vrms_ip">'Dumping Ground'!$D$318</definedName>
    <definedName name="input_wld_az2_mgmt_cidr">'Configure Workload Domain'!$D$171</definedName>
    <definedName name="input_wld_az2_mgmt_gateway_ip">'Configure Workload Domain'!$D$170</definedName>
    <definedName name="input_wld_az2_mgmt_mtu">'Configure Workload Domain'!$D$172</definedName>
    <definedName name="input_wld_az2_mgmt_vlan">'Configure Workload Domain'!$D$169</definedName>
    <definedName name="input_wld_az2_pool_name">'Configure Workload Domain'!$D$195</definedName>
    <definedName name="input_wld_az2_principal_storage_gateway_ip">'Configure Workload Domain'!$D$209</definedName>
    <definedName name="input_wld_az2_principal_storage_mask">'Configure Workload Domain'!$D$208</definedName>
    <definedName name="input_wld_az2_principal_storage_mtu">'Configure Workload Domain'!$D$206</definedName>
    <definedName name="input_wld_az2_principal_storage_network">'Configure Workload Domain'!$D$207</definedName>
    <definedName name="input_wld_az2_principal_storage_pool_end_ip">'Configure Workload Domain'!$D$211</definedName>
    <definedName name="input_wld_az2_principal_storage_pool_start_ip">'Configure Workload Domain'!$D$210</definedName>
    <definedName name="input_wld_az2_principal_storage_vlan">'Configure Workload Domain'!$D$205</definedName>
    <definedName name="input_wld_az2_secondary_storage_gateway_ip">'Configure Workload Domain'!$D$217</definedName>
    <definedName name="input_wld_az2_secondary_storage_mask">'Configure Workload Domain'!$D$216</definedName>
    <definedName name="input_wld_az2_secondary_storage_mtu">'Configure Workload Domain'!$D$214</definedName>
    <definedName name="input_wld_az2_secondary_storage_network">'Configure Workload Domain'!$D$215</definedName>
    <definedName name="input_wld_az2_secondary_storage_pool_end_ip">'Configure Workload Domain'!$D$219</definedName>
    <definedName name="input_wld_az2_secondary_storage_pool_start_ip">'Configure Workload Domain'!$D$218</definedName>
    <definedName name="input_wld_az2_secondary_storage_vlan">'Configure Workload Domain'!$D$213</definedName>
    <definedName name="input_wld_az2_storage_cluster_gateway_ip">'Configure Workload Domain'!$D$225</definedName>
    <definedName name="input_wld_az2_storage_cluster_mask">'Configure Workload Domain'!$D$224</definedName>
    <definedName name="input_wld_az2_storage_cluster_mtu">'Configure Workload Domain'!$D$222</definedName>
    <definedName name="input_wld_az2_storage_cluster_network">'Configure Workload Domain'!$D$223</definedName>
    <definedName name="input_wld_az2_storage_cluster_pool_end_ip">'Configure Workload Domain'!$D$227</definedName>
    <definedName name="input_wld_az2_storage_cluster_pool_start_ip">'Configure Workload Domain'!$D$226</definedName>
    <definedName name="input_wld_az2_storage_cluster_vlan">'Configure Workload Domain'!$D$221</definedName>
    <definedName name="input_wld_az2_tor1_peer_asn">'Configure Workload Domain'!$D$346</definedName>
    <definedName name="input_wld_az2_tor1_peer_bgp_password">'Configure Workload Domain'!$D$349</definedName>
    <definedName name="input_wld_az2_tor1_peer_ip">'Configure Workload Domain'!$D$345</definedName>
    <definedName name="input_wld_az2_tor2_peer_asn">'Configure Workload Domain'!$D$351</definedName>
    <definedName name="input_wld_az2_tor2_peer_bgp_password">'Configure Workload Domain'!$D$354</definedName>
    <definedName name="input_wld_az2_tor2_peer_ip">'Configure Workload Domain'!$D$350</definedName>
    <definedName name="input_wld_az2_vmotion_gateway_ip">'Configure Workload Domain'!$D$201</definedName>
    <definedName name="input_wld_az2_vmotion_mask">'Configure Workload Domain'!$D$200</definedName>
    <definedName name="input_wld_az2_vmotion_mtu">'Configure Workload Domain'!$D$198</definedName>
    <definedName name="input_wld_az2_vmotion_network">'Configure Workload Domain'!$D$199</definedName>
    <definedName name="input_wld_az2_vmotion_pool_end_ip">'Configure Workload Domain'!$D$203</definedName>
    <definedName name="input_wld_az2_vmotion_pool_start_ip">'Configure Workload Domain'!$D$202</definedName>
    <definedName name="input_wld_az2_vmotion_vlan">'Configure Workload Domain'!$D$197</definedName>
    <definedName name="input_wld_bf_nsxt_admin_password">'Deploy Workload Domain'!$D$48</definedName>
    <definedName name="input_wld_bf_nsxt_audit_password">'Deploy Workload Domain'!$D$50</definedName>
    <definedName name="input_wld_bf_nsxt_mgra_fqdn">'Deploy Workload Domain'!$D$41</definedName>
    <definedName name="input_wld_bf_nsxt_mgrb_fqdn">'Deploy Workload Domain'!$D$42</definedName>
    <definedName name="input_wld_bf_nsxt_mgrc_fqdn">'Deploy Workload Domain'!$D$43</definedName>
    <definedName name="input_wld_bf_nsxt_root_password">'Deploy Workload Domain'!$D$49</definedName>
    <definedName name="input_wld_bf_nsxt_vip_fqdn">'Deploy Workload Domain'!$D$44</definedName>
    <definedName name="input_wld_bf_sddc_domain">'Deploy Workload Domain'!$D$23</definedName>
    <definedName name="input_wld_bf_vc_fqdn">'Deploy Workload Domain'!$D$29</definedName>
    <definedName name="input_wld_bf_vc_root_password">'Deploy Workload Domain'!$D$30</definedName>
    <definedName name="input_wld_bf_vc_sso_password">'Deploy Workload Domain'!$D$32</definedName>
    <definedName name="input_wld_bf_vc_sso_username">'Deploy Workload Domain'!$D$31</definedName>
    <definedName name="input_wld_cl01_az1_mgmt_pg">'Deploy Workload Domain'!$D$272</definedName>
    <definedName name="input_wld_cl01_az1_mgmt_vm_pg">'Deploy Workload Domain'!$D$277</definedName>
    <definedName name="input_wld_cl01_az1_nsx_uplink_count">'Deploy Workload Domain'!$D$315</definedName>
    <definedName name="input_wld_cl01_az1_principal_storage_pg">'Deploy Workload Domain'!$D$287</definedName>
    <definedName name="input_wld_cl01_az1_uplink01_pg">'Configure Workload Domain'!$D$136</definedName>
    <definedName name="input_wld_cl01_az1_uplink02_pg">'Configure Workload Domain'!$D$140</definedName>
    <definedName name="input_wld_cl01_az1_vmotion_pg">'Deploy Workload Domain'!$D$282</definedName>
    <definedName name="input_wld_cl01_az1_vsan_storage_client_pg">'Deploy Workload Domain'!$D$292</definedName>
    <definedName name="input_wld_cl01_cluster">'Deploy Workload Domain'!$D$163</definedName>
    <definedName name="input_wld_cl01_cluster_sddc_id">'Configure Workload Domain'!$D$332</definedName>
    <definedName name="input_wld_cl01_cluster_zn_name">'Deploy Workload Domain'!$D$164</definedName>
    <definedName name="input_wld_cl01_evc_mode">'Dumping Ground'!$S$7</definedName>
    <definedName name="input_wld_cl01_image_name">'Deploy Workload Domain'!$D$168</definedName>
    <definedName name="input_wld_cl01_nfs_datastore_name">'Deploy Workload Domain'!$D$206</definedName>
    <definedName name="input_wld_cl01_nfs_server_address">'Deploy Workload Domain'!$D$208</definedName>
    <definedName name="input_wld_cl01_nfs_share_path">'Deploy Workload Domain'!$D$207</definedName>
    <definedName name="input_wld_cl01_supervisor_control_plane_ip_range">'Deploy Workload Domain'!$D$329</definedName>
    <definedName name="input_wld_cl01_supervisor_dns">'Deploy Workload Domain'!$D$335</definedName>
    <definedName name="input_wld_cl01_supervisor_name">'Deploy Workload Domain'!$D$326</definedName>
    <definedName name="input_wld_cl01_supervisor_nsx_project">'Deploy Workload Domain'!$D$331</definedName>
    <definedName name="input_wld_cl01_supervisor_ntp">'Deploy Workload Domain'!$D$336</definedName>
    <definedName name="input_wld_cl01_supervisor_private_cidr">'Deploy Workload Domain'!$D$334</definedName>
    <definedName name="input_wld_cl01_supervisor_private_transit_gateway_cidr">'Deploy Workload Domain'!$D$333</definedName>
    <definedName name="input_wld_cl01_supervisor_service_cidr">'Deploy Workload Domain'!$D$327</definedName>
    <definedName name="input_wld_cl01_supervisor_vpc_profile">'Deploy Workload Domain'!$D$332</definedName>
    <definedName name="input_wld_cl01_vds01_lag_name">'Deploy Workload Domain'!$D$242</definedName>
    <definedName name="input_wld_cl01_vds01_mtu">'Deploy Workload Domain'!$D$240</definedName>
    <definedName name="input_wld_cl01_vds01_name">'Deploy Workload Domain'!$D$239</definedName>
    <definedName name="input_wld_cl01_vds01_pnics">'Deploy Workload Domain'!$D$247</definedName>
    <definedName name="input_wld_cl01_vds01_uplink_count">'Deploy Workload Domain'!$D$246</definedName>
    <definedName name="input_wld_cl01_vds02_lag_name">'Deploy Workload Domain'!$D$253</definedName>
    <definedName name="input_wld_cl01_vds02_mtu">'Deploy Workload Domain'!$D$251</definedName>
    <definedName name="input_wld_cl01_vds02_name">'Deploy Workload Domain'!$D$250</definedName>
    <definedName name="input_wld_cl01_vds02_pnics">'Deploy Workload Domain'!$D$258</definedName>
    <definedName name="input_wld_cl01_vds02_uplink_count">'Deploy Workload Domain'!$D$257</definedName>
    <definedName name="input_wld_cl01_vds03_lag_name">'Deploy Workload Domain'!$D$264</definedName>
    <definedName name="input_wld_cl01_vds03_mtu">'Deploy Workload Domain'!$D$262</definedName>
    <definedName name="input_wld_cl01_vds03_name">'Deploy Workload Domain'!$D$261</definedName>
    <definedName name="input_wld_cl01_vds03_pnics">'Deploy Workload Domain'!$D$269</definedName>
    <definedName name="input_wld_cl01_vds03_uplink_count">'Deploy Workload Domain'!$D$268</definedName>
    <definedName name="input_wld_cl01_vmfs_datastore_name">'Deploy Workload Domain'!$D$205</definedName>
    <definedName name="input_wld_cl01_vsan_datastore">'Deploy Workload Domain'!$D$201</definedName>
    <definedName name="input_wld_datacenter">'Configure Workload Domain'!$D$286</definedName>
    <definedName name="input_wld_ec_mtu">'Configure Workload Domain'!$D$39</definedName>
    <definedName name="input_wld_ec_name">'Configure Workload Domain'!$D$38</definedName>
    <definedName name="input_wld_ec_rp_name">'Configure Workload Domain'!$D$44</definedName>
    <definedName name="input_wld_ec01_en01_host_group_affinity_rule_name">'Configure Workload Domain'!$D$46</definedName>
    <definedName name="input_wld_ec01_en02_host_group_affinity_rule_name">'Configure Workload Domain'!$D$72</definedName>
    <definedName name="input_wld_en_asn">'Configure Workload Domain'!$D$99</definedName>
    <definedName name="input_wld_esx_root_password">'Deploy Workload Domain'!$D$141</definedName>
    <definedName name="input_wld_esx_root_username">'Deploy Workload Domain'!$D$140</definedName>
    <definedName name="input_wld_existing_active_nsx_gm">'Configure Workload Domain'!$D$512</definedName>
    <definedName name="input_wld_existing_cross_instance_t0_name">'Configure Workload Domain'!$D$513</definedName>
    <definedName name="input_wld_host_overlay_transportzone">'Deploy Workload Domain'!$D$302</definedName>
    <definedName name="input_wld_nsx_vlan_transport_zone_name">'Deploy Workload Domain'!$D$312</definedName>
    <definedName name="input_wld_nsxt_en_admin_password">'Configure Workload Domain'!$D$93</definedName>
    <definedName name="input_wld_nsxt_en_root_password">'Configure Workload Domain'!$D$92</definedName>
    <definedName name="input_wld_nsxt_federation_global_manager_name">'Configure Workload Domain'!$D$475</definedName>
    <definedName name="input_wld_nsxt_federation_location_name">'Configure Workload Domain'!$D$493</definedName>
    <definedName name="input_wld_nsxt_global_mgr_anti_affinity_rule_name">'Configure Workload Domain'!$D$434</definedName>
    <definedName name="input_wld_nsxt_global_mgr_certificate_id">'Configure Workload Domain'!$D$452</definedName>
    <definedName name="input_wld_nsxt_global_mgr_cluster_id">'Configure Workload Domain'!$D$416</definedName>
    <definedName name="input_wld_nsxt_global_mgr_vmca_signed_thumbprint">'Configure Workload Domain'!$D$417</definedName>
    <definedName name="input_wld_nsxt_global_mgra_fqdn">'Configure Workload Domain'!$D$370</definedName>
    <definedName name="input_wld_nsxt_global_mgra_hostname">'Configure Workload Domain'!$D$361</definedName>
    <definedName name="input_wld_nsxt_global_mgra_ip">'Configure Workload Domain'!$D$371</definedName>
    <definedName name="input_wld_nsxt_global_mgrb_fqdn">'Configure Workload Domain'!$D$387</definedName>
    <definedName name="input_wld_nsxt_global_mgrb_hostname">'Configure Workload Domain'!$D$378</definedName>
    <definedName name="input_wld_nsxt_global_mgrb_ip">'Configure Workload Domain'!$D$388</definedName>
    <definedName name="input_wld_nsxt_global_mgrc_fqdn">'Configure Workload Domain'!$D$404</definedName>
    <definedName name="input_wld_nsxt_global_mgrc_hostname">'Configure Workload Domain'!$D$395</definedName>
    <definedName name="input_wld_nsxt_global_mgrc_ip">'Configure Workload Domain'!$D$405</definedName>
    <definedName name="input_wld_nsxt_gm_admin_password">'Configure Workload Domain'!$D$368</definedName>
    <definedName name="input_wld_nsxt_gm_audit_password">'Configure Workload Domain'!$D$369</definedName>
    <definedName name="input_wld_nsxt_gm_fingerprint">'Configure Workload Domain'!$D$480</definedName>
    <definedName name="input_wld_nsxt_gm_root_password">'Configure Workload Domain'!$D$367</definedName>
    <definedName name="input_wld_nsxt_gm_vip_fqdn">'Configure Workload Domain'!$D$443</definedName>
    <definedName name="input_wld_nsxt_gm_vip_ip">'Configure Workload Domain'!$D$442</definedName>
    <definedName name="input_wld_nsxt_lm_admin_password">'Deploy Workload Domain'!$D$183</definedName>
    <definedName name="input_wld_nsxt_lm_audit_password">'Deploy Workload Domain'!$D$184</definedName>
    <definedName name="input_wld_nsxt_lm_fingerprint">'Configure Workload Domain'!$D$491</definedName>
    <definedName name="input_wld_nsxt_mgra_fqdn">'Deploy Workload Domain'!$D$175</definedName>
    <definedName name="input_wld_nsxt_mgra_ip">'Deploy Workload Domain'!$D$176</definedName>
    <definedName name="input_wld_nsxt_mgrb_fqdn">'Deploy Workload Domain'!$D$177</definedName>
    <definedName name="input_wld_nsxt_mgrb_ip">'Deploy Workload Domain'!$D$178</definedName>
    <definedName name="input_wld_nsxt_mgrc_fqdn">'Deploy Workload Domain'!$D$179</definedName>
    <definedName name="input_wld_nsxt_mgrc_ip">'Deploy Workload Domain'!$D$180</definedName>
    <definedName name="input_wld_nsxt_vip_fqdn">'Deploy Workload Domain'!$D$181</definedName>
    <definedName name="input_wld_nsxt_vip_ip">'Deploy Workload Domain'!$D$182</definedName>
    <definedName name="input_wld_nsxt_xreg_t1_name">'Configure Workload Domain'!$D$505</definedName>
    <definedName name="input_wld_rack2_en_asn">Arkham!$C$73</definedName>
    <definedName name="input_wld_rack3_en_asn">Arkham!$F$73</definedName>
    <definedName name="input_wld_rack4_en_asn">Arkham!$I$73</definedName>
    <definedName name="input_wld_rack5_en_asn">Arkham!$L$73</definedName>
    <definedName name="input_wld_rack6_en_asn">Arkham!$O$73</definedName>
    <definedName name="input_wld_rack7_en_asn">Arkham!$R$73</definedName>
    <definedName name="input_wld_rack8_en_asn">Arkham!$U$73</definedName>
    <definedName name="input_wld_rtep_overlay_pool_end_ip">'Configure Workload Domain'!$D$468</definedName>
    <definedName name="input_wld_rtep_overlay_pool_start_ip">'Configure Workload Domain'!$D$467</definedName>
    <definedName name="input_wld_rwr_az1_vrms_gateway_ip">'On-Premises Ransomware Recovery'!$D$99</definedName>
    <definedName name="input_wld_rwr_az1_vrms_gateway_mask">'On-Premises Ransomware Recovery'!$D$82</definedName>
    <definedName name="input_wld_rwr_cl02_cluster">'On-Premises Ransomware Recovery'!$D$78</definedName>
    <definedName name="input_wld_rwr_cl02_vds01">'On-Premises Ransomware Recovery'!$D$70</definedName>
    <definedName name="input_wld_rwr_recovery_site_az1_vrms_cidr">'On-Premises Ransomware Recovery'!$D$100</definedName>
    <definedName name="input_wld_rwr_recovery_site_vc_fqdn">'On-Premises Ransomware Recovery'!$D$153</definedName>
    <definedName name="input_wld_rwr_recoverysite_fd">'On-Premises Ransomware Recovery'!$D$144</definedName>
    <definedName name="input_wld_rwr_vc_fqdn">'On-Premises Ransomware Recovery'!$D$42</definedName>
    <definedName name="input_wld_rwr_vcfops_vlsr_username">'On-Premises Ransomware Recovery'!$D$203</definedName>
    <definedName name="input_wld_rwr_vcfops_vr_username">'On-Premises Ransomware Recovery'!$D$205</definedName>
    <definedName name="input_wld_sddc_domain">'Deploy Workload Domain'!$D$148</definedName>
    <definedName name="input_wld_srm_admin_email">'Dumping Ground'!$D$82</definedName>
    <definedName name="input_wld_srm_admin_password">'Dumping Ground'!$D$79</definedName>
    <definedName name="input_wld_srm_database_password">'Dumping Ground'!$D$80</definedName>
    <definedName name="input_wld_srm_hostname">'Dumping Ground'!$E$12</definedName>
    <definedName name="input_wld_srm_ip">'Dumping Ground'!$G$12</definedName>
    <definedName name="input_wld_srm_p12_password">'Dumping Ground'!$D$83</definedName>
    <definedName name="input_wld_srm_recovery_vcenter_fqdn">'Dumping Ground'!$D$85</definedName>
    <definedName name="input_wld_srm_recovery_vcenter_password">'Dumping Ground'!$D$87</definedName>
    <definedName name="input_wld_srm_recovery_vcenter_username">'Dumping Ground'!$D$86</definedName>
    <definedName name="input_wld_srm_root_password">'Dumping Ground'!$D$78</definedName>
    <definedName name="input_wld_srm_site_name">'Dumping Ground'!$D$81</definedName>
    <definedName name="input_wld_srm_sso_domain_membership">'Dumping Ground'!$D$89</definedName>
    <definedName name="input_wld_srm_vm_folder">'Dumping Ground'!$D$77</definedName>
    <definedName name="input_wld_sso_domain_name">'Deploy Workload Domain'!$D$150</definedName>
    <definedName name="input_wld_tier0_name">'Configure Workload Domain'!$D$96</definedName>
    <definedName name="input_wld_vc_fqdn">'Deploy Workload Domain'!$D$157</definedName>
    <definedName name="input_wld_vc_ip">'Deploy Workload Domain'!$D$373</definedName>
    <definedName name="input_wld_vcenter_root_password">'Deploy Workload Domain'!$D$158</definedName>
    <definedName name="input_wld_vlr_hostname">'On-Premises Ransomware Recovery'!$D$11</definedName>
    <definedName name="input_wld_vlr_replication_user">'On-Premises Ransomware Recovery'!$D$44</definedName>
    <definedName name="input_wld_vnaa_fqdn">Arkham!$Q$45</definedName>
    <definedName name="input_wld_vnaa_ip">Arkham!$Q$43</definedName>
    <definedName name="input_wld_vnab_fqdn">Arkham!$Q$46</definedName>
    <definedName name="input_wld_vnab_ip">Arkham!$Q$44</definedName>
    <definedName name="input_wld_vpc_ext_ip_blocks">'Configure Workload Domain'!$D$131</definedName>
    <definedName name="input_wld_vpc_transit_gateway_ip_blocks">'Configure Workload Domain'!$D$132</definedName>
    <definedName name="input_wld_vrms_admin_email">'Dumping Ground'!$D$73</definedName>
    <definedName name="input_wld_vrms_admin_password">'Dumping Ground'!$D$71</definedName>
    <definedName name="input_wld_vrms_hostname">'Dumping Ground'!$E$10</definedName>
    <definedName name="input_wld_vrms_mgmt_ip">'Dumping Ground'!$G$10</definedName>
    <definedName name="input_wld_vrms_p12_password">'Dumping Ground'!$D$75</definedName>
    <definedName name="input_wld_vrms_pg">'Dumping Ground'!$D$74</definedName>
    <definedName name="input_wld_vrms_recovery_replication_cidr">'Dumping Ground'!$D$88</definedName>
    <definedName name="input_wld_vrms_root_password">'Dumping Ground'!$D$70</definedName>
    <definedName name="input_wld_vrms_site_name">'Dumping Ground'!$D$72</definedName>
    <definedName name="input_wld_vrms_vm_folder">'Dumping Ground'!$D$69</definedName>
    <definedName name="input_wld_vrms_vrms_ip">'Dumping Ground'!$G$11</definedName>
    <definedName name="input_wld_witness_cluster">'Configure Workload Domain'!$D$268</definedName>
    <definedName name="input_wld_witness_dns1_ip">'Configure Workload Domain'!$D$279</definedName>
    <definedName name="input_wld_witness_dns2_ip">'Configure Workload Domain'!$D$280</definedName>
    <definedName name="input_wld_witness_fqdn">'Configure Workload Domain'!$D$287</definedName>
    <definedName name="input_wld_witness_hostname">'Configure Workload Domain'!$D$267</definedName>
    <definedName name="input_wld_witness_ip">'Configure Workload Domain'!$D$274</definedName>
    <definedName name="input_wld_witness_mgmt_pg">'Configure Workload Domain'!$D$271</definedName>
    <definedName name="input_wld_witness_ntp1_server">'Configure Workload Domain'!$D$281</definedName>
    <definedName name="input_wld_witness_ntp2_server">'Configure Workload Domain'!$D$282</definedName>
    <definedName name="input_wld_witness_root_password">'Configure Workload Domain'!$D$273</definedName>
    <definedName name="input_wld_witness_vm_folder">'Configure Workload Domain'!$D$269</definedName>
    <definedName name="input_wld_witness_vsan_datastore">'Configure Workload Domain'!$D$270</definedName>
    <definedName name="input_wld_witness_zone_vc_fqdn">'Configure Workload Domain'!$D$265</definedName>
    <definedName name="input_wld_witness_zone_vc_ip">'Configure Workload Domain'!$D$266</definedName>
    <definedName name="input_wld_witnessaz_mgmt_cidr">'Configure Workload Domain'!$D$259</definedName>
    <definedName name="input_wld_witnessaz_mgmt_gateway_ip">'Configure Workload Domain'!$D$258</definedName>
    <definedName name="input_wld_witnessaz_mgmt_mtu">'Configure Workload Domain'!$D$260</definedName>
    <definedName name="input_wld_witnessaz_mgmt_vlan">'Configure Workload Domain'!$D$257</definedName>
    <definedName name="input_xreg_vra_admin_password">'Deploy Management Domain'!$L$79</definedName>
    <definedName name="input_xreg_vra_node_pool_end_ip">Arkham!$Q$38</definedName>
    <definedName name="input_xreg_vra_node_pool_start_ip">Arkham!$Q$37</definedName>
    <definedName name="input_xreg_vra_nodea_ip">'Deploy Management Domain'!$L$80</definedName>
    <definedName name="input_xreg_vra_nodeb_ip">'Deploy Management Domain'!$L$81</definedName>
    <definedName name="input_xreg_vra_nodec_ip">'Deploy Management Domain'!$L$82</definedName>
    <definedName name="input_xreg_vra_noded_ip">'Deploy Management Domain'!$L$83</definedName>
    <definedName name="input_xreg_vra_nodee_ip">Arkham!$Q$8</definedName>
    <definedName name="input_xreg_vra_nodef_ip">Arkham!$Q$9</definedName>
    <definedName name="input_xreg_vra_prefix">'Deploy Management Domain'!$L$84</definedName>
    <definedName name="input_xreg_vra_virtual_fqdn">'Deploy Management Domain'!$L$78</definedName>
    <definedName name="input_xreg_vra_virtual_ip">'Deploy Management Domain'!$L$315</definedName>
    <definedName name="input_xreg_vrops_admin_password">'Deploy Management Domain'!$L$60</definedName>
    <definedName name="input_xreg_vrops_collector_fqdn">'Deploy Management Domain'!$L$70</definedName>
    <definedName name="input_xreg_vrops_collector_ip">'Deploy Management Domain'!$L$311</definedName>
    <definedName name="input_xreg_vrops_collector_root_password">'Deploy Management Domain'!$L$72</definedName>
    <definedName name="input_xreg_vrops_nodea_fqdn">'Deploy Management Domain'!$L$57</definedName>
    <definedName name="input_xreg_vrops_nodea_ip">'Deploy Management Domain'!$L$308</definedName>
    <definedName name="input_xreg_vrops_nodeb_fqdn">'Deploy Management Domain'!$L$58</definedName>
    <definedName name="input_xreg_vrops_nodeb_ip">'Deploy Management Domain'!$L$309</definedName>
    <definedName name="input_xreg_vrops_nodec_fqdn">'Deploy Management Domain'!$L$59</definedName>
    <definedName name="input_xreg_vrops_nodec_ip">'Deploy Management Domain'!$L$310</definedName>
    <definedName name="input_xreg_vrops_root_password">'Deploy Management Domain'!$L$61</definedName>
    <definedName name="input_xreg_vrops_srm_sso_password">'Site Protection &amp; DR'!$D$481</definedName>
    <definedName name="input_xreg_vrops_srm_sso_username">'Site Protection &amp; DR'!$D$480</definedName>
    <definedName name="input_xreg_vrops_virtual_fqdn">'Deploy Management Domain'!$L$63</definedName>
    <definedName name="input_xreg_vrops_virtual_ip">'Deploy Management Domain'!$L$313</definedName>
    <definedName name="input_xreg_vrops_vrms_sso_password">'Site Protection &amp; DR'!$D$479</definedName>
    <definedName name="input_xreg_vrops_vrms_sso_username">'Site Protection &amp; DR'!$D$478</definedName>
    <definedName name="input_xreg_vrslcm_fqdn">'Deploy Management Domain'!$L$65</definedName>
    <definedName name="input_xreg_vrslcm_ip">'Deploy Management Domain'!$L$306</definedName>
    <definedName name="input_xregion_dns1_ip">Arkham!$C$13</definedName>
    <definedName name="input_xregion_dns2_ip">Arkham!$C$14</definedName>
    <definedName name="input_xregion_ntp1_server">Arkham!$C$18</definedName>
    <definedName name="input_xregion_ntp2_server">Arkham!$C$19</definedName>
    <definedName name="k8s_api_endpoint_fqdn">'Value Reference Tables'!$U$36</definedName>
    <definedName name="k8s_cluster_endpoint_fqdn">'Value Reference Tables'!$U$33</definedName>
    <definedName name="k8s_harbor_fqdn">'Value Reference Tables'!$R$34</definedName>
    <definedName name="k8s_harbor_hostname">'Value Reference Tables'!$R$31</definedName>
    <definedName name="k8s_harbor_ip">'Value Reference Tables'!$R$28</definedName>
    <definedName name="k8s_ip_prefixlist">'Value Reference Tables'!$U$19</definedName>
    <definedName name="k8s_ip_routemap">'Value Reference Tables'!$U$20</definedName>
    <definedName name="k8s_kubectl_path">'Value Reference Tables'!$U$34</definedName>
    <definedName name="k8s_mgmt_pool_start_ip">'Value Reference Tables'!$U$31</definedName>
    <definedName name="k8s_mgmt_seg">'Value Reference Tables'!$U$18</definedName>
    <definedName name="k8s_namepsace">'Value Reference Tables'!$O$89</definedName>
    <definedName name="k8s_segment_gateway_ip">'Value Reference Tables'!$U$32</definedName>
    <definedName name="k8s_segment_gateway_ip_cidr">'Value Reference Tables'!$U$35</definedName>
    <definedName name="k8s_segment_mask">'Value Reference Tables'!$AA$48</definedName>
    <definedName name="k8s_segment_pg">'Value Reference Tables'!$X$28</definedName>
    <definedName name="k8s_tanzu_k8s_cluster_pod_pool_cidr">'Value Reference Tables'!$R$24</definedName>
    <definedName name="k8s_tanzu_k8s_cluster_service_pool_cidr">'Value Reference Tables'!$R$25</definedName>
    <definedName name="k8s_vcenter_category">'Value Reference Tables'!$U$24</definedName>
    <definedName name="k8s_vcenter_content_library">'Value Reference Tables'!$U$27</definedName>
    <definedName name="k8s_vcenter_storage_policy">'Value Reference Tables'!$U$26</definedName>
    <definedName name="k8s_vcenter_tag">'Value Reference Tables'!$U$25</definedName>
    <definedName name="k8s_vm_class">'Value Reference Tables'!$U$38</definedName>
    <definedName name="lag_load_balancing">'Static Reference Tables'!$B$388:$B$407</definedName>
    <definedName name="local_admin_password">'Value Reference Tables'!$AA$21</definedName>
    <definedName name="local_admin_password_alias">'Value Reference Tables'!$AA$20</definedName>
    <definedName name="local_admin_username">'Value Reference Tables'!$AA$22</definedName>
    <definedName name="local_configadmin_password">'Value Reference Tables'!$AA$24</definedName>
    <definedName name="local_configadmin_password_alias">'Value Reference Tables'!$AA$23</definedName>
    <definedName name="local_configadmin_username">'Value Reference Tables'!$AA$25</definedName>
    <definedName name="local_vcf_aware_wsa_root_password">'Value Reference Tables'!$AA$27</definedName>
    <definedName name="local_vcf_aware_wsa_root_password_alias">'Value Reference Tables'!$AA$26</definedName>
    <definedName name="local_vcf_aware_wsa_root_password_username">'Value Reference Tables'!$AA$28</definedName>
    <definedName name="mgmt_avi_loadbalancer_chosen">'Configure Management Domain'!$B$14</definedName>
    <definedName name="mgmt_avi_loadbalancer_result">'Configure Management Domain'!$D$14</definedName>
    <definedName name="mgmt_avilb_cluster_name">'Value Reference Tables'!$O$30</definedName>
    <definedName name="mgmt_avilb_cluster_version">'Value Reference Tables'!$O$31</definedName>
    <definedName name="mgmt_avilb_fqdn">'Value Reference Tables'!$C$66</definedName>
    <definedName name="mgmt_avilb_hostname">'Value Reference Tables'!$C$48</definedName>
    <definedName name="mgmt_avilb_ip">'Value Reference Tables'!$C$25</definedName>
    <definedName name="mgmt_avilb_mgra_ip">'Value Reference Tables'!$C$26</definedName>
    <definedName name="mgmt_avilb_mgrb_ip">'Value Reference Tables'!$C$27</definedName>
    <definedName name="mgmt_avilb_mgrc_ip">'Value Reference Tables'!$C$28</definedName>
    <definedName name="mgmt_az1_ec01_password_creation_chosen">'Configure Management Domain'!$D$148</definedName>
    <definedName name="mgmt_az1_edge_overlay_cidr">'Value Reference Tables - MR'!$F$32</definedName>
    <definedName name="mgmt_az1_edge_overlay_gateway_ip">'Value Reference Tables - MR'!$F$94</definedName>
    <definedName name="mgmt_az1_edge_overlay_mask">'Value Reference Tables - MR'!$F$62</definedName>
    <definedName name="mgmt_az1_edge_overlay_mtu">'Value Reference Tables - MR'!$F$78</definedName>
    <definedName name="mgmt_az1_edge_overlay_network">'Value Reference Tables - MR'!$F$47</definedName>
    <definedName name="mgmt_az1_edge_overlay_network_pool_name">'Value Reference Tables - MR'!$F$172</definedName>
    <definedName name="mgmt_az1_edge_overlay_pg">'Value Reference Tables - MR'!$F$118</definedName>
    <definedName name="mgmt_az1_edge_overlay_pool_end_ip">'Value Reference Tables - MR'!$F$160</definedName>
    <definedName name="mgmt_az1_edge_overlay_pool_start_ip">'Value Reference Tables - MR'!$F$159</definedName>
    <definedName name="mgmt_az1_edge_overlay_vlan">'Value Reference Tables - MR'!$F$17</definedName>
    <definedName name="mgmt_az1_en1_edge_overlay_interface_ip_1_ip">'Value Reference Tables - MR'!$F$261</definedName>
    <definedName name="mgmt_az1_en1_edge_overlay_interface_ip_2_ip">'Value Reference Tables - MR'!$F$262</definedName>
    <definedName name="mgmt_az1_en1_edge_overlay_network_ip_allocation_chosen">'Configure Management Domain'!$D$116</definedName>
    <definedName name="mgmt_az1_en1_eth0_uplink0">'Value Reference Tables'!$C$244</definedName>
    <definedName name="mgmt_az1_en1_eth0_uplink1">'Value Reference Tables'!$C$245</definedName>
    <definedName name="mgmt_az1_en1_eth1_uplink0">'Value Reference Tables'!$C$246</definedName>
    <definedName name="mgmt_az1_en1_eth1_uplink1">'Value Reference Tables'!$C$247</definedName>
    <definedName name="mgmt_az1_en1_fqdn">'Value Reference Tables'!$C$64</definedName>
    <definedName name="mgmt_az1_en1_hostname">'Value Reference Tables - MR'!$F$255</definedName>
    <definedName name="mgmt_az1_en1_ip_allocation_chosen">'Configure Management Domain'!$D$105</definedName>
    <definedName name="mgmt_az1_en1_mgmt_cidr">'Value Reference Tables - MR'!$F$258</definedName>
    <definedName name="mgmt_az1_en1_mgmt_ip">Arkham!$R$17</definedName>
    <definedName name="mgmt_az1_en1_uplink01_interface_cidr">'Value Reference Tables - MR'!$F$259</definedName>
    <definedName name="mgmt_az1_en1_uplink02_interface_cidr">'Value Reference Tables - MR'!$F$260</definedName>
    <definedName name="mgmt_az1_en2_edge_overlay_interface_ip_1_ip">'Value Reference Tables - MR'!$F$272</definedName>
    <definedName name="mgmt_az1_en2_edge_overlay_interface_ip_2_ip">'Value Reference Tables - MR'!$F$273</definedName>
    <definedName name="mgmt_az1_en2_eth0_uplink0">'Value Reference Tables'!$C$248</definedName>
    <definedName name="mgmt_az1_en2_eth0_uplink1">'Value Reference Tables'!$C$249</definedName>
    <definedName name="mgmt_az1_en2_eth1_uplink0">'Value Reference Tables'!$C$250</definedName>
    <definedName name="mgmt_az1_en2_eth1_uplink1">'Value Reference Tables'!$C$251</definedName>
    <definedName name="mgmt_az1_en2_fqdn">'Value Reference Tables'!$C$65</definedName>
    <definedName name="mgmt_az1_en2_hostname">'Value Reference Tables - MR'!$F$266</definedName>
    <definedName name="mgmt_az1_en2_mgmt_cidr">'Value Reference Tables - MR'!$F$269</definedName>
    <definedName name="mgmt_az1_en2_mgmt_ip">Arkham!$R$18</definedName>
    <definedName name="mgmt_az1_en2_uplink01_interface_cidr">'Value Reference Tables - MR'!$F$270</definedName>
    <definedName name="mgmt_az1_en2_uplink02_interface_cidr">'Value Reference Tables - MR'!$F$271</definedName>
    <definedName name="mgmt_az1_host_fqdns">'Value Reference Tables - MR'!$F$237:$F$252</definedName>
    <definedName name="mgmt_az1_host_hostnames">'Value Reference Tables - MR'!$F$218:$F$233</definedName>
    <definedName name="mgmt_az1_host_mgmt_ips">'Value Reference Tables - MR'!$F$183:$F$198</definedName>
    <definedName name="mgmt_az1_host_overlay_cidr">'Value Reference Tables - MR'!$F$27</definedName>
    <definedName name="mgmt_az1_host_overlay_gateway_ip">'Value Reference Tables - MR'!$F$89</definedName>
    <definedName name="mgmt_az1_host_overlay_mask">'Value Reference Tables - MR'!$F$57</definedName>
    <definedName name="mgmt_az1_host_overlay_mtu">'Value Reference Tables - MR'!$F$73</definedName>
    <definedName name="mgmt_az1_host_overlay_network">'Value Reference Tables - MR'!$F$42</definedName>
    <definedName name="mgmt_az1_host_overlay_network_pool_description">'Value Reference Tables - MR'!$F$168</definedName>
    <definedName name="mgmt_az1_host_overlay_network_pool_name">'Value Reference Tables - MR'!$F$169</definedName>
    <definedName name="mgmt_az1_host_overlay_network_profile_name">'Value Reference Tables - MR'!$F$167</definedName>
    <definedName name="mgmt_az1_host_overlay_pg">'Value Reference Tables - MR'!$F$114</definedName>
    <definedName name="mgmt_az1_host_overlay_pool_end_ip">'Value Reference Tables - MR'!$F$154</definedName>
    <definedName name="mgmt_az1_host_overlay_pool_start_ip">'Value Reference Tables - MR'!$F$153</definedName>
    <definedName name="mgmt_az1_host_overlay_transport_zone">'Value Reference Tables - MR'!$F$170</definedName>
    <definedName name="mgmt_az1_host_overlay_vlan">'Value Reference Tables - MR'!$F$12</definedName>
    <definedName name="mgmt_az1_host1_fqdn">'Value Reference Tables - MR'!$F$237</definedName>
    <definedName name="mgmt_az1_host1_hostname">'Value Reference Tables - MR'!$F$218</definedName>
    <definedName name="mgmt_az1_host1_mgmt_ip">'Value Reference Tables - MR'!$F$183</definedName>
    <definedName name="mgmt_az1_host1_vrms_ip">'Value Reference Tables - MR'!$F$199</definedName>
    <definedName name="mgmt_az1_host10_fqdn">'Value Reference Tables - MR'!$F$246</definedName>
    <definedName name="mgmt_az1_host10_hostname">'Value Reference Tables - MR'!$F$227</definedName>
    <definedName name="mgmt_az1_host10_mgmt_ip">'Value Reference Tables - MR'!$F$192</definedName>
    <definedName name="mgmt_az1_host10_vrms_ip">'Value Reference Tables - MR'!$F$208</definedName>
    <definedName name="mgmt_az1_host11_fqdn">'Value Reference Tables - MR'!$F$247</definedName>
    <definedName name="mgmt_az1_host11_hostname">'Value Reference Tables - MR'!$F$228</definedName>
    <definedName name="mgmt_az1_host11_mgmt_ip">'Value Reference Tables - MR'!$F$193</definedName>
    <definedName name="mgmt_az1_host11_vrms_ip">'Value Reference Tables - MR'!$F$209</definedName>
    <definedName name="mgmt_az1_host12_fqdn">'Value Reference Tables - MR'!$F$248</definedName>
    <definedName name="mgmt_az1_host12_hostname">'Value Reference Tables - MR'!$F$229</definedName>
    <definedName name="mgmt_az1_host12_mgmt_ip">'Value Reference Tables - MR'!$F$194</definedName>
    <definedName name="mgmt_az1_host12_vrms_ip">'Value Reference Tables - MR'!$F$210</definedName>
    <definedName name="mgmt_az1_host13_fqdn">'Value Reference Tables - MR'!$F$249</definedName>
    <definedName name="mgmt_az1_host13_hostname">'Value Reference Tables - MR'!$F$230</definedName>
    <definedName name="mgmt_az1_host13_mgmt_ip">'Value Reference Tables - MR'!$F$195</definedName>
    <definedName name="mgmt_az1_host13_vrms_ip">'Value Reference Tables - MR'!$F$211</definedName>
    <definedName name="mgmt_az1_host14_fqdn">'Value Reference Tables - MR'!$F$250</definedName>
    <definedName name="mgmt_az1_host14_hostname">'Value Reference Tables - MR'!$F$231</definedName>
    <definedName name="mgmt_az1_host14_mgmt_ip">'Value Reference Tables - MR'!$F$196</definedName>
    <definedName name="mgmt_az1_host14_vrms_ip">'Value Reference Tables - MR'!$F$212</definedName>
    <definedName name="mgmt_az1_host15_fqdn">'Value Reference Tables - MR'!$F$251</definedName>
    <definedName name="mgmt_az1_host15_hostname">'Value Reference Tables - MR'!$F$232</definedName>
    <definedName name="mgmt_az1_host15_mgmt_ip">'Value Reference Tables - MR'!$F$197</definedName>
    <definedName name="mgmt_az1_host15_vrms_ip">'Value Reference Tables - MR'!$F$213</definedName>
    <definedName name="mgmt_az1_host16_fqdn">'Value Reference Tables - MR'!$F$252</definedName>
    <definedName name="mgmt_az1_host16_hostname">'Value Reference Tables - MR'!$F$233</definedName>
    <definedName name="mgmt_az1_host16_mgmt_ip">'Value Reference Tables - MR'!$F$198</definedName>
    <definedName name="mgmt_az1_host16_vrms_ip">'Value Reference Tables - MR'!$F$214</definedName>
    <definedName name="mgmt_az1_host2_fqdn">'Value Reference Tables - MR'!$F$238</definedName>
    <definedName name="mgmt_az1_host2_hostname">'Value Reference Tables - MR'!$F$219</definedName>
    <definedName name="mgmt_az1_host2_mgmt_ip">'Value Reference Tables - MR'!$F$184</definedName>
    <definedName name="mgmt_az1_host2_vrms_ip">'Value Reference Tables - MR'!$F$200</definedName>
    <definedName name="mgmt_az1_host3_fqdn">'Value Reference Tables - MR'!$F$239</definedName>
    <definedName name="mgmt_az1_host3_hostname">'Value Reference Tables - MR'!$F$220</definedName>
    <definedName name="mgmt_az1_host3_mgmt_ip">'Value Reference Tables - MR'!$F$185</definedName>
    <definedName name="mgmt_az1_host3_vrms_ip">'Value Reference Tables - MR'!$F$201</definedName>
    <definedName name="mgmt_az1_host4_fqdn">'Value Reference Tables - MR'!$F$240</definedName>
    <definedName name="mgmt_az1_host4_hostname">'Value Reference Tables - MR'!$F$221</definedName>
    <definedName name="mgmt_az1_host4_mgmt_ip">'Value Reference Tables - MR'!$F$186</definedName>
    <definedName name="mgmt_az1_host4_vrms_ip">'Value Reference Tables - MR'!$F$202</definedName>
    <definedName name="mgmt_az1_host5_fqdn">'Value Reference Tables - MR'!$F$241</definedName>
    <definedName name="mgmt_az1_host5_hostname">'Value Reference Tables - MR'!$F$222</definedName>
    <definedName name="mgmt_az1_host5_mgmt_ip">'Value Reference Tables - MR'!$F$187</definedName>
    <definedName name="mgmt_az1_host5_vrms_ip">'Value Reference Tables - MR'!$F$203</definedName>
    <definedName name="mgmt_az1_host6_fqdn">'Value Reference Tables - MR'!$F$242</definedName>
    <definedName name="mgmt_az1_host6_hostname">'Value Reference Tables - MR'!$F$223</definedName>
    <definedName name="mgmt_az1_host6_mgmt_ip">'Value Reference Tables - MR'!$F$188</definedName>
    <definedName name="mgmt_az1_host6_vrms_ip">'Value Reference Tables - MR'!$F$204</definedName>
    <definedName name="mgmt_az1_host7_fqdn">'Value Reference Tables - MR'!$F$243</definedName>
    <definedName name="mgmt_az1_host7_hostname">'Value Reference Tables - MR'!$F$224</definedName>
    <definedName name="mgmt_az1_host7_mgmt_ip">'Value Reference Tables - MR'!$F$189</definedName>
    <definedName name="mgmt_az1_host7_vrms_ip">'Value Reference Tables - MR'!$F$205</definedName>
    <definedName name="mgmt_az1_host8_fqdn">'Value Reference Tables - MR'!$F$244</definedName>
    <definedName name="mgmt_az1_host8_hostname">'Value Reference Tables - MR'!$F$225</definedName>
    <definedName name="mgmt_az1_host8_mgmt_ip">'Value Reference Tables - MR'!$F$190</definedName>
    <definedName name="mgmt_az1_host8_vrms_ip">'Value Reference Tables - MR'!$F$206</definedName>
    <definedName name="mgmt_az1_host9_fqdn">'Value Reference Tables - MR'!$F$245</definedName>
    <definedName name="mgmt_az1_host9_hostname">'Value Reference Tables - MR'!$F$226</definedName>
    <definedName name="mgmt_az1_host9_mgmt_ip">'Value Reference Tables - MR'!$F$191</definedName>
    <definedName name="mgmt_az1_host9_vrms_ip">'Value Reference Tables - MR'!$F$207</definedName>
    <definedName name="mgmt_az1_mgmt_cidr">'Value Reference Tables - MR'!$F$24</definedName>
    <definedName name="mgmt_az1_mgmt_gateway_ip">'Value Reference Tables - MR'!$F$86</definedName>
    <definedName name="mgmt_az1_mgmt_mask">'Value Reference Tables - MR'!$F$54</definedName>
    <definedName name="mgmt_az1_mgmt_mtu">'Value Reference Tables - MR'!$F$70</definedName>
    <definedName name="mgmt_az1_mgmt_network">'Value Reference Tables - MR'!$F$39</definedName>
    <definedName name="mgmt_az1_mgmt_vlan">'Value Reference Tables - MR'!$F$9</definedName>
    <definedName name="mgmt_az1_mgmt_vm_cidr">'Value Reference Tables - MR'!$F$23</definedName>
    <definedName name="mgmt_az1_mgmt_vm_gateway_ip">'Value Reference Tables - MR'!$F$85</definedName>
    <definedName name="mgmt_az1_mgmt_vm_mask">'Value Reference Tables - MR'!$F$53</definedName>
    <definedName name="mgmt_az1_mgmt_vm_mtu">'Value Reference Tables - MR'!$F$69</definedName>
    <definedName name="mgmt_az1_mgmt_vm_network">'Value Reference Tables - MR'!$F$38</definedName>
    <definedName name="mgmt_az1_mgmt_vm_vlan">'Value Reference Tables - MR'!$F$8</definedName>
    <definedName name="mgmt_az1_pool_name">'Value Reference Tables - MR'!$F$166</definedName>
    <definedName name="mgmt_az1_rtep_ip_pool_name">'Value Reference Tables - MR'!$F$173</definedName>
    <definedName name="mgmt_az1_rtep_overlay_cidr">'Value Reference Tables - MR'!$F$33</definedName>
    <definedName name="mgmt_az1_rtep_overlay_gateway_ip">'Value Reference Tables - MR'!$F$95</definedName>
    <definedName name="mgmt_az1_rtep_overlay_mtu">'Value Reference Tables - MR'!$F$79</definedName>
    <definedName name="mgmt_az1_rtep_overlay_network">'Value Reference Tables - MR'!$F$48</definedName>
    <definedName name="mgmt_az1_rtep_overlay_pg">'Value Reference Tables - MR'!$F$119</definedName>
    <definedName name="mgmt_az1_rtep_overlay_vlan">'Value Reference Tables - MR'!$F$18</definedName>
    <definedName name="mgmt_az1_secondary_storage_cidr">'Value Reference Tables - MR'!$F$28</definedName>
    <definedName name="mgmt_az1_secondary_storage_gateway_ip">'Value Reference Tables - MR'!$F$90</definedName>
    <definedName name="mgmt_az1_secondary_storage_mask">'Value Reference Tables - MR'!$F$59</definedName>
    <definedName name="mgmt_az1_secondary_storage_mtu">'Value Reference Tables - MR'!$F$74</definedName>
    <definedName name="mgmt_az1_secondary_storage_network">'Value Reference Tables - MR'!$F$43</definedName>
    <definedName name="mgmt_az1_secondary_storage_pool_end_ip">'Value Reference Tables - MR'!$F$156</definedName>
    <definedName name="mgmt_az1_secondary_storage_pool_start_ip">'Value Reference Tables - MR'!$F$155</definedName>
    <definedName name="mgmt_az1_secondary_storage_vlan">'Value Reference Tables - MR'!$F$13</definedName>
    <definedName name="mgmt_az1_tor1_peer_asn">'Value Reference Tables - MR'!$F$102</definedName>
    <definedName name="mgmt_az1_tor1_peer_bgp_password">'Value Reference Tables - MR'!$F$103</definedName>
    <definedName name="mgmt_az1_tor1_peer_ip">'Value Reference Tables - MR'!$F$101</definedName>
    <definedName name="mgmt_az1_tor2_peer_asn">'Value Reference Tables - MR'!$F$105</definedName>
    <definedName name="mgmt_az1_tor2_peer_bgp_password">'Value Reference Tables - MR'!$F$106</definedName>
    <definedName name="mgmt_az1_tor2_peer_ip">'Value Reference Tables - MR'!$F$104</definedName>
    <definedName name="mgmt_az1_uplink01_cidr">'Value Reference Tables - MR'!$F$30</definedName>
    <definedName name="mgmt_az1_uplink01_gateway_ip">'Value Reference Tables - MR'!$F$92</definedName>
    <definedName name="mgmt_az1_uplink01_mask">'Value Reference Tables - MR'!$F$60</definedName>
    <definedName name="mgmt_az1_uplink01_mtu">'Value Reference Tables - MR'!$F$76</definedName>
    <definedName name="mgmt_az1_uplink01_network">'Value Reference Tables - MR'!$F$45</definedName>
    <definedName name="mgmt_az1_uplink01_vlan">'Value Reference Tables - MR'!$F$15</definedName>
    <definedName name="mgmt_az1_uplink02_cidr">'Value Reference Tables - MR'!$F$31</definedName>
    <definedName name="mgmt_az1_uplink02_gateway_ip">'Value Reference Tables - MR'!$F$93</definedName>
    <definedName name="mgmt_az1_uplink02_mask">'Value Reference Tables - MR'!$F$61</definedName>
    <definedName name="mgmt_az1_uplink02_mtu">'Value Reference Tables - MR'!$F$77</definedName>
    <definedName name="mgmt_az1_uplink02_network">'Value Reference Tables - MR'!$F$46</definedName>
    <definedName name="mgmt_az1_uplink02_vlan">'Value Reference Tables - MR'!$F$16</definedName>
    <definedName name="mgmt_az1_vm_cidr">'Value Reference Tables'!$AD$17</definedName>
    <definedName name="mgmt_az1_vm_gateway_ip">'Value Reference Tables'!$AD$21</definedName>
    <definedName name="mgmt_az1_vm_mtu">'Value Reference Tables'!$AD$25</definedName>
    <definedName name="mgmt_az1_vm_vlan">'Value Reference Tables'!$AD$8</definedName>
    <definedName name="mgmt_az1_vmotion_cidr">'Value Reference Tables - MR'!$F$25</definedName>
    <definedName name="mgmt_az1_vmotion_gateway_ip">'Value Reference Tables - MR'!$F$87</definedName>
    <definedName name="mgmt_az1_vmotion_mask">'Value Reference Tables - MR'!$F$55</definedName>
    <definedName name="mgmt_az1_vmotion_mtu">'Value Reference Tables - MR'!$F$71</definedName>
    <definedName name="mgmt_az1_vmotion_network">'Value Reference Tables - MR'!$F$40</definedName>
    <definedName name="mgmt_az1_vmotion_pool_end_ip">'Value Reference Tables - MR'!$F$150</definedName>
    <definedName name="mgmt_az1_vmotion_pool_start_ip">'Value Reference Tables - MR'!$F$149</definedName>
    <definedName name="mgmt_az1_vmotion_vlan">'Value Reference Tables - MR'!$F$10</definedName>
    <definedName name="mgmt_az1_vrms_cidr">'Value Reference Tables - MR'!$F$34</definedName>
    <definedName name="mgmt_az1_vrms_gateway_ip">'Value Reference Tables - MR'!$F$96</definedName>
    <definedName name="mgmt_az1_vrms_mtu">'Value Reference Tables - MR'!$F$80</definedName>
    <definedName name="mgmt_az1_vrms_network">'Value Reference Tables - MR'!$F$49</definedName>
    <definedName name="mgmt_az1_vrms_vlan">'Value Reference Tables - MR'!$F$19</definedName>
    <definedName name="mgmt_az1_vsan_cidr">'Value Reference Tables - MR'!$F$26</definedName>
    <definedName name="mgmt_az1_vsan_gateway_ip">'Value Reference Tables - MR'!$F$88</definedName>
    <definedName name="mgmt_az1_vsan_mask">'Value Reference Tables - MR'!$F$56</definedName>
    <definedName name="mgmt_az1_vsan_mtu">'Value Reference Tables - MR'!$F$72</definedName>
    <definedName name="mgmt_az1_vsan_network">'Value Reference Tables - MR'!$F$41</definedName>
    <definedName name="mgmt_az1_vsan_pool_end_ip">'Value Reference Tables - MR'!$F$152</definedName>
    <definedName name="mgmt_az1_vsan_pool_start_ip">'Value Reference Tables - MR'!$F$151</definedName>
    <definedName name="mgmt_az1_vsan_vlan">'Value Reference Tables - MR'!$F$11</definedName>
    <definedName name="mgmt_az2_edge_overlay_cidr">'Value Reference Tables - MR'!$F$300</definedName>
    <definedName name="mgmt_az2_edge_overlay_gateway_ip">'Value Reference Tables - MR'!$F$342</definedName>
    <definedName name="mgmt_az2_edge_overlay_mask">'Value Reference Tables - MR'!$F$328</definedName>
    <definedName name="mgmt_az2_edge_overlay_mtu">'Value Reference Tables - MR'!$F$356</definedName>
    <definedName name="mgmt_az2_edge_overlay_network">'Value Reference Tables - MR'!$F$314</definedName>
    <definedName name="mgmt_az2_edge_overlay_pg">'Value Reference Tables - MR'!$F$380</definedName>
    <definedName name="mgmt_az2_edge_overlay_vlan">'Value Reference Tables - MR'!$F$286</definedName>
    <definedName name="mgmt_az2_host_fqdns">'Value Reference Tables - MR'!$F$469:$F$484</definedName>
    <definedName name="mgmt_az2_host_hostnames">'Value Reference Tables - MR'!$F$450:$F$465</definedName>
    <definedName name="mgmt_az2_host_mgmt_ips">'Value Reference Tables - MR'!$F$415:$F$430</definedName>
    <definedName name="mgmt_az2_host_overlay_cidr">'Value Reference Tables - MR'!$F$296</definedName>
    <definedName name="mgmt_az2_host_overlay_gateway_ip">'Value Reference Tables - MR'!$F$338</definedName>
    <definedName name="mgmt_az2_host_overlay_mask">'Value Reference Tables - MR'!$F$324</definedName>
    <definedName name="mgmt_az2_host_overlay_mtu">'Value Reference Tables - MR'!$F$352</definedName>
    <definedName name="mgmt_az2_host_overlay_network">'Value Reference Tables - MR'!$F$310</definedName>
    <definedName name="mgmt_az2_host_overlay_network_pool_name">'Value Reference Tables - MR'!$F$400</definedName>
    <definedName name="mgmt_az2_host_overlay_network_profile_name">'Value Reference Tables - MR'!$F$399</definedName>
    <definedName name="mgmt_az2_host_overlay_new_pool_chosen">'Configure Management Domain'!$D$362</definedName>
    <definedName name="mgmt_az2_host_overlay_pg">'Value Reference Tables - MR'!$F$376</definedName>
    <definedName name="mgmt_az2_host_overlay_pool_end_ip">'Value Reference Tables - MR'!$F$390</definedName>
    <definedName name="mgmt_az2_host_overlay_pool_name">'Value Reference Tables'!$C$202</definedName>
    <definedName name="mgmt_az2_host_overlay_pool_start_ip">'Value Reference Tables - MR'!$F$389</definedName>
    <definedName name="mgmt_az2_host_overlay_uplink_profile_name">'Value Reference Tables - MR'!$F$401</definedName>
    <definedName name="mgmt_az2_host_overlay_vlan">'Value Reference Tables - MR'!$F$282</definedName>
    <definedName name="mgmt_az2_host_vrms_ips">'Value Reference Tables - MR'!$F$431:$F$446</definedName>
    <definedName name="mgmt_az2_host1_fqdn">'Value Reference Tables - MR'!$F$469</definedName>
    <definedName name="mgmt_az2_host1_hostname">'Value Reference Tables - MR'!$F$450</definedName>
    <definedName name="mgmt_az2_host1_mgmt_ip">'Value Reference Tables - MR'!$F$415</definedName>
    <definedName name="mgmt_az2_host1_sddc_id">'Value Reference Tables'!$C$197</definedName>
    <definedName name="mgmt_az2_host1_vrms_ip">'Value Reference Tables - MR'!$F$431</definedName>
    <definedName name="mgmt_az2_host10_fqdn">'Value Reference Tables - MR'!$F$478</definedName>
    <definedName name="mgmt_az2_host10_hostname">'Value Reference Tables - MR'!$F$459</definedName>
    <definedName name="mgmt_az2_host10_mgmt_ip">'Value Reference Tables - MR'!$F$424</definedName>
    <definedName name="mgmt_az2_host10_vrms_ip">'Value Reference Tables - MR'!$F$440</definedName>
    <definedName name="mgmt_az2_host11_fqdn">'Value Reference Tables - MR'!$F$479</definedName>
    <definedName name="mgmt_az2_host11_hostname">'Value Reference Tables - MR'!$F$460</definedName>
    <definedName name="mgmt_az2_host11_mgmt_ip">'Value Reference Tables - MR'!$F$425</definedName>
    <definedName name="mgmt_az2_host11_vrms_ip">'Value Reference Tables - MR'!$F$441</definedName>
    <definedName name="mgmt_az2_host12_fqdn">'Value Reference Tables - MR'!$F$480</definedName>
    <definedName name="mgmt_az2_host12_hostname">'Value Reference Tables - MR'!$F$461</definedName>
    <definedName name="mgmt_az2_host12_mgmt_ip">'Value Reference Tables - MR'!$F$426</definedName>
    <definedName name="mgmt_az2_host12_vrms_ip">'Value Reference Tables - MR'!$F$442</definedName>
    <definedName name="mgmt_az2_host13_fqdn">'Value Reference Tables - MR'!$F$481</definedName>
    <definedName name="mgmt_az2_host13_hostname">'Value Reference Tables - MR'!$F$462</definedName>
    <definedName name="mgmt_az2_host13_mgmt_ip">'Value Reference Tables - MR'!$F$427</definedName>
    <definedName name="mgmt_az2_host13_vrms_ip">'Value Reference Tables - MR'!$F$443</definedName>
    <definedName name="mgmt_az2_host14_fqdn">'Value Reference Tables - MR'!$F$482</definedName>
    <definedName name="mgmt_az2_host14_hostname">'Value Reference Tables - MR'!$F$463</definedName>
    <definedName name="mgmt_az2_host14_mgmt_ip">'Value Reference Tables - MR'!$F$428</definedName>
    <definedName name="mgmt_az2_host14_vrms_ip">'Value Reference Tables - MR'!$F$444</definedName>
    <definedName name="mgmt_az2_host15_fqdn">'Value Reference Tables - MR'!$F$483</definedName>
    <definedName name="mgmt_az2_host15_hostname">'Value Reference Tables - MR'!$F$464</definedName>
    <definedName name="mgmt_az2_host15_mgmt_ip">'Value Reference Tables - MR'!$F$429</definedName>
    <definedName name="mgmt_az2_host15_vrms_ip">'Value Reference Tables - MR'!$F$445</definedName>
    <definedName name="mgmt_az2_host16_fqdn">'Value Reference Tables - MR'!$F$484</definedName>
    <definedName name="mgmt_az2_host16_hostname">'Value Reference Tables - MR'!$F$465</definedName>
    <definedName name="mgmt_az2_host16_mgmt_ip">'Value Reference Tables - MR'!$F$430</definedName>
    <definedName name="mgmt_az2_host16_vrms_ip">'Value Reference Tables - MR'!$F$446</definedName>
    <definedName name="mgmt_az2_host2_fqdn">'Value Reference Tables - MR'!$F$470</definedName>
    <definedName name="mgmt_az2_host2_hostname">'Value Reference Tables - MR'!$F$451</definedName>
    <definedName name="mgmt_az2_host2_mgmt_ip">'Value Reference Tables - MR'!$F$416</definedName>
    <definedName name="mgmt_az2_host2_sddc_id">'Value Reference Tables'!$C$198</definedName>
    <definedName name="mgmt_az2_host2_vrms_ip">'Value Reference Tables - MR'!$F$432</definedName>
    <definedName name="mgmt_az2_host3_fqdn">'Value Reference Tables - MR'!$F$471</definedName>
    <definedName name="mgmt_az2_host3_hostname">'Value Reference Tables - MR'!$F$452</definedName>
    <definedName name="mgmt_az2_host3_mgmt_ip">'Value Reference Tables - MR'!$F$417</definedName>
    <definedName name="mgmt_az2_host3_sddc_id">'Value Reference Tables'!$C$199</definedName>
    <definedName name="mgmt_az2_host3_vrms_ip">'Value Reference Tables - MR'!$F$433</definedName>
    <definedName name="mgmt_az2_host4_fqdn">'Value Reference Tables - MR'!$F$472</definedName>
    <definedName name="mgmt_az2_host4_hostname">'Value Reference Tables - MR'!$F$453</definedName>
    <definedName name="mgmt_az2_host4_mgmt_ip">'Value Reference Tables - MR'!$F$418</definedName>
    <definedName name="mgmt_az2_host4_sddc_id">'Value Reference Tables'!$C$200</definedName>
    <definedName name="mgmt_az2_host4_vrms_ip">'Value Reference Tables - MR'!$F$434</definedName>
    <definedName name="mgmt_az2_host5_fqdn">'Value Reference Tables - MR'!$F$473</definedName>
    <definedName name="mgmt_az2_host5_hostname">'Value Reference Tables - MR'!$F$454</definedName>
    <definedName name="mgmt_az2_host5_mgmt_ip">'Value Reference Tables - MR'!$F$419</definedName>
    <definedName name="mgmt_az2_host5_vrms_ip">'Value Reference Tables - MR'!$F$435</definedName>
    <definedName name="mgmt_az2_host6_fqdn">'Value Reference Tables - MR'!$F$474</definedName>
    <definedName name="mgmt_az2_host6_hostname">'Value Reference Tables - MR'!$F$455</definedName>
    <definedName name="mgmt_az2_host6_mgmt_ip">'Value Reference Tables - MR'!$F$420</definedName>
    <definedName name="mgmt_az2_host6_vrms_ip">'Value Reference Tables - MR'!$F$436</definedName>
    <definedName name="mgmt_az2_host7_fqdn">'Value Reference Tables - MR'!$F$475</definedName>
    <definedName name="mgmt_az2_host7_hostname">'Value Reference Tables - MR'!$F$456</definedName>
    <definedName name="mgmt_az2_host7_mgmt_ip">'Value Reference Tables - MR'!$F$421</definedName>
    <definedName name="mgmt_az2_host7_vrms_ip">'Value Reference Tables - MR'!$F$437</definedName>
    <definedName name="mgmt_az2_host8_fqdn">'Value Reference Tables - MR'!$F$476</definedName>
    <definedName name="mgmt_az2_host8_hostname">'Value Reference Tables - MR'!$F$457</definedName>
    <definedName name="mgmt_az2_host8_mgmt_ip">'Value Reference Tables - MR'!$F$422</definedName>
    <definedName name="mgmt_az2_host8_vrms_ip">'Value Reference Tables - MR'!$F$438</definedName>
    <definedName name="mgmt_az2_host9_fqdn">'Value Reference Tables - MR'!$F$477</definedName>
    <definedName name="mgmt_az2_host9_hostname">'Value Reference Tables - MR'!$F$458</definedName>
    <definedName name="mgmt_az2_host9_mgmt_ip">'Value Reference Tables - MR'!$F$423</definedName>
    <definedName name="mgmt_az2_host9_vrms_ip">'Value Reference Tables - MR'!$F$439</definedName>
    <definedName name="mgmt_az2_mgmt_cidr">'Value Reference Tables - MR'!$F$293</definedName>
    <definedName name="mgmt_az2_mgmt_gateway_ip">'Value Reference Tables - MR'!$F$335</definedName>
    <definedName name="mgmt_az2_mgmt_mask">'Value Reference Tables - MR'!$F$321</definedName>
    <definedName name="mgmt_az2_mgmt_mtu">'Value Reference Tables - MR'!$F$349</definedName>
    <definedName name="mgmt_az2_mgmt_network">'Value Reference Tables - MR'!$F$307</definedName>
    <definedName name="mgmt_az2_mgmt_vlan">'Value Reference Tables - MR'!$F$279</definedName>
    <definedName name="mgmt_az2_mgmt_vm_cidr">'Value Reference Tables - MR'!$F$292</definedName>
    <definedName name="mgmt_az2_mgmt_vm_gateway_ip">'Value Reference Tables - MR'!$F$334</definedName>
    <definedName name="mgmt_az2_mgmt_vm_mtu">'Value Reference Tables - MR'!$F$348</definedName>
    <definedName name="mgmt_az2_mgmt_vm_vlan">'Value Reference Tables - MR'!$F$278</definedName>
    <definedName name="mgmt_az2_pool_name">'Value Reference Tables - MR'!$F$398</definedName>
    <definedName name="mgmt_az2_reuse_vcf_networkpool_chosen">'Configure Management Domain'!$D$249</definedName>
    <definedName name="mgmt_az2_rtep_overlay_cidr">'Value Reference Tables - MR'!$F$301</definedName>
    <definedName name="mgmt_az2_rtep_overlay_gateway_ip">'Value Reference Tables - MR'!$F$343</definedName>
    <definedName name="mgmt_az2_rtep_overlay_mask">'Value Reference Tables - MR'!$F$329</definedName>
    <definedName name="mgmt_az2_rtep_overlay_mtu">'Value Reference Tables - MR'!$F$357</definedName>
    <definedName name="mgmt_az2_rtep_overlay_network">'Value Reference Tables - MR'!$F$315</definedName>
    <definedName name="mgmt_az2_rtep_overlay_pg">'Value Reference Tables - MR'!$F$381</definedName>
    <definedName name="mgmt_az2_rtep_overlay_vlan">'Value Reference Tables - MR'!$F$287</definedName>
    <definedName name="mgmt_az2_secondary_storage_cidr">'Value Reference Tables - MR'!$F$297</definedName>
    <definedName name="mgmt_az2_secondary_storage_gateway_ip">'Value Reference Tables - MR'!$F$339</definedName>
    <definedName name="mgmt_az2_secondary_storage_mask">'Value Reference Tables - MR'!$F$325</definedName>
    <definedName name="mgmt_az2_secondary_storage_mtu">'Value Reference Tables - MR'!$F$353</definedName>
    <definedName name="mgmt_az2_secondary_storage_network">'Value Reference Tables - MR'!$F$311</definedName>
    <definedName name="mgmt_az2_secondary_storage_pool_end_ip">'Value Reference Tables - MR'!$F$392</definedName>
    <definedName name="mgmt_az2_secondary_storage_pool_start_ip">'Value Reference Tables - MR'!$F$391</definedName>
    <definedName name="mgmt_az2_secondary_storage_vlan">'Value Reference Tables - MR'!$F$283</definedName>
    <definedName name="mgmt_az2_tor1_peer_asn">'Value Reference Tables - MR'!$F$364</definedName>
    <definedName name="mgmt_az2_tor1_peer_bgp_password">'Value Reference Tables - MR'!$F$365</definedName>
    <definedName name="mgmt_az2_tor1_peer_ip">'Value Reference Tables - MR'!$F$363</definedName>
    <definedName name="mgmt_az2_tor2_peer_asn">'Value Reference Tables - MR'!$F$367</definedName>
    <definedName name="mgmt_az2_tor2_peer_bgp_password">'Value Reference Tables - MR'!$F$368</definedName>
    <definedName name="mgmt_az2_tor2_peer_ip">'Value Reference Tables - MR'!$F$366</definedName>
    <definedName name="mgmt_az2_uplink01_cidr">'Value Reference Tables - MR'!$F$298</definedName>
    <definedName name="mgmt_az2_uplink01_gateway_ip">'Value Reference Tables - MR'!$F$340</definedName>
    <definedName name="mgmt_az2_uplink01_mask">'Value Reference Tables - MR'!$F$326</definedName>
    <definedName name="mgmt_az2_uplink01_mtu">'Value Reference Tables - MR'!$F$354</definedName>
    <definedName name="mgmt_az2_uplink01_network">'Value Reference Tables - MR'!$F$312</definedName>
    <definedName name="mgmt_az2_uplink01_vlan">'Value Reference Tables - MR'!$F$284</definedName>
    <definedName name="mgmt_az2_uplink02_cidr">'Value Reference Tables - MR'!$F$299</definedName>
    <definedName name="mgmt_az2_uplink02_gateway_ip">'Value Reference Tables - MR'!$F$341</definedName>
    <definedName name="mgmt_az2_uplink02_mask">'Value Reference Tables - MR'!$F$327</definedName>
    <definedName name="mgmt_az2_uplink02_mtu">'Value Reference Tables - MR'!$F$355</definedName>
    <definedName name="mgmt_az2_uplink02_network">'Value Reference Tables - MR'!$F$313</definedName>
    <definedName name="mgmt_az2_uplink02_vlan">'Value Reference Tables - MR'!$F$285</definedName>
    <definedName name="mgmt_az2_vm_cidr">'Value Reference Tables'!$AE$17</definedName>
    <definedName name="mgmt_az2_vm_gateway_ip">'Value Reference Tables'!$AE$21</definedName>
    <definedName name="mgmt_az2_vm_mtu">'Value Reference Tables'!$AE$25</definedName>
    <definedName name="mgmt_az2_vm_vlan">'Value Reference Tables'!$AE$8</definedName>
    <definedName name="mgmt_az2_vmotion_cidr">'Value Reference Tables - MR'!$F$294</definedName>
    <definedName name="mgmt_az2_vmotion_gateway_ip">'Value Reference Tables - MR'!$F$336</definedName>
    <definedName name="mgmt_az2_vmotion_mask">'Value Reference Tables - MR'!$F$322</definedName>
    <definedName name="mgmt_az2_vmotion_mtu">'Value Reference Tables - MR'!$F$350</definedName>
    <definedName name="mgmt_az2_vmotion_network">'Value Reference Tables - MR'!$F$308</definedName>
    <definedName name="mgmt_az2_vmotion_pool_end_ip">'Value Reference Tables - MR'!$F$386</definedName>
    <definedName name="mgmt_az2_vmotion_pool_start_ip">'Value Reference Tables - MR'!$F$385</definedName>
    <definedName name="mgmt_az2_vmotion_vlan">'Value Reference Tables - MR'!$F$280</definedName>
    <definedName name="mgmt_az2_vrms_cidr">'Value Reference Tables - MR'!$F$302</definedName>
    <definedName name="mgmt_az2_vrms_gateway_ip">'Value Reference Tables - MR'!$F$344</definedName>
    <definedName name="mgmt_az2_vrms_mask">'Value Reference Tables - MR'!$F$330</definedName>
    <definedName name="mgmt_az2_vrms_mtu">'Value Reference Tables - MR'!$F$358</definedName>
    <definedName name="mgmt_az2_vrms_network">'Value Reference Tables - MR'!$F$316</definedName>
    <definedName name="mgmt_az2_vrms_vlan">'Value Reference Tables - MR'!$F$288</definedName>
    <definedName name="mgmt_az2_vsan_cidr">'Value Reference Tables - MR'!$F$295</definedName>
    <definedName name="mgmt_az2_vsan_gateway_ip">'Value Reference Tables - MR'!$F$337</definedName>
    <definedName name="mgmt_az2_vsan_mask">'Value Reference Tables - MR'!$F$323</definedName>
    <definedName name="mgmt_az2_vsan_mtu">'Value Reference Tables - MR'!$F$351</definedName>
    <definedName name="mgmt_az2_vsan_network">'Value Reference Tables - MR'!$F$309</definedName>
    <definedName name="mgmt_az2_vsan_pool_end_ip">'Value Reference Tables - MR'!$F$388</definedName>
    <definedName name="mgmt_az2_vsan_pool_start_ip">'Value Reference Tables - MR'!$F$387</definedName>
    <definedName name="mgmt_az2_vsan_vlan">'Value Reference Tables - MR'!$F$281</definedName>
    <definedName name="mgmt_ceip_status_chosen">'Deploy Management Domain'!$L$50</definedName>
    <definedName name="mgmt_cl01_az1_mgmt_lbt_chosen">'Deploy Management Domain'!$L$222</definedName>
    <definedName name="mgmt_cl01_az1_mgmt_pg">'Value Reference Tables - MR'!$F$111</definedName>
    <definedName name="mgmt_cl01_az1_mgmt_uplink1_chosen">'Deploy Management Domain'!$L$223</definedName>
    <definedName name="mgmt_cl01_az1_mgmt_uplink2_chosen">'Deploy Management Domain'!$L$224</definedName>
    <definedName name="mgmt_cl01_az1_mgmt_vm_lbt_chosen">'Deploy Management Domain'!$L$227</definedName>
    <definedName name="mgmt_cl01_az1_mgmt_vm_pg">'Value Reference Tables - MR'!$F$110</definedName>
    <definedName name="mgmt_cl01_az1_mgmt_vm_uplink1_chosen">'Deploy Management Domain'!$L$228</definedName>
    <definedName name="mgmt_cl01_az1_mgmt_vm_uplink2_chosen">'Deploy Management Domain'!$L$229</definedName>
    <definedName name="mgmt_cl01_az1_nfs_lbt_chosen">'Deploy Management Domain'!$L$242</definedName>
    <definedName name="mgmt_cl01_az1_nfs_pg">'Value Reference Tables - MR'!$F$120</definedName>
    <definedName name="mgmt_cl01_az1_nfs_uplink1_chosen">'Deploy Management Domain'!$L$243</definedName>
    <definedName name="mgmt_cl01_az1_nfs_uplink2_chosen">'Deploy Management Domain'!$L$244</definedName>
    <definedName name="mgmt_cl01_az1_nsx_lbt_chosen">'Deploy Management Domain'!$L$248</definedName>
    <definedName name="mgmt_cl01_az1_nsx_uplink1_chosen">'Deploy Management Domain'!$L$249</definedName>
    <definedName name="mgmt_cl01_az1_nsx_uplink2_chosen">'Deploy Management Domain'!$L$250</definedName>
    <definedName name="mgmt_cl01_az1_uplink01_pg">'Value Reference Tables - MR'!$F$116</definedName>
    <definedName name="mgmt_cl01_az1_uplink02_pg">'Value Reference Tables - MR'!$F$117</definedName>
    <definedName name="mgmt_cl01_az1_vcf_mgmt_pg">Arkham!$C$9</definedName>
    <definedName name="mgmt_cl01_az1_vmotion_lbt_chosen">'Deploy Management Domain'!$L$232</definedName>
    <definedName name="mgmt_cl01_az1_vmotion_pg">'Value Reference Tables - MR'!$F$112</definedName>
    <definedName name="mgmt_cl01_az1_vmotion_uplink1_chosen">'Deploy Management Domain'!$L$233</definedName>
    <definedName name="mgmt_cl01_az1_vmotion_uplink2_chosen">'Deploy Management Domain'!$L$234</definedName>
    <definedName name="mgmt_cl01_az1_vsan_lbt_chosen">'Deploy Management Domain'!$L$237</definedName>
    <definedName name="mgmt_cl01_az1_vsan_pg">'Value Reference Tables - MR'!$F$113</definedName>
    <definedName name="mgmt_cl01_az1_vsan_uplink1_chosen">'Deploy Management Domain'!$L$238</definedName>
    <definedName name="mgmt_cl01_az1_vsan_uplink2_chosen">'Deploy Management Domain'!$L$239</definedName>
    <definedName name="mgmt_cl01_az2_mgmt_pg">'Value Reference Tables - MR'!$F$373</definedName>
    <definedName name="mgmt_cl01_az2_mgmt_vm_pg">'Value Reference Tables - MR'!$F$372</definedName>
    <definedName name="mgmt_cl01_az2_uplink01_pg">'Value Reference Tables - MR'!$F$378</definedName>
    <definedName name="mgmt_cl01_az2_uplink02_pg">'Value Reference Tables - MR'!$F$379</definedName>
    <definedName name="mgmt_cl01_az2_vmotion_pg">'Value Reference Tables - MR'!$F$374</definedName>
    <definedName name="mgmt_cl01_az2_vsan_pg">'Value Reference Tables - MR'!$F$375</definedName>
    <definedName name="mgmt_cl01_cluster">'Value Reference Tables'!$C$77</definedName>
    <definedName name="mgmt_cl01_cluster_sddc_id">'Value Reference Tables'!$C$201</definedName>
    <definedName name="mgmt_cl01_evc_mode_chosen">'Deploy Management Domain'!$M$349</definedName>
    <definedName name="mgmt_cl01_nfs_server_bound_to_vmknic_chosen">'Deploy Management Domain'!$L$122</definedName>
    <definedName name="mgmt_cl01_nfs_server_ip">'Value Reference Tables'!$C$123</definedName>
    <definedName name="mgmt_cl01_nfs_share">'Value Reference Tables'!$C$122</definedName>
    <definedName name="mgmt_cl01_vds_profile_chosen">'Deploy Management Domain'!$L$183</definedName>
    <definedName name="mgmt_cl01_vds01_lacp_mode_chosen">'Deploy Management Domain'!$L$192</definedName>
    <definedName name="mgmt_cl01_vds01_lacp_timeout_chosen">'Deploy Management Domain'!$L$194</definedName>
    <definedName name="mgmt_cl01_vds01_lag_lbt_chosen">'Deploy Management Domain'!$L$193</definedName>
    <definedName name="mgmt_cl01_vds01_lag_name">'Value Reference Tables'!$C$97</definedName>
    <definedName name="mgmt_cl01_vds01_link_type_chosen">'Deploy Management Domain'!$L$190</definedName>
    <definedName name="mgmt_cl01_vds01_mtu">'Value Reference Tables'!$C$96</definedName>
    <definedName name="mgmt_cl01_vds01_name">'Value Reference Tables'!$C$92</definedName>
    <definedName name="mgmt_cl01_vds01_pnics">'Value Reference Tables'!$C$93:$C$94</definedName>
    <definedName name="mgmt_cl01_vds01_uplink_count">'Value Reference Tables'!$C$95</definedName>
    <definedName name="mgmt_cl01_vds01_uplink1">'Value Reference Tables'!$C$93</definedName>
    <definedName name="mgmt_cl01_vds01_uplink2">'Value Reference Tables'!$C$94</definedName>
    <definedName name="mgmt_cl01_vds02_lacp_mode_chosen">'Deploy Management Domain'!$L$203</definedName>
    <definedName name="mgmt_cl01_vds02_lacp_timeout_chosen">'Deploy Management Domain'!$L$205</definedName>
    <definedName name="mgmt_cl01_vds02_lag_lbt_chosen">'Deploy Management Domain'!$L$204</definedName>
    <definedName name="mgmt_cl01_vds02_lag_name">'Value Reference Tables'!$C$104</definedName>
    <definedName name="mgmt_cl01_vds02_link_type_chosen">'Deploy Management Domain'!$L$201</definedName>
    <definedName name="mgmt_cl01_vds02_mtu">'Value Reference Tables'!$C$103</definedName>
    <definedName name="mgmt_cl01_vds02_name">'Value Reference Tables'!$C$99</definedName>
    <definedName name="mgmt_cl01_vds02_pnics">'Value Reference Tables'!$C$100:$C$101</definedName>
    <definedName name="mgmt_cl01_vds02_uplink_count">'Value Reference Tables'!$C$102</definedName>
    <definedName name="mgmt_cl01_vds02_uplink1">'Value Reference Tables'!$C$100</definedName>
    <definedName name="mgmt_cl01_vds02_uplink2">'Value Reference Tables'!$C$101</definedName>
    <definedName name="mgmt_cl01_vds03_lacp_mode_chosen">'Deploy Management Domain'!$L$214</definedName>
    <definedName name="mgmt_cl01_vds03_lacp_timeout_chosen">'Deploy Management Domain'!$L$216</definedName>
    <definedName name="mgmt_cl01_vds03_lag_lbt_chosen">'Deploy Management Domain'!$L$215</definedName>
    <definedName name="mgmt_cl01_vds03_lag_name">'Value Reference Tables'!$C$111</definedName>
    <definedName name="mgmt_cl01_vds03_link_type_chosen">'Deploy Management Domain'!$L$211</definedName>
    <definedName name="mgmt_cl01_vds03_mtu">'Value Reference Tables'!$C$110</definedName>
    <definedName name="mgmt_cl01_vds03_name">'Value Reference Tables'!$C$106</definedName>
    <definedName name="mgmt_cl01_vds03_pnics">'Value Reference Tables'!$C$107:$C$108</definedName>
    <definedName name="mgmt_cl01_vds03_uplink_count">'Value Reference Tables'!$C$109</definedName>
    <definedName name="mgmt_cl01_vds03_uplink1">'Value Reference Tables'!$C$107</definedName>
    <definedName name="mgmt_cl01_vds03_uplink2">'Value Reference Tables'!$C$108</definedName>
    <definedName name="mgmt_cl01_vsan_datastore">'Value Reference Tables'!$C$119</definedName>
    <definedName name="mgmt_cl01_vsan_dedupe_compression_chosen">'Deploy Management Domain'!$L$119</definedName>
    <definedName name="mgmt_cl01_vsan_ftt_chosen">'Deploy Management Domain'!$L$118</definedName>
    <definedName name="mgmt_consolidated_result">'Value Reference Tables'!$AA$107</definedName>
    <definedName name="mgmt_datacenter">'Value Reference Tables'!$C$76</definedName>
    <definedName name="mgmt_domain_chosen">'VCF &amp; VVF Planning'!$J$18</definedName>
    <definedName name="mgmt_domain_deployment_type_chosen">'VCF &amp; VVF Planning'!$J$17</definedName>
    <definedName name="mgmt_domain_deployment_type_result">'VCF &amp; VVF Planning'!$L$17</definedName>
    <definedName name="mgmt_domain_existing_nsx_manager_chosen">'Deploy Management Domain'!$L$32</definedName>
    <definedName name="mgmt_domain_existing_vcenter_chosen">'Deploy Management Domain'!$L$31</definedName>
    <definedName name="mgmt_domain_existing_vcf_operations_chosen">'Deploy Management Domain'!$L$30</definedName>
    <definedName name="mgmt_domain_ops_automation_later_chosen">'Deploy Management Domain'!$L$40</definedName>
    <definedName name="mgmt_domain_password_creation_chosen">'Deploy Management Domain'!$L$49</definedName>
    <definedName name="mgmt_domain_result">'VCF &amp; VVF Planning'!$L$18</definedName>
    <definedName name="mgmt_domain_vcf_automation_later_chosen">'Deploy Management Domain'!$L$77</definedName>
    <definedName name="mgmt_domain_vcf_operations_ha_mode_chosen">'Deploy Management Domain'!$L$41</definedName>
    <definedName name="mgmt_dpg_reuse_chosen">'Deploy Management Domain'!$L$153</definedName>
    <definedName name="mgmt_dpg_reuse_result">'Value Reference Tables'!$C$136</definedName>
    <definedName name="mgmt_ec_api_chosen">'Configure Management Domain'!$D$191</definedName>
    <definedName name="mgmt_ec_gateway_type">'Value Reference Tables'!$C$128</definedName>
    <definedName name="mgmt_ec_mtu">'Value Reference Tables'!$C$130</definedName>
    <definedName name="mgmt_ec_name">'Value Reference Tables'!$O$15</definedName>
    <definedName name="mgmt_ec_rp_name">'Value Reference Tables'!$C$131</definedName>
    <definedName name="mgmt_ec01_en01_host_group_affinity_rule_name">'Value Reference Tables'!$C$133</definedName>
    <definedName name="mgmt_ec01_en02_host_group_affinity_rule_name">'Value Reference Tables'!$C$134</definedName>
    <definedName name="mgmt_ec01_host_group_affinity_rule_chosen">'Configure Management Domain'!$D$102</definedName>
    <definedName name="mgmt_ec01_use_host_overlay_chosen">'Configure Management Domain'!$D$109</definedName>
    <definedName name="mgmt_edge_vm_folder">'Value Reference Tables'!$O$36</definedName>
    <definedName name="mgmt_en_asn">'Value Reference Tables - MR'!$F$100</definedName>
    <definedName name="mgmt_en01_bfd_chosen">'Configure Management Domain'!$D$161</definedName>
    <definedName name="mgmt_en02_bfd_chosen">'Configure Management Domain'!$D$176</definedName>
    <definedName name="mgmt_existing_active_nsx_gm">Arkham!$C$49</definedName>
    <definedName name="mgmt_existing_cross_instance_t0_name">Arkham!$C$50</definedName>
    <definedName name="mgmt_flt_fm_reuse_password_chosen">'Deploy Management Domain'!$L$66</definedName>
    <definedName name="mgmt_gateway_routing_type_chosen">'Configure Management Domain'!$D$155</definedName>
    <definedName name="mgmt_host_overlay_addressing_chosen">'Deploy Management Domain'!$L$254</definedName>
    <definedName name="mgmt_internet_proxy_address">'Value Reference Tables'!$O$55</definedName>
    <definedName name="mgmt_internet_proxy_auth_chosen">'Deploy Management Domain'!$L$17</definedName>
    <definedName name="mgmt_internet_proxy_chosen">'Deploy Management Domain'!$L$13</definedName>
    <definedName name="mgmt_internet_proxy_email">'Value Reference Tables'!$L$37</definedName>
    <definedName name="mgmt_internet_proxy_password">'Value Reference Tables'!$L$38</definedName>
    <definedName name="mgmt_internet_proxy_port">'Value Reference Tables'!$O$56</definedName>
    <definedName name="mgmt_internet_proxy_type_chosen">'Deploy Management Domain'!$L$14</definedName>
    <definedName name="mgmt_mgmt_rp">'Value Reference Tables'!$C$79</definedName>
    <definedName name="mgmt_mgmt_vm_folder">'Value Reference Tables'!$O$34</definedName>
    <definedName name="mgmt_nsx_default_operation_mode_chosen">'Deploy Management Domain'!$L$246</definedName>
    <definedName name="mgmt_nsx_operation_mode_chosen">'Deploy Management Domain'!$L$247</definedName>
    <definedName name="mgmt_nsx_rp">'Value Reference Tables'!$C$80</definedName>
    <definedName name="mgmt_nsx_vm_folder">'Value Reference Tables'!$O$35</definedName>
    <definedName name="mgmt_nsxt_appliance_size_chosen">'Deploy Management Domain'!$L$103</definedName>
    <definedName name="mgmt_nsxt_en_admin_password">'Value Reference Tables'!$C$232</definedName>
    <definedName name="mgmt_nsxt_en_root_password">'Value Reference Tables'!$C$233</definedName>
    <definedName name="mgmt_nsxt_enable_edge_sync_chosen">'Deploy Management Domain'!$L$111</definedName>
    <definedName name="mgmt_nsxt_federation_chosen">'Configure Management Domain'!$B$16</definedName>
    <definedName name="mgmt_nsxt_federation_global_manager_name">'Value Reference Tables'!$O$23</definedName>
    <definedName name="mgmt_nsxt_federation_location_name">'Value Reference Tables'!$O$24</definedName>
    <definedName name="mgmt_nsxt_federation_result">'Configure Management Domain'!$D$16</definedName>
    <definedName name="mgmt_nsxt_global_mgr_anti_affinity_rule_name">'Value Reference Tables'!$O$21</definedName>
    <definedName name="mgmt_nsxt_global_mgr_certificate_id">'Value Reference Tables'!$O$22</definedName>
    <definedName name="mgmt_nsxt_global_mgr_cluster_id">'Value Reference Tables'!$O$20</definedName>
    <definedName name="mgmt_nsxt_global_mgr_vmca_signed_thumbprint">'Value Reference Tables'!$O$19</definedName>
    <definedName name="mgmt_nsxt_global_mgra_fqdn">'Value Reference Tables'!$C$61</definedName>
    <definedName name="mgmt_nsxt_global_mgra_hostname">'Value Reference Tables'!$C$45</definedName>
    <definedName name="mgmt_nsxt_global_mgra_ip">'Value Reference Tables'!$C$22</definedName>
    <definedName name="mgmt_nsxt_global_mgrb_fqdn">'Value Reference Tables'!$C$62</definedName>
    <definedName name="mgmt_nsxt_global_mgrb_hostname">'Value Reference Tables'!$C$46</definedName>
    <definedName name="mgmt_nsxt_global_mgrb_ip">'Value Reference Tables'!$C$23</definedName>
    <definedName name="mgmt_nsxt_global_mgrc_fqdn">'Value Reference Tables'!$C$63</definedName>
    <definedName name="mgmt_nsxt_global_mgrc_hostname">'Value Reference Tables'!$C$47</definedName>
    <definedName name="mgmt_nsxt_global_mgrc_ip">'Value Reference Tables'!$C$24</definedName>
    <definedName name="mgmt_nsxt_gm_fingerprint">'Value Reference Tables'!$O$26</definedName>
    <definedName name="mgmt_nsxt_gm_hostname">'Value Reference Tables'!$C$44</definedName>
    <definedName name="mgmt_nsxt_gm_vip_fqdn">'Value Reference Tables'!$C$60</definedName>
    <definedName name="mgmt_nsxt_gm_vip_ip">'Value Reference Tables'!$C$21</definedName>
    <definedName name="mgmt_nsxt_hostname">'Value Reference Tables'!$C$40</definedName>
    <definedName name="mgmt_nsxt_lm_fingerprint">'Value Reference Tables'!$O$25</definedName>
    <definedName name="mgmt_nsxt_mgr_formfactor">'Value Reference Tables'!$O$14</definedName>
    <definedName name="mgmt_nsxt_mgra_fqdn">'Value Reference Tables'!$C$57</definedName>
    <definedName name="mgmt_nsxt_mgra_hostname">'Value Reference Tables'!$C$41</definedName>
    <definedName name="mgmt_nsxt_mgra_ip">'Value Reference Tables'!$C$18</definedName>
    <definedName name="mgmt_nsxt_mgrb_fqdn">'Value Reference Tables'!$C$58</definedName>
    <definedName name="mgmt_nsxt_mgrb_hostname">'Value Reference Tables'!$C$42</definedName>
    <definedName name="mgmt_nsxt_mgrb_ip">'Value Reference Tables'!$C$19</definedName>
    <definedName name="mgmt_nsxt_mgrc_fqdn">'Value Reference Tables'!$C$59</definedName>
    <definedName name="mgmt_nsxt_mgrc_hostname">'Value Reference Tables'!$C$43</definedName>
    <definedName name="mgmt_nsxt_mgrc_ip">'Value Reference Tables'!$C$20</definedName>
    <definedName name="mgmt_nsxt_vip_fqdn">'Value Reference Tables'!$C$56</definedName>
    <definedName name="mgmt_nsxt_vip_ip">'Value Reference Tables'!$C$17</definedName>
    <definedName name="mgmt_nsxt_xreg_t1_name">'Value Reference Tables'!$O$27</definedName>
    <definedName name="mgmt_offline_depot_chosen">'Deploy Management Domain'!$L$9</definedName>
    <definedName name="mgmt_offline_depot_fqdn">'Value Reference Tables'!$O$58</definedName>
    <definedName name="mgmt_offline_depot_port">'Value Reference Tables'!$O$59</definedName>
    <definedName name="mgmt_ops_collector_reuse_password_chosen">'Deploy Management Domain'!$L$71</definedName>
    <definedName name="mgmt_principal_storage_chosen">'Deploy Management Domain'!$L$116</definedName>
    <definedName name="mgmt_recovery_lb_creation_method">'Value Reference Tables'!$U$64</definedName>
    <definedName name="mgmt_rtep_overlay_pool_end_ip">'Value Reference Tables - MR'!$F$162</definedName>
    <definedName name="mgmt_rtep_overlay_pool_start_ip">'Value Reference Tables - MR'!$F$161</definedName>
    <definedName name="mgmt_rwr_recovery_site_az1_mgmt_cidr">'Value Reference Tables'!$U$209</definedName>
    <definedName name="mgmt_rwr_vc_fqdn">'Value Reference Tables'!$U$191</definedName>
    <definedName name="mgmt_sddc_domain">'Value Reference Tables'!$O$8</definedName>
    <definedName name="mgmt_signed_certs_chosen">'Configure Management Domain'!$B$12</definedName>
    <definedName name="mgmt_signed_certs_result">'Configure Management Domain'!$D$12</definedName>
    <definedName name="mgmt_srm_admin_email">'Value Reference Tables'!$U$78</definedName>
    <definedName name="mgmt_srm_admin_password">'Value Reference Tables'!$U$75</definedName>
    <definedName name="mgmt_srm_database_password">'Value Reference Tables'!$U$76</definedName>
    <definedName name="mgmt_srm_days">'Value Reference Tables'!$U$83</definedName>
    <definedName name="mgmt_srm_fqdn">'Value Reference Tables'!$R$125</definedName>
    <definedName name="mgmt_srm_instances_per_day">'Value Reference Tables'!$U$82</definedName>
    <definedName name="mgmt_srm_ip">'Value Reference Tables'!$R$103</definedName>
    <definedName name="mgmt_srm_logs_rp">'Value Reference Tables'!$O$124</definedName>
    <definedName name="mgmt_srm_net_rp">'Value Reference Tables'!$O$123</definedName>
    <definedName name="mgmt_srm_p12_password">'Value Reference Tables'!$U$79</definedName>
    <definedName name="mgmt_srm_recovery_cluster">'Value Reference Tables'!$U$96</definedName>
    <definedName name="mgmt_srm_recovery_datastore">'Value Reference Tables'!$U$97</definedName>
    <definedName name="mgmt_srm_recovery_gateway">'Value Reference Tables'!$O$126</definedName>
    <definedName name="mgmt_srm_recovery_mask">'Value Reference Tables'!$O$127</definedName>
    <definedName name="mgmt_srm_recovery_nsx_ec_name">'Value Reference Tables'!$U$95</definedName>
    <definedName name="mgmt_srm_recovery_nsx_location">'Value Reference Tables'!$U$94</definedName>
    <definedName name="mgmt_srm_recovery_pg">'Value Reference Tables'!$O$125</definedName>
    <definedName name="mgmt_srm_recovery_sddc_manager_domain">'Value Reference Tables'!$U$93</definedName>
    <definedName name="mgmt_srm_recovery_sddc_manager_fqdn">'Value Reference Tables'!$U$52</definedName>
    <definedName name="mgmt_srm_recovery_sddc_manager_password">'Value Reference Tables'!$U$54</definedName>
    <definedName name="mgmt_srm_recovery_sddc_manager_username">'Value Reference Tables'!$U$53</definedName>
    <definedName name="mgmt_srm_recovery_t1_si_ip">'Value Reference Tables'!$R$104</definedName>
    <definedName name="mgmt_srm_recovery_vcenter_fqdn">'Value Reference Tables'!$U$90</definedName>
    <definedName name="mgmt_srm_recovery_vcenter_password">'Value Reference Tables'!$U$92</definedName>
    <definedName name="mgmt_srm_recovery_vcenter_username">'Value Reference Tables'!$U$91</definedName>
    <definedName name="mgmt_srm_root_password">'Value Reference Tables'!$U$74</definedName>
    <definedName name="mgmt_srm_rpo">'Value Reference Tables'!$U$81</definedName>
    <definedName name="mgmt_srm_site_name">'Value Reference Tables'!$U$77</definedName>
    <definedName name="mgmt_srm_sso_domain_membership">'Value Reference Tables'!$U$99</definedName>
    <definedName name="mgmt_srm_vm_folder">'Value Reference Tables'!$U$73</definedName>
    <definedName name="mgmt_srm_vm_size">'Value Reference Tables'!$U$80</definedName>
    <definedName name="mgmt_srm_vm_size_chosen">'Management Domain Sizing'!$F$71</definedName>
    <definedName name="mgmt_srm_vra_pg">'Value Reference Tables'!$U$88</definedName>
    <definedName name="mgmt_srm_vra_rp">'Value Reference Tables'!$U$89</definedName>
    <definedName name="mgmt_srm_vrops_pg">'Value Reference Tables'!$U$86</definedName>
    <definedName name="mgmt_srm_vrops_rp">'Value Reference Tables'!$U$87</definedName>
    <definedName name="mgmt_srm_vrslcm_wsa_pg">'Value Reference Tables'!$U$84</definedName>
    <definedName name="mgmt_srm_vrslcm_wsa_rp">'Value Reference Tables'!$U$85</definedName>
    <definedName name="mgmt_sso_domain">'Value Reference Tables'!$C$84</definedName>
    <definedName name="mgmt_sso_domain_username">'Value Reference Tables'!$C$85</definedName>
    <definedName name="mgmt_stretched_cluster_chosen">'Configure Management Domain'!$B$15</definedName>
    <definedName name="mgmt_stretched_cluster_result">'Configure Management Domain'!$D$15</definedName>
    <definedName name="mgmt_tier0_ha_chosen">'Configure Management Domain'!$D$154</definedName>
    <definedName name="mgmt_tier0_name">'Value Reference Tables'!$O$17</definedName>
    <definedName name="mgmt_tier0_skip_chosen">'Configure Management Domain'!$D$152</definedName>
    <definedName name="mgmt_tier1_name">'Value Reference Tables'!$O$18</definedName>
    <definedName name="mgmt_user_edge_rp">'Value Reference Tables'!$C$81</definedName>
    <definedName name="mgmt_user_vm_rp">'Value Reference Tables'!$C$82</definedName>
    <definedName name="mgmt_vc_fqdn">'Value Reference Tables'!$C$55</definedName>
    <definedName name="mgmt_vc_hostname">'Value Reference Tables'!$C$39</definedName>
    <definedName name="mgmt_vc_ip">'Value Reference Tables'!$C$16</definedName>
    <definedName name="mgmt_vc_size">'Value Reference Tables'!$O$11</definedName>
    <definedName name="mgmt_vc_storage_size">'Value Reference Tables'!$O$12</definedName>
    <definedName name="mgmt_vcenter_appliance_size_chosen">'Deploy Management Domain'!$L$91</definedName>
    <definedName name="mgmt_vcf_installer_location_chosen">'Deploy Management Domain'!$L$265</definedName>
    <definedName name="mgmt_vcf_management_network_chosen">Arkham!$P$5</definedName>
    <definedName name="mgmt_vcfops_appliance_size_chosen">'Deploy Management Domain'!$L$56</definedName>
    <definedName name="mgmt_vnaa_fqdn">Arkham!$R$49</definedName>
    <definedName name="mgmt_vnaa_ip">Arkham!$R$47</definedName>
    <definedName name="mgmt_vnab_fqdn">Arkham!$R$50</definedName>
    <definedName name="mgmt_vnab_ip">Arkham!$R$48</definedName>
    <definedName name="mgmt_vns_chosen">'Configure Management Domain'!$B$13</definedName>
    <definedName name="mgmt_vns_result">'Configure Management Domain'!$D$13</definedName>
    <definedName name="mgmt_vpc_ext_ip_blocks">'Value Reference Tables'!$O$32</definedName>
    <definedName name="mgmt_vpc_transit_gateway_ip_blocks">'Value Reference Tables'!$O$33</definedName>
    <definedName name="mgmt_vrms_admin_email">'Value Reference Tables'!$U$69</definedName>
    <definedName name="mgmt_vrms_admin_password">'Value Reference Tables'!$U$67</definedName>
    <definedName name="mgmt_vrms_hostname">'Value Reference Tables'!$R$114</definedName>
    <definedName name="mgmt_vrms_mgmt_ip">'Value Reference Tables'!$R$101</definedName>
    <definedName name="mgmt_vrms_p12_password">'Value Reference Tables'!$U$71</definedName>
    <definedName name="mgmt_vrms_pg">'Value Reference Tables'!$U$70</definedName>
    <definedName name="mgmt_vrms_recovery_replication_cidr">'Value Reference Tables'!$U$98</definedName>
    <definedName name="mgmt_vrms_root_password">'Value Reference Tables'!$U$66</definedName>
    <definedName name="mgmt_vrms_site_name">'Value Reference Tables'!$U$68</definedName>
    <definedName name="mgmt_vrms_vm_folder">'Value Reference Tables'!$U$65</definedName>
    <definedName name="mgmt_vrms_vrms_ip">'Value Reference Tables'!$R$102</definedName>
    <definedName name="mgmt_witness_az_mgmt_mask">'Value Reference Tables'!$AA$37</definedName>
    <definedName name="mgmt_witness_cluster">'Value Reference Tables'!$C$208</definedName>
    <definedName name="mgmt_witness_dns1_ip">'Value Reference Tables'!$C$215</definedName>
    <definedName name="mgmt_witness_dns2_ip">'Value Reference Tables'!$C$216</definedName>
    <definedName name="mgmt_witness_fqdn">'Value Reference Tables'!$C$72</definedName>
    <definedName name="mgmt_witness_hostname">'Value Reference Tables'!$C$193</definedName>
    <definedName name="mgmt_witness_ip">'Value Reference Tables'!$L$176</definedName>
    <definedName name="mgmt_witness_mgmt_pg">'Value Reference Tables'!$X$36</definedName>
    <definedName name="mgmt_witness_ntp1_server">'Value Reference Tables'!$C$217</definedName>
    <definedName name="mgmt_witness_ntp2_server">'Value Reference Tables'!$C$218</definedName>
    <definedName name="mgmt_witness_root_password">'Value Reference Tables'!$L$34</definedName>
    <definedName name="mgmt_witness_sddc_domain">'Value Reference Tables'!$C$206</definedName>
    <definedName name="mgmt_witness_vc_fqdn">'Value Reference Tables'!$C$71</definedName>
    <definedName name="mgmt_witness_vcenter_fqdn">'Value Reference Tables'!$L$167</definedName>
    <definedName name="mgmt_witness_vcenter_hostname">'Value Reference Tables'!$C$192</definedName>
    <definedName name="mgmt_witness_vm_folder">'Value Reference Tables'!$C$209</definedName>
    <definedName name="mgmt_witness_vsan_datastore">'Value Reference Tables'!$C$207</definedName>
    <definedName name="mgmt_witness_zone_vc_fqdn">'Value Reference Tables'!$L$168</definedName>
    <definedName name="mgmt_witness_zone_vc_hostname">'Value Reference Tables'!$L$169</definedName>
    <definedName name="mgmt_witness_zone_vc_ip">'Value Reference Tables'!$C$213</definedName>
    <definedName name="mgmt_witnessaz_cidr">'Value Reference Tables'!$X$40</definedName>
    <definedName name="mgmt_witnessaz_gateway_ip">'Value Reference Tables'!$X$44</definedName>
    <definedName name="mgmt_witnessaz_mgmt_cidr">'Value Reference Tables'!$L$177</definedName>
    <definedName name="mgmt_witnessaz_mgmt_gateway_ip">'Value Reference Tables'!$L$178</definedName>
    <definedName name="mgmt_witnessaz_mgmt_mask">'Value Reference Tables'!$L$175</definedName>
    <definedName name="mgmt_witnessaz_mgmt_mtu">'Value Reference Tables'!$X$48</definedName>
    <definedName name="mgmt_witnessaz_mgmt_network">'Value Reference Tables'!$L$173</definedName>
    <definedName name="mgmt_witnessaz_mgmt_vlan">'Value Reference Tables'!$X$32</definedName>
    <definedName name="mgmt_witnessaz_mtu">'Value Reference Tables'!$L$170</definedName>
    <definedName name="mgmt_witnessaz_vlan">'Value Reference Tables'!$L$171</definedName>
    <definedName name="navigation_apply_signed_certs_mgmt_domain">'Configure Management Domain'!$B$30</definedName>
    <definedName name="navigation_apply_signed_certs_wld_domain">'Configure Workload Domain'!$B$9</definedName>
    <definedName name="navigation_avi_lb_mgmt_domain">'Configure Management Domain'!$B$204</definedName>
    <definedName name="navigation_avi_lb_wld_domain">'Configure Workload Domain'!$B$147</definedName>
    <definedName name="navigation_configure_sftp_mgmt_domain">'Configure Management Domain'!$B$18</definedName>
    <definedName name="navigation_mgmt_configure_auth">'Deploy Fleet Management Day-N'!$B$118</definedName>
    <definedName name="navigation_nsx_federation_for_management_domain">'Configure Management Domain'!$B$395</definedName>
    <definedName name="navigation_nsx_federation_for_wld_domain">'Configure Workload Domain'!$B$356</definedName>
    <definedName name="navigation_nsx_routing_mgmt_domain">'Configure Management Domain'!$B$86</definedName>
    <definedName name="navigation_nsx_routing_wld_domain">'Configure Workload Domain'!$B$29</definedName>
    <definedName name="navigation_site_protection_mgmt">'Site Protection &amp; DR'!$B$8</definedName>
    <definedName name="navigation_site_protection_solution_interop">'Site Protection &amp; DR'!$B$367</definedName>
    <definedName name="navigation_site_protection_wld">'Dumping Ground'!$B$217</definedName>
    <definedName name="navigation_stretched_cluster_mgmt_domain">'Configure Management Domain'!$B$220</definedName>
    <definedName name="navigation_stretched_cluster_wld_domain">'Configure Workload Domain'!$B$163</definedName>
    <definedName name="navigation_vcf_and_vvf_planning_tab">'VCF &amp; VVF Planning'!$A$1</definedName>
    <definedName name="navlink_input_ca_values">'Configure Management Domain'!$B$57</definedName>
    <definedName name="non_first_domain_mgmt_only_viable">'Value Reference Tables'!$AA$102</definedName>
    <definedName name="non_first_domain_mgmt_vi_viable">'Value Reference Tables'!$AA$103</definedName>
    <definedName name="nsx_sizing_limits">'Static Reference Tables'!$E$34:$G$38</definedName>
    <definedName name="nsxt_en_admin_password">'Value Reference Tables'!$L$20</definedName>
    <definedName name="nsxt_en_root_password">'Value Reference Tables'!$L$19</definedName>
    <definedName name="nsxt_gm_admin_password">'Value Reference Tables'!$L$22</definedName>
    <definedName name="nsxt_gm_audit_password">'Value Reference Tables'!$L$23</definedName>
    <definedName name="nsxt_gm_root_password">'Value Reference Tables'!$L$21</definedName>
    <definedName name="nsxt_lm_admin_password">'Value Reference Tables'!$L$17</definedName>
    <definedName name="nsxt_lm_audit_password">'Value Reference Tables'!$L$18</definedName>
    <definedName name="nsxt_lm_root_password">'Value Reference Tables'!$L$16</definedName>
    <definedName name="other_instance">'Value Reference Tables'!$AA$60</definedName>
    <definedName name="other_prefix_mgmt_stretched_cidr">'Value Reference Tables'!$AA$86</definedName>
    <definedName name="other_prefix_wld_stretched_cidr">'Value Reference Tables'!$AA$87</definedName>
    <definedName name="parent_ad_groups_ou">'Value Reference Tables'!$L$82</definedName>
    <definedName name="parent_ad_users_ou">'Value Reference Tables'!$L$87</definedName>
    <definedName name="parent_dns_zone">'Value Reference Tables'!$L$66</definedName>
    <definedName name="pnp_version_history">Arkham!$B$2</definedName>
    <definedName name="pnp_version_number">'Value Reference Tables'!$C$11</definedName>
    <definedName name="prefix_flt_shared_cidr">'Value Reference Tables'!$AA$88</definedName>
    <definedName name="prefix_mgmt_az1_cidr">'Value Reference Tables'!$AA$63</definedName>
    <definedName name="prefix_mgmt_az1_vlan">'Value Reference Tables'!$AA$62</definedName>
    <definedName name="prefix_mgmt_az2_cidr">'Value Reference Tables'!$AA$65</definedName>
    <definedName name="prefix_mgmt_az2_vlan">'Value Reference Tables'!$AA$64</definedName>
    <definedName name="prefix_mgmt_stretched_cidr">'Value Reference Tables'!$AA$67</definedName>
    <definedName name="prefix_mgmt_stretched_vlan">'Value Reference Tables'!$AA$66</definedName>
    <definedName name="prefix_mgmt_tor_asn">'Value Reference Tables'!$AA$72</definedName>
    <definedName name="prefix_mgmt_witness_cidr">'Value Reference Tables'!$AA$71</definedName>
    <definedName name="prefix_mgmt_witness_vlan">'Value Reference Tables'!$AA$70</definedName>
    <definedName name="prefix_other_region_az1_cidr">'Value Reference Tables'!$AA$84</definedName>
    <definedName name="prefix_portable_component">'Value Reference Tables'!$AA$85</definedName>
    <definedName name="prefix_reg_cidr">'Value Reference Tables'!$AA$68</definedName>
    <definedName name="prefix_wld_az1_cidr">'Value Reference Tables'!$AA$74</definedName>
    <definedName name="prefix_wld_az1_rack_cidr">'Value Reference Tables - MR'!$AH$9</definedName>
    <definedName name="prefix_wld_az1_rack_vlan">'Value Reference Tables - MR'!$AH$7</definedName>
    <definedName name="prefix_wld_az1_vlan">'Value Reference Tables'!$AA$73</definedName>
    <definedName name="prefix_wld_az2_cidr">'Value Reference Tables'!$AA$77</definedName>
    <definedName name="prefix_wld_az2_rack_cidr">'Value Reference Tables - MR'!$AH$10</definedName>
    <definedName name="prefix_wld_az2_rack_vlan">'Value Reference Tables - MR'!$AH$8</definedName>
    <definedName name="prefix_wld_az2_vlan">'Value Reference Tables'!$AA$76</definedName>
    <definedName name="prefix_wld_k8s_cidr">'Value Reference Tables'!$AA$83</definedName>
    <definedName name="prefix_wld_stretched_cidr">'Value Reference Tables'!$AA$79</definedName>
    <definedName name="prefix_wld_stretched_vlan">'Value Reference Tables'!$AA$78</definedName>
    <definedName name="prefix_wld_tor_asn">'Value Reference Tables'!$AA$82</definedName>
    <definedName name="prefix_wld_witness_cidr">'Value Reference Tables'!$AA$81</definedName>
    <definedName name="prefix_wld_witness_vlan">'Value Reference Tables'!$AA$80</definedName>
    <definedName name="prefix_xreg_cidr">'Value Reference Tables'!$AA$69</definedName>
    <definedName name="protected_mgmt_result">'Value Reference Tables'!$AA$97</definedName>
    <definedName name="protected_wld_result">'Value Reference Tables'!$AA$99</definedName>
    <definedName name="recovery_mgmt_result">'Value Reference Tables'!$AA$98</definedName>
    <definedName name="reg_seg01_mask_overlay_backed">'Value Reference Tables'!$AA$40</definedName>
    <definedName name="region_ad_child_fqdn">'Value Reference Tables'!$L$73</definedName>
    <definedName name="region_ad_child_netbios">'Value Reference Tables'!$L$78</definedName>
    <definedName name="region_ad_parent_fqdn">'Value Reference Tables'!$L$72</definedName>
    <definedName name="region_ad_parent_netbios">'Value Reference Tables'!$L$77</definedName>
    <definedName name="region_dns1_ip">'Value Reference Tables'!$L$51</definedName>
    <definedName name="region_dns2_ip">'Value Reference Tables'!$L$52</definedName>
    <definedName name="region_ntp_servers_array">'Value Reference Tables'!$L$44:$L$45</definedName>
    <definedName name="region_ntp1_server">'Value Reference Tables'!$L$44</definedName>
    <definedName name="region_ntp2_server">'Value Reference Tables'!$L$45</definedName>
    <definedName name="region_vrli_nodea_fqdn">'Value Reference Tables'!$R$71</definedName>
    <definedName name="region_vrli_nodea_hostname">'Value Reference Tables'!$R$64</definedName>
    <definedName name="region_vrli_nodea_ip">'Value Reference Tables'!$R$57</definedName>
    <definedName name="region_vrli_nodeb_fqdn">'Value Reference Tables'!$R$72</definedName>
    <definedName name="region_vrli_nodeb_hostname">'Value Reference Tables'!$R$65</definedName>
    <definedName name="region_vrli_nodeb_ip">'Value Reference Tables'!$R$58</definedName>
    <definedName name="region_vrli_nodec_fqdn">'Value Reference Tables'!$R$73</definedName>
    <definedName name="region_vrli_nodec_hostname">'Value Reference Tables'!$R$66</definedName>
    <definedName name="region_vrli_nodec_ip">'Value Reference Tables'!$R$59</definedName>
    <definedName name="region_vrli_virtual_fqdn">'Value Reference Tables'!$R$70</definedName>
    <definedName name="region_vrli_virtual_hostname">'Value Reference Tables'!$R$63</definedName>
    <definedName name="region_vrli_virtual_ip">'Value Reference Tables'!$R$56</definedName>
    <definedName name="region_vrni_nodea_hostname">'Value Reference Tables'!$R$140</definedName>
    <definedName name="region_vrni_nodea_ip">'Value Reference Tables'!$R$135</definedName>
    <definedName name="rwr_child_dns_zone">'Value Reference Tables'!$U$199</definedName>
    <definedName name="rwr_chosen">'Management Domain Sizing'!$B$64</definedName>
    <definedName name="rwr_datacenter">'Value Reference Tables'!$U$203</definedName>
    <definedName name="rwr_result">'Management Domain Sizing'!$I$64</definedName>
    <definedName name="rwr_sso_domain_name">'Value Reference Tables'!$U$197</definedName>
    <definedName name="rwr_vlr_replication_password">'Value Reference Tables'!$U$200</definedName>
    <definedName name="rwr_vrms_pg">'Value Reference Tables'!$U$201</definedName>
    <definedName name="sample_administrator_vsphere_local_password">'Deploy Management Domain'!$K$97</definedName>
    <definedName name="sample_air_GPU_network_operator_namespace">'Private AI Ready Infrastructure'!$C$82</definedName>
    <definedName name="sample_air_GPU_operator_namespace">'Private AI Ready Infrastructure'!$C$77</definedName>
    <definedName name="sample_air_GPU_VM_class">'Private AI Ready Infrastructure'!$C$59</definedName>
    <definedName name="sample_air_license">'Private AI Ready Infrastructure'!$C$9</definedName>
    <definedName name="sample_avilb_root_password">'Configure Management Domain'!$C$212</definedName>
    <definedName name="sample_ca_administrator_password">'Configure Management Domain'!$C$35</definedName>
    <definedName name="sample_ca_administrator_username">'Configure Management Domain'!$C$34</definedName>
    <definedName name="sample_ca_algorithm">'Configure Management Domain'!$C$58</definedName>
    <definedName name="sample_ca_country">'Configure Management Domain'!$C$61</definedName>
    <definedName name="sample_ca_email_address">'Configure Management Domain'!$C$64</definedName>
    <definedName name="sample_ca_key_size">'Configure Management Domain'!$C$65</definedName>
    <definedName name="sample_ca_locality">'Configure Management Domain'!$C$63</definedName>
    <definedName name="sample_ca_organization">'Configure Management Domain'!$C$60</definedName>
    <definedName name="sample_ca_organization_unit">'Configure Management Domain'!$C$59</definedName>
    <definedName name="sample_ca_state">'Configure Management Domain'!$C$62</definedName>
    <definedName name="sample_ca_template_name">'Configure Management Domain'!$C$45</definedName>
    <definedName name="sample_cbr_aria_logs_key">'Cloud-Based Ransomware Recovery'!$C$39</definedName>
    <definedName name="sample_cbr_aria_logs_url">'Cloud-Based Ransomware Recovery'!$C$38</definedName>
    <definedName name="sample_cbr_firewall_group">'Cloud-Based Ransomware Recovery'!$C$26</definedName>
    <definedName name="sample_cbr_firewall_ip_addresses">'Cloud-Based Ransomware Recovery'!$C$27</definedName>
    <definedName name="sample_cbr_firewall_rule_vcenter">'Cloud-Based Ransomware Recovery'!$C$25</definedName>
    <definedName name="sample_cbr_recovery_host_count">'Cloud-Based Ransomware Recovery'!$C$21</definedName>
    <definedName name="sample_cbr_recovery_host_type">'Cloud-Based Ransomware Recovery'!$C$20</definedName>
    <definedName name="sample_cbr_recovery_management_subnet">'Cloud-Based Ransomware Recovery'!$C$24</definedName>
    <definedName name="sample_cbr_recovery_region">'Cloud-Based Ransomware Recovery'!$C$19</definedName>
    <definedName name="sample_cbr_recovery_sddc_name">'Cloud-Based Ransomware Recovery'!$C$18</definedName>
    <definedName name="sample_cbr_recovery_subnet">'Cloud-Based Ransomware Recovery'!$C$23</definedName>
    <definedName name="sample_cbr_recovery_vpc">'Cloud-Based Ransomware Recovery'!$C$22</definedName>
    <definedName name="sample_cbr_vcdr_anti_affinity">'Cloud-Based Ransomware Recovery'!$C$35</definedName>
    <definedName name="sample_cbr_vcdr_cdp1_hostname">'Cloud-Based Ransomware Recovery'!$D$9</definedName>
    <definedName name="sample_cbr_vcdr_cdp1_ip">'Cloud-Based Ransomware Recovery'!$F$9</definedName>
    <definedName name="sample_cbr_vcdr_cdp2_hostname">'Cloud-Based Ransomware Recovery'!$D$10</definedName>
    <definedName name="sample_cbr_vcdr_cdp2_ip">'Cloud-Based Ransomware Recovery'!$F$10</definedName>
    <definedName name="sample_cbr_vcdr_cloud_file_system">'Cloud-Based Ransomware Recovery'!$C$28</definedName>
    <definedName name="sample_cbr_vcdr_email_recipient">'Cloud-Based Ransomware Recovery'!$C$36</definedName>
    <definedName name="sample_cbr_vcdr_email_sender">'Cloud-Based Ransomware Recovery'!$C$37</definedName>
    <definedName name="sample_cbr_vcdr_label">'Cloud-Based Ransomware Recovery'!$C$34</definedName>
    <definedName name="sample_cbr_vcdr_orchestrator_fqdn">'Cloud-Based Ransomware Recovery'!$C$32</definedName>
    <definedName name="sample_cbr_vcdr_ova">'Cloud-Based Ransomware Recovery'!$C$31</definedName>
    <definedName name="sample_cbr_vcdr_passcode">'Cloud-Based Ransomware Recovery'!$C$33</definedName>
    <definedName name="sample_cbr_vcdr_site_name">'Cloud-Based Ransomware Recovery'!$C$29</definedName>
    <definedName name="sample_cbr_vcdr_timezone">'Cloud-Based Ransomware Recovery'!$C$30</definedName>
    <definedName name="sample_cbr_vcdr_vsphere_role">'Cloud-Based Ransomware Recovery'!$C$14</definedName>
    <definedName name="sample_cbr_vm_folder">'Cloud-Based Ransomware Recovery'!$C$17</definedName>
    <definedName name="sample_cbw_hcx_cdp_fqdn">'Cross Cloud Mobility'!$C$112</definedName>
    <definedName name="sample_ccm_aws_admin_password">'Cross Cloud Mobility'!$C$37</definedName>
    <definedName name="sample_ccm_aws_admin_ssouser">'Cross Cloud Mobility'!$C$36</definedName>
    <definedName name="sample_ccm_aws_host_count">'Cross Cloud Mobility'!$C$23</definedName>
    <definedName name="sample_ccm_aws_host_type">'Cross Cloud Mobility'!$C$22</definedName>
    <definedName name="sample_ccm_aws_management_subnet">'Cross Cloud Mobility'!$C$26</definedName>
    <definedName name="sample_ccm_aws_region">'Cross Cloud Mobility'!$C$21</definedName>
    <definedName name="sample_ccm_aws_sddc_name">'Cross Cloud Mobility'!$C$20</definedName>
    <definedName name="sample_ccm_aws_subnet">'Cross Cloud Mobility'!$C$25</definedName>
    <definedName name="sample_ccm_aws_vpc">'Cross Cloud Mobility'!$C$24</definedName>
    <definedName name="sample_ccm_firewall_group">'Cross Cloud Mobility'!$C$29</definedName>
    <definedName name="sample_ccm_firewall_ip_addresses">'Cross Cloud Mobility'!$C$30</definedName>
    <definedName name="sample_ccm_firewall_rule_hcx">'Cross Cloud Mobility'!$C$28</definedName>
    <definedName name="sample_ccm_firewall_rule_vcenter">'Cross Cloud Mobility'!$C$27</definedName>
    <definedName name="sample_ccm_hcx_admin_password">'Cross Cloud Mobility'!$C$33</definedName>
    <definedName name="sample_ccm_hcx_cdp_hostname">'Cross Cloud Mobility'!$D$9</definedName>
    <definedName name="sample_ccm_hcx_cdp_ip">'Cross Cloud Mobility'!$F$9</definedName>
    <definedName name="sample_ccm_hcx_compute_profile">'Cross Cloud Mobility'!$C$38</definedName>
    <definedName name="sample_ccm_hcx_dc_location">'Cross Cloud Mobility'!$C$32</definedName>
    <definedName name="sample_ccm_hcx_license">'Cross Cloud Mobility'!$C$31</definedName>
    <definedName name="sample_ccm_hcx_mgmt_network_ip_range">'Cross Cloud Mobility'!$D$11</definedName>
    <definedName name="sample_ccm_hcx_remote_url">'Cross Cloud Mobility'!$C$35</definedName>
    <definedName name="sample_ccm_hcx_resource_pool">'Cross Cloud Mobility'!$C$19</definedName>
    <definedName name="sample_ccm_hcx_root_password">'Cross Cloud Mobility'!$C$34</definedName>
    <definedName name="sample_ccm_hcx_service_mesh">'Cross Cloud Mobility'!$C$39</definedName>
    <definedName name="sample_ccm_hcx_vm_folder">'Cross Cloud Mobility'!$C$18</definedName>
    <definedName name="sample_ccm_hcx_vmotion_network_ip_range">'Cross Cloud Mobility'!$D$12</definedName>
    <definedName name="sample_ccm_hcx_vsphere_role">'Cross Cloud Mobility'!$C$16</definedName>
    <definedName name="sample_ccm_vm_folder">'Cross Cloud Mobility'!$C$17</definedName>
    <definedName name="sample_certificate_authority_fqdn">'Configure Management Domain'!$C$33</definedName>
    <definedName name="sample_certificate_authority_name">'Configure Management Domain'!$C$67</definedName>
    <definedName name="sample_child_ad_groups_ou">'Active Directory Inputs'!$D$11</definedName>
    <definedName name="sample_child_ad_users_ou">'Active Directory Inputs'!$F$11</definedName>
    <definedName name="sample_child_dns_zone">Arkham!$B$11</definedName>
    <definedName name="sample_child_svc_nsx_ad_password">'Active Directory Inputs'!$F$19</definedName>
    <definedName name="sample_child_svc_nsx_ad_user">'Active Directory Inputs'!$D$19</definedName>
    <definedName name="sample_child_svc_vsphere_ad_password">'Active Directory Inputs'!$F$18</definedName>
    <definedName name="sample_child_svc_vsphere_ad_user">'Active Directory Inputs'!$D$18</definedName>
    <definedName name="sample_cluster_az1_host_overlay_cidr">'Deploy Cluster'!$C$236</definedName>
    <definedName name="sample_cluster_az1_host_overlay_gateway_ip">'Deploy Cluster'!$C$239</definedName>
    <definedName name="sample_cluster_az1_host_overlay_network_pool_description">'Deploy Cluster'!$C$235</definedName>
    <definedName name="sample_cluster_az1_host_overlay_network_pool_name">'Deploy Cluster'!$C$234</definedName>
    <definedName name="sample_cluster_az1_host_overlay_network_profile_name">'Deploy Cluster'!$C$242</definedName>
    <definedName name="sample_cluster_az1_host_overlay_pool_end_ip">'Deploy Cluster'!$C$238</definedName>
    <definedName name="sample_cluster_az1_host_overlay_pool_start_ip">'Deploy Cluster'!$C$237</definedName>
    <definedName name="sample_cluster_az1_host_overlay_uplink_profile_name">'Deploy Cluster'!$C$246</definedName>
    <definedName name="sample_cluster_az1_host_overlay_vlan">'Deploy Cluster'!$C$231</definedName>
    <definedName name="sample_cluster_az1_host1_fqdn">'Deploy Cluster'!$C$84</definedName>
    <definedName name="sample_cluster_az1_host1_mgmt_ip">'Deploy Cluster'!$C$29</definedName>
    <definedName name="sample_cluster_az1_host10_fqdn">'Deploy Cluster'!$C$93</definedName>
    <definedName name="sample_cluster_az1_host10_mgmt_ip">'Deploy Cluster'!$C$38</definedName>
    <definedName name="sample_cluster_az1_host11_fqdn">'Deploy Cluster'!$C$94</definedName>
    <definedName name="sample_cluster_az1_host11_mgmt_ip">'Deploy Cluster'!$C$39</definedName>
    <definedName name="sample_cluster_az1_host12_fqdn">'Deploy Cluster'!$C$95</definedName>
    <definedName name="sample_cluster_az1_host12_mgmt_ip">'Deploy Cluster'!$C$40</definedName>
    <definedName name="sample_cluster_az1_host13_fqdn">'Deploy Cluster'!$C$96</definedName>
    <definedName name="sample_cluster_az1_host13_mgmt_ip">'Deploy Cluster'!$C$41</definedName>
    <definedName name="sample_cluster_az1_host14_fqdn">'Deploy Cluster'!$C$97</definedName>
    <definedName name="sample_cluster_az1_host14_mgmt_ip">'Deploy Cluster'!$C$42</definedName>
    <definedName name="sample_cluster_az1_host15_fqdn">'Deploy Cluster'!$C$98</definedName>
    <definedName name="sample_cluster_az1_host15_mgmt_ip">'Deploy Cluster'!$C$43</definedName>
    <definedName name="sample_cluster_az1_host16_fqdn">'Deploy Cluster'!$C$99</definedName>
    <definedName name="sample_cluster_az1_host16_mgmt_ip">'Deploy Cluster'!$C$44</definedName>
    <definedName name="sample_cluster_az1_host2_fqdn">'Deploy Cluster'!$C$85</definedName>
    <definedName name="sample_cluster_az1_host2_mgmt_ip">'Deploy Cluster'!$C$30</definedName>
    <definedName name="sample_cluster_az1_host3_fqdn">'Deploy Cluster'!$C$86</definedName>
    <definedName name="sample_cluster_az1_host3_mgmt_ip">'Deploy Cluster'!$C$31</definedName>
    <definedName name="sample_cluster_az1_host4_fqdn">'Deploy Cluster'!$C$87</definedName>
    <definedName name="sample_cluster_az1_host4_mgmt_ip">'Deploy Cluster'!$C$32</definedName>
    <definedName name="sample_cluster_az1_host5_fqdn">'Deploy Cluster'!$C$88</definedName>
    <definedName name="sample_cluster_az1_host5_mgmt_ip">'Deploy Cluster'!$C$33</definedName>
    <definedName name="sample_cluster_az1_host6_fqdn">'Deploy Cluster'!$C$89</definedName>
    <definedName name="sample_cluster_az1_host6_mgmt_ip">'Deploy Cluster'!$C$34</definedName>
    <definedName name="sample_cluster_az1_host7_fqdn">'Deploy Cluster'!$C$90</definedName>
    <definedName name="sample_cluster_az1_host7_mgmt_ip">'Deploy Cluster'!$C$35</definedName>
    <definedName name="sample_cluster_az1_host8_fqdn">'Deploy Cluster'!$C$91</definedName>
    <definedName name="sample_cluster_az1_host8_mgmt_ip">'Deploy Cluster'!$C$36</definedName>
    <definedName name="sample_cluster_az1_host9_fqdn">'Deploy Cluster'!$C$92</definedName>
    <definedName name="sample_cluster_az1_host9_mgmt_ip">'Deploy Cluster'!$C$37</definedName>
    <definedName name="sample_cluster_az1_mgmt_cidr">'Deploy Cluster'!$C$26</definedName>
    <definedName name="sample_cluster_az1_mgmt_gateway_ip">'Deploy Cluster'!$C$25</definedName>
    <definedName name="sample_cluster_az1_mgmt_mtu">'Deploy Cluster'!$C$27</definedName>
    <definedName name="sample_cluster_az1_mgmt_pg">'Deploy Cluster'!$C$200</definedName>
    <definedName name="sample_cluster_az1_mgmt_vlan">'Deploy Cluster'!$C$24</definedName>
    <definedName name="sample_cluster_az1_mgmt_vm_pg">'Deploy Cluster'!$C$205</definedName>
    <definedName name="sample_cluster_az1_nsx_uplink_count">'Deploy Cluster'!$C$243</definedName>
    <definedName name="sample_cluster_az1_nsx_uplink1">'Deploy Cluster'!$C$244</definedName>
    <definedName name="sample_cluster_az1_nsx_uplink1_active">'Deploy Cluster'!$C$248</definedName>
    <definedName name="sample_cluster_az1_nsx_uplink2">'Deploy Cluster'!$C$245</definedName>
    <definedName name="sample_cluster_az1_nsx_uplink2_active">'Deploy Cluster'!$C$249</definedName>
    <definedName name="sample_cluster_az1_pool_name">'Deploy Cluster'!$C$48</definedName>
    <definedName name="sample_cluster_az1_principal_storage_gateway_ip">'Deploy Cluster'!$C$62</definedName>
    <definedName name="sample_cluster_az1_principal_storage_mask">'Deploy Cluster'!$C$61</definedName>
    <definedName name="sample_cluster_az1_principal_storage_mtu">'Deploy Cluster'!$C$59</definedName>
    <definedName name="sample_cluster_az1_principal_storage_network">'Deploy Cluster'!$C$60</definedName>
    <definedName name="sample_cluster_az1_principal_storage_pg">'Deploy Cluster'!$C$215</definedName>
    <definedName name="sample_cluster_az1_principal_storage_pool_end_ip">'Deploy Cluster'!$C$64</definedName>
    <definedName name="sample_cluster_az1_principal_storage_pool_start_ip">'Deploy Cluster'!$C$63</definedName>
    <definedName name="sample_cluster_az1_principal_storage_vlan">'Deploy Cluster'!$C$58</definedName>
    <definedName name="sample_cluster_az1_secondary_storage_gateway_ip">'Deploy Cluster'!$C$70</definedName>
    <definedName name="sample_cluster_az1_secondary_storage_mask">'Deploy Cluster'!$C$69</definedName>
    <definedName name="sample_cluster_az1_secondary_storage_mtu">'Deploy Cluster'!$C$67</definedName>
    <definedName name="sample_cluster_az1_secondary_storage_network">'Deploy Cluster'!$C$68</definedName>
    <definedName name="sample_cluster_az1_secondary_storage_pool_end_ip">'Deploy Cluster'!$C$72</definedName>
    <definedName name="sample_cluster_az1_secondary_storage_pool_start_ip">'Deploy Cluster'!$C$71</definedName>
    <definedName name="sample_cluster_az1_secondary_storage_vlan">'Deploy Cluster'!$C$66</definedName>
    <definedName name="sample_cluster_az1_storage_cluster_gateway_ip">'Deploy Cluster'!$C$78</definedName>
    <definedName name="sample_cluster_az1_storage_cluster_mask">'Deploy Cluster'!$C$77</definedName>
    <definedName name="sample_cluster_az1_storage_cluster_mtu">'Deploy Cluster'!$C$75</definedName>
    <definedName name="sample_cluster_az1_storage_cluster_network">'Deploy Cluster'!$C$76</definedName>
    <definedName name="sample_cluster_az1_storage_cluster_pool_end_ip">'Deploy Cluster'!$C$80</definedName>
    <definedName name="sample_cluster_az1_storage_cluster_pool_start_ip">'Deploy Cluster'!$C$79</definedName>
    <definedName name="sample_cluster_az1_storage_cluster_vlan">'Deploy Cluster'!$C$74</definedName>
    <definedName name="sample_cluster_az1_vmotion_gateway_ip">'Deploy Cluster'!$C$54</definedName>
    <definedName name="sample_cluster_az1_vmotion_mask">'Deploy Cluster'!$C$53</definedName>
    <definedName name="sample_cluster_az1_vmotion_mtu">'Deploy Cluster'!$C$51</definedName>
    <definedName name="sample_cluster_az1_vmotion_network">'Deploy Cluster'!$C$52</definedName>
    <definedName name="sample_cluster_az1_vmotion_pg">'Deploy Cluster'!$C$210</definedName>
    <definedName name="sample_cluster_az1_vmotion_pool_end_ip">'Deploy Cluster'!$C$56</definedName>
    <definedName name="sample_cluster_az1_vmotion_pool_start_ip">'Deploy Cluster'!$C$55</definedName>
    <definedName name="sample_cluster_az1_vmotion_vlan">'Deploy Cluster'!$C$50</definedName>
    <definedName name="sample_cluster_az1_vsan_storage_client_pg">'Deploy Cluster'!$C$220</definedName>
    <definedName name="sample_cluster_az2_host_overlay_cidr">'Deploy Cluster'!$C$410</definedName>
    <definedName name="sample_cluster_az2_host_overlay_gateway_ip">'Deploy Cluster'!$C$411</definedName>
    <definedName name="sample_cluster_az2_host_overlay_gateway_mtu">'Deploy Cluster'!$C$412</definedName>
    <definedName name="sample_cluster_az2_host_overlay_network_pool_name">'Deploy Cluster'!$C$407</definedName>
    <definedName name="sample_cluster_az2_host_overlay_network_profile_name">'Deploy Cluster'!$C$405</definedName>
    <definedName name="sample_cluster_az2_host_overlay_pool_end_ip">'Deploy Cluster'!$C$414</definedName>
    <definedName name="sample_cluster_az2_host_overlay_pool_start_ip">'Deploy Cluster'!$C$413</definedName>
    <definedName name="sample_cluster_az2_host_overlay_uplink_profile_name">'Deploy Cluster'!$C$408</definedName>
    <definedName name="sample_cluster_az2_host_overlay_vlan">'Deploy Cluster'!$C$409</definedName>
    <definedName name="sample_cluster_az2_host1_fqdn">'Deploy Cluster'!$C$317</definedName>
    <definedName name="sample_cluster_az2_host1_mgmt_ip">'Deploy Cluster'!$C$261</definedName>
    <definedName name="sample_cluster_az2_host10_fqdn">'Deploy Cluster'!$C$326</definedName>
    <definedName name="sample_cluster_az2_host10_mgmt_ip">'Deploy Cluster'!$C$270</definedName>
    <definedName name="sample_cluster_az2_host11_fqdn">'Deploy Cluster'!$C$327</definedName>
    <definedName name="sample_cluster_az2_host11_mgmt_ip">'Deploy Cluster'!$C$271</definedName>
    <definedName name="sample_cluster_az2_host12_fqdn">'Deploy Cluster'!$C$328</definedName>
    <definedName name="sample_cluster_az2_host12_mgmt_ip">'Deploy Cluster'!$C$272</definedName>
    <definedName name="sample_cluster_az2_host13_fqdn">'Deploy Cluster'!$C$329</definedName>
    <definedName name="sample_cluster_az2_host13_mgmt_ip">'Deploy Cluster'!$C$273</definedName>
    <definedName name="sample_cluster_az2_host14_fqdn">'Deploy Cluster'!$C$330</definedName>
    <definedName name="sample_cluster_az2_host14_mgmt_ip">'Deploy Cluster'!$C$274</definedName>
    <definedName name="sample_cluster_az2_host15_fqdn">'Deploy Cluster'!$C$331</definedName>
    <definedName name="sample_cluster_az2_host15_mgmt_ip">'Deploy Cluster'!$C$275</definedName>
    <definedName name="sample_cluster_az2_host16_fqdn">'Deploy Cluster'!$C$332</definedName>
    <definedName name="sample_cluster_az2_host16_mgmt_ip">'Deploy Cluster'!$C$276</definedName>
    <definedName name="sample_cluster_az2_host2_fqdn">'Deploy Cluster'!$C$318</definedName>
    <definedName name="sample_cluster_az2_host2_mgmt_ip">'Deploy Cluster'!$C$262</definedName>
    <definedName name="sample_cluster_az2_host3_fqdn">'Deploy Cluster'!$C$319</definedName>
    <definedName name="sample_cluster_az2_host3_mgmt_ip">'Deploy Cluster'!$C$263</definedName>
    <definedName name="sample_cluster_az2_host4_fqdn">'Deploy Cluster'!$C$320</definedName>
    <definedName name="sample_cluster_az2_host4_mgmt_ip">'Deploy Cluster'!$C$264</definedName>
    <definedName name="sample_cluster_az2_host5_fqdn">'Deploy Cluster'!$C$321</definedName>
    <definedName name="sample_cluster_az2_host5_mgmt_ip">'Deploy Cluster'!$C$265</definedName>
    <definedName name="sample_cluster_az2_host6_fqdn">'Deploy Cluster'!$C$322</definedName>
    <definedName name="sample_cluster_az2_host6_mgmt_ip">'Deploy Cluster'!$C$266</definedName>
    <definedName name="sample_cluster_az2_host7_fqdn">'Deploy Cluster'!$C$323</definedName>
    <definedName name="sample_cluster_az2_host7_mgmt_ip">'Deploy Cluster'!$C$267</definedName>
    <definedName name="sample_cluster_az2_host8_fqdn">'Deploy Cluster'!$C$324</definedName>
    <definedName name="sample_cluster_az2_host8_mgmt_ip">'Deploy Cluster'!$C$268</definedName>
    <definedName name="sample_cluster_az2_host9_fqdn">'Deploy Cluster'!$C$325</definedName>
    <definedName name="sample_cluster_az2_host9_mgmt_ip">'Deploy Cluster'!$C$269</definedName>
    <definedName name="sample_cluster_az2_mgmt_cidr">'Deploy Cluster'!$C$258</definedName>
    <definedName name="sample_cluster_az2_mgmt_gateway_ip">'Deploy Cluster'!$C$257</definedName>
    <definedName name="sample_cluster_az2_mgmt_mtu">'Deploy Cluster'!$C$259</definedName>
    <definedName name="sample_cluster_az2_mgmt_vlan">'Deploy Cluster'!$C$256</definedName>
    <definedName name="sample_cluster_az2_pool_name">'Deploy Cluster'!$C$281</definedName>
    <definedName name="sample_cluster_az2_principal_storage_gateway_ip">'Deploy Cluster'!$C$295</definedName>
    <definedName name="sample_cluster_az2_principal_storage_mask">'Deploy Cluster'!$C$294</definedName>
    <definedName name="sample_cluster_az2_principal_storage_mtu">'Deploy Cluster'!$C$292</definedName>
    <definedName name="sample_cluster_az2_principal_storage_network">'Deploy Cluster'!$C$293</definedName>
    <definedName name="sample_cluster_az2_principal_storage_pool_end_ip">'Deploy Cluster'!$C$297</definedName>
    <definedName name="sample_cluster_az2_principal_storage_pool_start_ip">'Deploy Cluster'!$C$296</definedName>
    <definedName name="sample_cluster_az2_principal_storage_vlan">'Deploy Cluster'!$C$291</definedName>
    <definedName name="sample_cluster_az2_secondary_storage_gateway_ip">'Deploy Cluster'!$C$303</definedName>
    <definedName name="sample_cluster_az2_secondary_storage_mask">'Deploy Cluster'!$C$302</definedName>
    <definedName name="sample_cluster_az2_secondary_storage_mtu">'Deploy Cluster'!$C$300</definedName>
    <definedName name="sample_cluster_az2_secondary_storage_network">'Deploy Cluster'!$C$301</definedName>
    <definedName name="sample_cluster_az2_secondary_storage_pool_end_ip">'Deploy Cluster'!$C$305</definedName>
    <definedName name="sample_cluster_az2_secondary_storage_pool_start_ip">'Deploy Cluster'!$C$304</definedName>
    <definedName name="sample_cluster_az2_secondary_storage_vlan">'Deploy Cluster'!$C$299</definedName>
    <definedName name="sample_cluster_az2_storage_cluster_gateway_ip">'Deploy Cluster'!$C$311</definedName>
    <definedName name="sample_cluster_az2_storage_cluster_mask">'Deploy Cluster'!$C$310</definedName>
    <definedName name="sample_cluster_az2_storage_cluster_mtu">'Deploy Cluster'!$C$308</definedName>
    <definedName name="sample_cluster_az2_storage_cluster_network">'Deploy Cluster'!$C$309</definedName>
    <definedName name="sample_cluster_az2_storage_cluster_pool_end_ip">'Deploy Cluster'!$C$313</definedName>
    <definedName name="sample_cluster_az2_storage_cluster_pool_start_ip">'Deploy Cluster'!$C$312</definedName>
    <definedName name="sample_cluster_az2_storage_cluster_vlan">'Deploy Cluster'!$C$307</definedName>
    <definedName name="sample_cluster_az2_tor1_peer_asn">'Deploy Cluster'!$C$432</definedName>
    <definedName name="sample_cluster_az2_tor1_peer_ip">'Deploy Cluster'!$C$431</definedName>
    <definedName name="sample_cluster_az2_tor2_peer_asn">'Deploy Cluster'!$C$439</definedName>
    <definedName name="sample_cluster_az2_tor2_peer_ip">'Deploy Cluster'!$C$436</definedName>
    <definedName name="sample_cluster_az2_vmotion_gateway_ip">'Deploy Cluster'!$C$287</definedName>
    <definedName name="sample_cluster_az2_vmotion_mask">'Deploy Cluster'!$C$286</definedName>
    <definedName name="sample_cluster_az2_vmotion_mtu">'Deploy Cluster'!$C$284</definedName>
    <definedName name="sample_cluster_az2_vmotion_network">'Deploy Cluster'!$C$285</definedName>
    <definedName name="sample_cluster_az2_vmotion_pool_end_ip">'Deploy Cluster'!$C$289</definedName>
    <definedName name="sample_cluster_az2_vmotion_pool_start_ip">'Deploy Cluster'!$C$288</definedName>
    <definedName name="sample_cluster_az2_vmotion_vlan">'Deploy Cluster'!$C$283</definedName>
    <definedName name="sample_cluster_cluster_sddc_id">'Deploy Cluster'!$C$418</definedName>
    <definedName name="sample_cluster_datacenter">'Deploy Cluster'!$C$370</definedName>
    <definedName name="sample_cluster_domain_name">'Deploy Cluster'!$C$19</definedName>
    <definedName name="sample_cluster_esx_root_password">'Deploy Cluster'!$C$105</definedName>
    <definedName name="sample_cluster_esx_root_username">'Deploy Cluster'!$C$104</definedName>
    <definedName name="sample_cluster_host_overlay_transportzone">'Deploy Cluster'!$C$230</definedName>
    <definedName name="sample_cluster_image_name">'Deploy Cluster'!$C$122</definedName>
    <definedName name="sample_cluster_name">'Deploy Cluster'!$C$117</definedName>
    <definedName name="sample_cluster_nfs_datastore_name">'Deploy Cluster'!$C$134</definedName>
    <definedName name="sample_cluster_nfs_server_address">'Deploy Cluster'!$C$136</definedName>
    <definedName name="sample_cluster_nfs_share_path">'Deploy Cluster'!$C$135</definedName>
    <definedName name="sample_cluster_nsx_vlan_transport_zone_name">'Deploy Cluster'!$C$240</definedName>
    <definedName name="sample_cluster_nsxt_vip_fqdn">'Deploy Cluster'!$C$423</definedName>
    <definedName name="sample_cluster_storage_cluster_name">'Deploy Cluster'!$C$128</definedName>
    <definedName name="sample_cluster_vc_fqdn">'Deploy Cluster'!$C$369</definedName>
    <definedName name="sample_cluster_vds01_lag_name">'Deploy Cluster'!$C$170</definedName>
    <definedName name="sample_cluster_vds01_mtu">'Deploy Cluster'!$C$168</definedName>
    <definedName name="sample_cluster_vds01_name">'Deploy Cluster'!$C$167</definedName>
    <definedName name="sample_cluster_vds01_pnics">'Deploy Cluster'!$C$175</definedName>
    <definedName name="sample_cluster_vds01_uplink_count">'Deploy Cluster'!$C$174</definedName>
    <definedName name="sample_cluster_vds02_lag_name">'Deploy Cluster'!$C$181</definedName>
    <definedName name="sample_cluster_vds02_mtu">'Deploy Cluster'!$C$179</definedName>
    <definedName name="sample_cluster_vds02_name">'Deploy Cluster'!$C$178</definedName>
    <definedName name="sample_cluster_vds02_pnics">'Deploy Cluster'!$C$186</definedName>
    <definedName name="sample_cluster_vds02_uplink_count">'Deploy Cluster'!$C$185</definedName>
    <definedName name="sample_cluster_vds03_lag_name">'Deploy Cluster'!$C$192</definedName>
    <definedName name="sample_cluster_vds03_mtu">'Deploy Cluster'!$C$190</definedName>
    <definedName name="sample_cluster_vds03_name">'Deploy Cluster'!$C$189</definedName>
    <definedName name="sample_cluster_vds03_pnics">'Deploy Cluster'!$C$197</definedName>
    <definedName name="sample_cluster_vds03_uplink_count">'Deploy Cluster'!$C$196</definedName>
    <definedName name="sample_cluster_vmfs_datastore_name">'Deploy Cluster'!$C$133</definedName>
    <definedName name="sample_cluster_vsan_datastore">'Deploy Cluster'!$C$129</definedName>
    <definedName name="sample_cluster_witness_cluster">'Deploy Cluster'!$C$352</definedName>
    <definedName name="sample_cluster_witness_dns1_ip">'Deploy Cluster'!$C$363</definedName>
    <definedName name="sample_cluster_witness_dns2_ip">'Deploy Cluster'!$C$364</definedName>
    <definedName name="sample_cluster_witness_fqdn">'Deploy Cluster'!$C$371</definedName>
    <definedName name="sample_cluster_witness_hostname">'Deploy Cluster'!$C$351</definedName>
    <definedName name="sample_cluster_witness_ip">'Deploy Cluster'!$C$358</definedName>
    <definedName name="sample_cluster_witness_mgmt_pg">'Deploy Cluster'!$C$355</definedName>
    <definedName name="sample_cluster_witness_ntp1_server">'Deploy Cluster'!$C$365</definedName>
    <definedName name="sample_cluster_witness_ntp2_server">'Deploy Cluster'!$C$366</definedName>
    <definedName name="sample_cluster_witness_vm_folder">'Deploy Cluster'!$C$353</definedName>
    <definedName name="sample_cluster_witness_vsan_datastore">'Deploy Cluster'!$C$354</definedName>
    <definedName name="sample_cluster_witness_zone_vc_fqdn">'Deploy Cluster'!$C$350</definedName>
    <definedName name="sample_cluster_witnessaz_mask">'Deploy Cluster'!$C$359</definedName>
    <definedName name="sample_cluster_witnessaz_mgmt_cidr">'Deploy Cluster'!$C$344</definedName>
    <definedName name="sample_cluster_witnessaz_mgmt_gateway_ip">'Deploy Cluster'!$C$343</definedName>
    <definedName name="sample_cluster_witnessaz_mgmt_mtu">'Deploy Cluster'!$C$345</definedName>
    <definedName name="sample_cluster_witnessaz_mgmt_vlan">'Deploy Cluster'!$C$342</definedName>
    <definedName name="sample_domain_controller_hostname">Arkham!$B$15</definedName>
    <definedName name="sample_esxi_root_password">'Deploy Management Domain'!$K$127</definedName>
    <definedName name="sample_flt_auto_node_pool_end_ip">Arkham!$P$35</definedName>
    <definedName name="sample_flt_auto_node_pool_start_ip">Arkham!$P$34</definedName>
    <definedName name="sample_flt_auto_sr_fqdn">Arkham!$P$32</definedName>
    <definedName name="sample_flt_auto_sr_ip">Arkham!$P$26</definedName>
    <definedName name="sample_flt_custom_network_auto_admin_password">'Deploy Fleet Management Day-N'!$C$58</definedName>
    <definedName name="sample_flt_custom_network_auto_nodea_ip">'Deploy Fleet Management Day-N'!$C$53</definedName>
    <definedName name="sample_flt_custom_network_auto_nodeb_ip">'Deploy Fleet Management Day-N'!$C$54</definedName>
    <definedName name="sample_flt_custom_network_auto_nodec_ip">'Deploy Fleet Management Day-N'!$C$55</definedName>
    <definedName name="sample_flt_custom_network_auto_noded_ip">'Deploy Fleet Management Day-N'!$C$56</definedName>
    <definedName name="sample_flt_custom_network_auto_nodee_ip">Arkham!$P$11</definedName>
    <definedName name="sample_flt_custom_network_auto_nodef_ip">Arkham!$P$12</definedName>
    <definedName name="sample_flt_custom_network_auto_prefix">'Deploy Fleet Management Day-N'!$C$51</definedName>
    <definedName name="sample_flt_custom_network_auto_vip_fqdn">'Deploy Fleet Management Day-N'!$C$50</definedName>
    <definedName name="sample_flt_custom_network_auto_vip_ip">'Deploy Fleet Management Day-N'!$C$52</definedName>
    <definedName name="sample_flt_custom_network_flt_admin_password">'Deploy Fleet Management Day-N'!$C$29</definedName>
    <definedName name="sample_flt_custom_network_flt_fqdn">'Deploy Fleet Management Day-N'!$C$26</definedName>
    <definedName name="sample_flt_custom_network_flt_ip">'Deploy Fleet Management Day-N'!$C$27</definedName>
    <definedName name="sample_flt_custom_network_flt_root_password">'Deploy Fleet Management Day-N'!$C$28</definedName>
    <definedName name="sample_flt_custom_network_local_reg_gateway_ip">'Deploy Fleet Management Day-N'!$C$19</definedName>
    <definedName name="sample_flt_custom_network_local_reg_mask">'Deploy Fleet Management Day-N'!$C$18</definedName>
    <definedName name="sample_flt_custom_network_local_reg_pg">'Deploy Fleet Management Day-N'!$C$17</definedName>
    <definedName name="sample_flt_custom_network_ops_admin_password">'Deploy Fleet Management Day-N'!$C$42</definedName>
    <definedName name="sample_flt_custom_network_ops_collector_fqdn">'Deploy Fleet Management Day-N'!$C$44</definedName>
    <definedName name="sample_flt_custom_network_ops_collector_ip">'Deploy Fleet Management Day-N'!$C$45</definedName>
    <definedName name="sample_flt_custom_network_ops_collector_root_password">'Deploy Fleet Management Day-N'!$C$48</definedName>
    <definedName name="sample_flt_custom_network_ops_collector_version">'Deploy Fleet Management Day-N'!$C$46</definedName>
    <definedName name="sample_flt_custom_network_ops_nodea_fqdn">'Deploy Fleet Management Day-N'!$C$33</definedName>
    <definedName name="sample_flt_custom_network_ops_nodea_ip">'Deploy Fleet Management Day-N'!$C$37</definedName>
    <definedName name="sample_flt_custom_network_ops_nodeb_fqdn">'Deploy Fleet Management Day-N'!$C$34</definedName>
    <definedName name="sample_flt_custom_network_ops_nodeb_ip">'Deploy Fleet Management Day-N'!$C$38</definedName>
    <definedName name="sample_flt_custom_network_ops_nodec_fqdn">'Deploy Fleet Management Day-N'!$C$35</definedName>
    <definedName name="sample_flt_custom_network_ops_nodec_ip">'Deploy Fleet Management Day-N'!$C$39</definedName>
    <definedName name="sample_flt_custom_network_ops_root_password">'Deploy Fleet Management Day-N'!$C$41</definedName>
    <definedName name="sample_flt_custom_network_ops_vip_fqdn">'Deploy Fleet Management Day-N'!$C$32</definedName>
    <definedName name="sample_flt_custom_network_ops_vip_ip">'Deploy Fleet Management Day-N'!$C$36</definedName>
    <definedName name="sample_flt_custom_network_x_reg_gateway_ip">'Deploy Fleet Management Day-N'!$C$23</definedName>
    <definedName name="sample_flt_custom_network_x_reg_mask">'Deploy Fleet Management Day-N'!$C$22</definedName>
    <definedName name="sample_flt_custom_network_x_reg_pg">'Deploy Fleet Management Day-N'!$C$21</definedName>
    <definedName name="sample_flt_fc_fqdn">Arkham!$P$31</definedName>
    <definedName name="sample_flt_fc_ip">Arkham!$P$25</definedName>
    <definedName name="sample_flt_ic_fqdn">Arkham!$P$30</definedName>
    <definedName name="sample_flt_ic_ip">Arkham!$P$24</definedName>
    <definedName name="sample_flt_lc_fqdn">Arkham!$P$28</definedName>
    <definedName name="sample_flt_lc_ip">Arkham!$P$22</definedName>
    <definedName name="sample_flt_logs_admin_email">'Deploy Fleet Management Day-N'!$C$266</definedName>
    <definedName name="sample_flt_logs_admin_password">'Deploy Fleet Management Day-N'!$C$251</definedName>
    <definedName name="sample_flt_logs_admin_password_alias">'Deploy Fleet Management Day-N'!$C$250</definedName>
    <definedName name="sample_flt_logs_admin_password_description">'Deploy Fleet Management Day-N'!$C$252</definedName>
    <definedName name="sample_flt_logs_admin_username">'Deploy Fleet Management Day-N'!$C$253</definedName>
    <definedName name="sample_flt_logs_cert_alias">'Deploy Fleet Management Day-N'!$C$214</definedName>
    <definedName name="sample_flt_logs_cert_country_code">'Deploy Fleet Management Day-N'!$C$220</definedName>
    <definedName name="sample_flt_logs_cert_locality">'Deploy Fleet Management Day-N'!$C$221</definedName>
    <definedName name="sample_flt_logs_cert_organisation">'Deploy Fleet Management Day-N'!$C$218</definedName>
    <definedName name="sample_flt_logs_cert_state">'Deploy Fleet Management Day-N'!$C$222</definedName>
    <definedName name="sample_flt_logs_cluster">'Deploy Fleet Management Day-N'!$C$235</definedName>
    <definedName name="sample_flt_logs_common_name">'Deploy Fleet Management Day-N'!$C$217</definedName>
    <definedName name="sample_flt_logs_datastore">'Deploy Fleet Management Day-N'!$C$239</definedName>
    <definedName name="sample_flt_logs_folder">'Deploy Fleet Management Day-N'!$C$236</definedName>
    <definedName name="sample_flt_logs_gateway_ip">'Deploy Fleet Management Day-N'!$C$247</definedName>
    <definedName name="sample_flt_logs_mask">'Deploy Fleet Management Day-N'!$C$248</definedName>
    <definedName name="sample_flt_logs_nodea_fqdn">'Deploy Fleet Management Day-N'!$C$225</definedName>
    <definedName name="sample_flt_logs_nodea_hostname">'Deploy Fleet Management Day-N'!$C$273</definedName>
    <definedName name="sample_flt_logs_nodea_ip">'Deploy Fleet Management Day-N'!$C$229</definedName>
    <definedName name="sample_flt_logs_nodeb_fqdn">'Deploy Fleet Management Day-N'!$C$226</definedName>
    <definedName name="sample_flt_logs_nodeb_hostname">'Deploy Fleet Management Day-N'!$C$277</definedName>
    <definedName name="sample_flt_logs_nodeb_ip">'Deploy Fleet Management Day-N'!$C$230</definedName>
    <definedName name="sample_flt_logs_nodec_fqdn">'Deploy Fleet Management Day-N'!$C$227</definedName>
    <definedName name="sample_flt_logs_nodec_hostname">'Deploy Fleet Management Day-N'!$C$281</definedName>
    <definedName name="sample_flt_logs_nodec_ip">'Deploy Fleet Management Day-N'!$C$231</definedName>
    <definedName name="sample_flt_logs_ou_cert">'Deploy Fleet Management Day-N'!$C$219</definedName>
    <definedName name="sample_flt_logs_portgroup">'Deploy Fleet Management Day-N'!$C$238</definedName>
    <definedName name="sample_flt_logs_resource_pool">'Deploy Fleet Management Day-N'!$C$237</definedName>
    <definedName name="sample_flt_logs_root_password">'Deploy Fleet Management Day-N'!$C$255</definedName>
    <definedName name="sample_flt_logs_root_password_alias">'Deploy Fleet Management Day-N'!$C$254</definedName>
    <definedName name="sample_flt_logs_root_password_description">'Deploy Fleet Management Day-N'!$C$256</definedName>
    <definedName name="sample_flt_logs_root_username">'Deploy Fleet Management Day-N'!$C$257</definedName>
    <definedName name="sample_flt_logs_vcenter_fqdn">'Deploy Fleet Management Day-N'!$C$234</definedName>
    <definedName name="sample_flt_logs_vip_fqdn">'Deploy Fleet Management Day-N'!$C$224</definedName>
    <definedName name="sample_flt_logs_vip_ip">'Deploy Fleet Management Day-N'!$C$228</definedName>
    <definedName name="sample_flt_net_admin_password">'Deploy Fleet Management Day-N'!$C$329</definedName>
    <definedName name="sample_flt_net_admin_password_alias">'Deploy Fleet Management Day-N'!$C$328</definedName>
    <definedName name="sample_flt_net_admin_password_description">'Deploy Fleet Management Day-N'!$C$330</definedName>
    <definedName name="sample_flt_net_admin_username">'Deploy Fleet Management Day-N'!$C$331</definedName>
    <definedName name="sample_flt_net_cert_alias">'Deploy Fleet Management Day-N'!$C$293</definedName>
    <definedName name="sample_flt_net_cert_country_code">'Deploy Fleet Management Day-N'!$C$298</definedName>
    <definedName name="sample_flt_net_cert_locality">'Deploy Fleet Management Day-N'!$C$299</definedName>
    <definedName name="sample_flt_net_cert_organisation">'Deploy Fleet Management Day-N'!$C$296</definedName>
    <definedName name="sample_flt_net_cert_state">'Deploy Fleet Management Day-N'!$C$300</definedName>
    <definedName name="sample_flt_net_cluster">'Deploy Fleet Management Day-N'!$C$313</definedName>
    <definedName name="sample_flt_net_common_name">'Deploy Fleet Management Day-N'!$C$295</definedName>
    <definedName name="sample_flt_net_console_password">'Deploy Fleet Management Day-N'!$C$339</definedName>
    <definedName name="sample_flt_net_datastore">'Deploy Fleet Management Day-N'!$C$317</definedName>
    <definedName name="sample_flt_net_folder">'Deploy Fleet Management Day-N'!$C$314</definedName>
    <definedName name="sample_flt_net_node_gateway_ip">'Deploy Fleet Management Day-N'!$C$325</definedName>
    <definedName name="sample_flt_net_node_mask">'Deploy Fleet Management Day-N'!$C$326</definedName>
    <definedName name="sample_flt_net_node_portgroup">'Deploy Fleet Management Day-N'!$C$316</definedName>
    <definedName name="sample_flt_net_nodea_fqdn">'Deploy Fleet Management Day-N'!$C$302</definedName>
    <definedName name="sample_flt_net_nodea_ip">'Deploy Fleet Management Day-N'!$C$306</definedName>
    <definedName name="sample_flt_net_nodeb_fqdn">'Deploy Fleet Management Day-N'!$C$303</definedName>
    <definedName name="sample_flt_net_nodeb_ip">'Deploy Fleet Management Day-N'!$C$307</definedName>
    <definedName name="sample_flt_net_nodec_fqdn">'Deploy Fleet Management Day-N'!$C$304</definedName>
    <definedName name="sample_flt_net_nodec_ip">'Deploy Fleet Management Day-N'!$C$308</definedName>
    <definedName name="sample_flt_net_ou_cert">'Deploy Fleet Management Day-N'!$C$297</definedName>
    <definedName name="sample_flt_net_platform_password">'Deploy Fleet Management Day-N'!$C$337</definedName>
    <definedName name="sample_flt_net_prxy_fqdn">'Deploy Fleet Management Day-N'!$C$305</definedName>
    <definedName name="sample_flt_net_prxy_gateway_ip">'Deploy Fleet Management Day-N'!$C$356</definedName>
    <definedName name="sample_flt_net_prxy_ip">'Deploy Fleet Management Day-N'!$C$309</definedName>
    <definedName name="sample_flt_net_prxy_mask">'Deploy Fleet Management Day-N'!$C$357</definedName>
    <definedName name="sample_flt_net_prxy_portgroup">'Deploy Fleet Management Day-N'!$C$358</definedName>
    <definedName name="sample_flt_net_resource_pool">'Deploy Fleet Management Day-N'!$C$315</definedName>
    <definedName name="sample_flt_net_support_password">'Deploy Fleet Management Day-N'!$C$338</definedName>
    <definedName name="sample_flt_net_vcenter_fqdn">'Deploy Fleet Management Day-N'!$C$312</definedName>
    <definedName name="sample_flt_net_vcenter_list">'Deploy Fleet Management Day-N'!$C$340</definedName>
    <definedName name="sample_flt_sr_fqdn">Arkham!$P$29</definedName>
    <definedName name="sample_flt_sr_ip">Arkham!$P$23</definedName>
    <definedName name="sample_flt_vcfms_node_pool_end_ip">Arkham!$P$41</definedName>
    <definedName name="sample_flt_vcfms_node_pool_start_ip">Arkham!$P$40</definedName>
    <definedName name="sample_flt_vidb_additional_vips">'Deploy Fleet Management Day-N'!$C$169</definedName>
    <definedName name="sample_flt_vidb_base_dn">'Deploy Fleet Management Day-N'!$C$189</definedName>
    <definedName name="sample_flt_vidb_bind_password">'Deploy Fleet Management Day-N'!$C$191</definedName>
    <definedName name="sample_flt_vidb_bind_username">'Deploy Fleet Management Day-N'!$C$190</definedName>
    <definedName name="sample_flt_vidb_cert_alias">'Deploy Fleet Management Day-N'!$C$128</definedName>
    <definedName name="sample_flt_vidb_cert_common_name">'Deploy Fleet Management Day-N'!$C$130</definedName>
    <definedName name="sample_flt_vidb_cert_country_code">'Deploy Fleet Management Day-N'!$C$133</definedName>
    <definedName name="sample_flt_vidb_cert_locality">'Deploy Fleet Management Day-N'!$C$134</definedName>
    <definedName name="sample_flt_vidb_cert_organisation">'Deploy Fleet Management Day-N'!$C$131</definedName>
    <definedName name="sample_flt_vidb_cert_state">'Deploy Fleet Management Day-N'!$C$135</definedName>
    <definedName name="sample_flt_vidb_cluster">'Deploy Fleet Management Day-N'!$C$142</definedName>
    <definedName name="sample_flt_vidb_datastore">'Deploy Fleet Management Day-N'!$C$146</definedName>
    <definedName name="sample_flt_vidb_directory_name">'Deploy Fleet Management Day-N'!$C$179</definedName>
    <definedName name="sample_flt_vidb_distinguished_name">'Deploy Fleet Management Day-N'!$C$197</definedName>
    <definedName name="sample_flt_vidb_employeeID">'Deploy Fleet Management Day-N'!$C$198</definedName>
    <definedName name="sample_flt_vidb_first_name">'Deploy Fleet Management Day-N'!$C$195</definedName>
    <definedName name="sample_flt_vidb_folder">'Deploy Fleet Management Day-N'!$C$143</definedName>
    <definedName name="sample_flt_vidb_gateway_ip">'Deploy Fleet Management Day-N'!$C$153</definedName>
    <definedName name="sample_flt_vidb_group_base_dn">'Deploy Fleet Management Day-N'!$C$202</definedName>
    <definedName name="sample_flt_vidb_last_name">'Deploy Fleet Management Day-N'!$C$196</definedName>
    <definedName name="sample_flt_vidb_mail">'Deploy Fleet Management Day-N'!$C$199</definedName>
    <definedName name="sample_flt_vidb_mask">'Deploy Fleet Management Day-N'!$C$154</definedName>
    <definedName name="sample_flt_vidb_node_prefix">'Deploy Fleet Management Day-N'!$C$166</definedName>
    <definedName name="sample_flt_vidb_nodea_ip">'Deploy Fleet Management Day-N'!$C$170</definedName>
    <definedName name="sample_flt_vidb_nodeb_ip">'Deploy Fleet Management Day-N'!$C$171</definedName>
    <definedName name="sample_flt_vidb_nodec_ip">'Deploy Fleet Management Day-N'!$C$172</definedName>
    <definedName name="sample_flt_vidb_noded_ip">'Deploy Fleet Management Day-N'!$C$173</definedName>
    <definedName name="sample_flt_vidb_ou_cert">'Deploy Fleet Management Day-N'!$C$132</definedName>
    <definedName name="sample_flt_vidb_password">'Deploy Fleet Management Day-N'!$C$160</definedName>
    <definedName name="sample_flt_vidb_password_alias">'Deploy Fleet Management Day-N'!$C$159</definedName>
    <definedName name="sample_flt_vidb_password_description">'Deploy Fleet Management Day-N'!$C$161</definedName>
    <definedName name="sample_flt_vidb_pg">'Deploy Fleet Management Day-N'!$C$145</definedName>
    <definedName name="sample_flt_vidb_primary_domain_controller">'Deploy Fleet Management Day-N'!$C$184</definedName>
    <definedName name="sample_flt_vidb_primary_domain_controller_port">'Deploy Fleet Management Day-N'!$C$185</definedName>
    <definedName name="sample_flt_vidb_resource_pool">'Deploy Fleet Management Day-N'!$C$144</definedName>
    <definedName name="sample_flt_vidb_root_username">'Deploy Fleet Management Day-N'!$C$162</definedName>
    <definedName name="sample_flt_vidb_secondary_domain_controller">'Deploy Fleet Management Day-N'!$C$186</definedName>
    <definedName name="sample_flt_vidb_secondary_domain_controller_port">'Deploy Fleet Management Day-N'!$C$187</definedName>
    <definedName name="sample_flt_vidb_system_user_alias">'Deploy Fleet Management Day-N'!$C$156</definedName>
    <definedName name="sample_flt_vidb_system_user_description">'Deploy Fleet Management Day-N'!$C$158</definedName>
    <definedName name="sample_flt_vidb_system_user_password">'Deploy Fleet Management Day-N'!$C$157</definedName>
    <definedName name="sample_flt_vidb_user_base_dn">'Deploy Fleet Management Day-N'!$C$204</definedName>
    <definedName name="sample_flt_vidb_user_name">'Deploy Fleet Management Day-N'!$C$194</definedName>
    <definedName name="sample_flt_vidb_user_principal_name">'Deploy Fleet Management Day-N'!$C$200</definedName>
    <definedName name="sample_flt_vidb_vcenter_fqdn">'Deploy Fleet Management Day-N'!$C$141</definedName>
    <definedName name="sample_flt_vidb_version">'Deploy Fleet Management Day-N'!$C$124</definedName>
    <definedName name="sample_flt_vidb_vip_fqdn">'Deploy Fleet Management Day-N'!$C$137</definedName>
    <definedName name="sample_flt_vidb_vip_ip">'Deploy Fleet Management Day-N'!$C$138</definedName>
    <definedName name="sample_gg_kub_admins_group">'Active Directory Inputs'!$D$75</definedName>
    <definedName name="sample_gg_kub_readonly_group">'Active Directory Inputs'!$D$76</definedName>
    <definedName name="sample_gg_nsx_auditors_group">'Active Directory Inputs'!$D$72</definedName>
    <definedName name="sample_gg_nsx_enterprise_admins_group">'Active Directory Inputs'!$D$70</definedName>
    <definedName name="sample_gg_nsx_network_admins_group">'Active Directory Inputs'!$D$71</definedName>
    <definedName name="sample_gg_sso_admins_group">'Active Directory Inputs'!$D$69</definedName>
    <definedName name="sample_gg_vc_admins_group">'Active Directory Inputs'!$D$67</definedName>
    <definedName name="sample_gg_vc_read_only_group">'Active Directory Inputs'!$D$68</definedName>
    <definedName name="sample_gg_vcf_admins_group">'Active Directory Inputs'!$D$64</definedName>
    <definedName name="sample_gg_vcf_operators_group">'Active Directory Inputs'!$D$65</definedName>
    <definedName name="sample_gg_vcf_viewers_group">'Active Directory Inputs'!$D$66</definedName>
    <definedName name="sample_gg_vra_cloud_assembly_admins_group">'Active Directory Inputs'!$D$95</definedName>
    <definedName name="sample_gg_vra_cloud_assembly_users_group">'Active Directory Inputs'!$D$96</definedName>
    <definedName name="sample_gg_vra_cloud_assembly_viewers_group">'Active Directory Inputs'!$D$97</definedName>
    <definedName name="sample_gg_vra_orchestrator_admins_group">'Active Directory Inputs'!$D$101</definedName>
    <definedName name="sample_gg_vra_orchestrator_designers_group">'Active Directory Inputs'!$D$102</definedName>
    <definedName name="sample_gg_vra_orchestrator_viewers_group">'Active Directory Inputs'!$D$103</definedName>
    <definedName name="sample_gg_vra_org_owners_group">'Active Directory Inputs'!$D$94</definedName>
    <definedName name="sample_gg_vra_project_admins_sample_group">'Active Directory Inputs'!$D$104</definedName>
    <definedName name="sample_gg_vra_project_users_sample_group">'Active Directory Inputs'!$D$105</definedName>
    <definedName name="sample_gg_vra_service_broker_admins_group">'Active Directory Inputs'!$D$98</definedName>
    <definedName name="sample_gg_vra_service_broker_users_group">'Active Directory Inputs'!$D$99</definedName>
    <definedName name="sample_gg_vra_service_broker_viewers_group">'Active Directory Inputs'!$D$100</definedName>
    <definedName name="sample_gg_vrli_admins_group">'Active Directory Inputs'!$D$79</definedName>
    <definedName name="sample_gg_vrli_users_group">'Active Directory Inputs'!$D$80</definedName>
    <definedName name="sample_gg_vrli_viewers_group">'Active Directory Inputs'!$D$81</definedName>
    <definedName name="sample_gg_vrni_admin_group">'Active Directory Inputs'!$D$89</definedName>
    <definedName name="sample_gg_vrni_auditor_group">'Active Directory Inputs'!$D$91</definedName>
    <definedName name="sample_gg_vrni_member_group">'Active Directory Inputs'!$D$90</definedName>
    <definedName name="sample_gg_vrops_admins_group">'Active Directory Inputs'!$D$84</definedName>
    <definedName name="sample_gg_vrops_content_admins_group">'Active Directory Inputs'!$D$85</definedName>
    <definedName name="sample_gg_vrops_read_only_group">'Active Directory Inputs'!$D$86</definedName>
    <definedName name="sample_gg_vrslcm_admins_group">'Active Directory Inputs'!$D$54</definedName>
    <definedName name="sample_gg_vrslcm_content_developers_group">'Active Directory Inputs'!$D$56</definedName>
    <definedName name="sample_gg_vrslcm_release_managers_group">'Active Directory Inputs'!$D$55</definedName>
    <definedName name="sample_k8s_cluster_name">'Private AI Ready Infrastructure'!$C$46</definedName>
    <definedName name="sample_k8s_ip_prefixlist">'Private AI Ready Infrastructure'!$C$20</definedName>
    <definedName name="sample_k8s_ip_routemap">'Private AI Ready Infrastructure'!$C$21</definedName>
    <definedName name="sample_k8s_kubectl_path">'Private AI Ready Infrastructure'!$C$26</definedName>
    <definedName name="sample_k8s_mgmt_seg">'Private AI Ready Infrastructure'!$C$19</definedName>
    <definedName name="sample_k8s_namepsace">'Private AI Ready Infrastructure'!$C$15</definedName>
    <definedName name="sample_k8s_tanzu_k8s_cluster_pod_pool_cidr">'Private AI Ready Infrastructure'!$C$72</definedName>
    <definedName name="sample_k8s_tanzu_k8s_cluster_service_pool_cidr">'Private AI Ready Infrastructure'!$C$71</definedName>
    <definedName name="sample_k8s_vcenter_category">'Private AI Ready Infrastructure'!$C$22</definedName>
    <definedName name="sample_k8s_vcenter_content_library">'Private AI Ready Infrastructure'!$C$95</definedName>
    <definedName name="sample_k8s_vcenter_storage_policy">'Private AI Ready Infrastructure'!$C$47</definedName>
    <definedName name="sample_k8s_vcenter_tag">'Private AI Ready Infrastructure'!$C$23</definedName>
    <definedName name="sample_k8s_vm_class">'Private AI Ready Infrastructure'!$C$27</definedName>
    <definedName name="sample_mgmt_auth_encrypted_cert">'Deploy Fleet Management Day-N'!$C$183</definedName>
    <definedName name="sample_mgmt_avilb_cluster_name">'Configure Management Domain'!$C$218</definedName>
    <definedName name="sample_mgmt_avilb_cluster_version">'Configure Management Domain'!$C$208</definedName>
    <definedName name="sample_mgmt_avilb_fqdn">'Configure Management Domain'!$C$217</definedName>
    <definedName name="sample_mgmt_avilb_ip">'Configure Management Domain'!$C$216</definedName>
    <definedName name="sample_mgmt_avilb_mgra_ip">'Configure Management Domain'!$C$213</definedName>
    <definedName name="sample_mgmt_avilb_mgrb_ip">'Configure Management Domain'!$C$214</definedName>
    <definedName name="sample_mgmt_avilb_mgrc_ip">'Configure Management Domain'!$C$215</definedName>
    <definedName name="sample_mgmt_az1_edge_overlay_cidr">'Configure Management Domain'!$C$201</definedName>
    <definedName name="sample_mgmt_az1_edge_overlay_gateway_ip">'Configure Management Domain'!$C$122</definedName>
    <definedName name="sample_mgmt_az1_edge_overlay_mask">'Configure Management Domain'!$C$123</definedName>
    <definedName name="sample_mgmt_az1_edge_overlay_mtu">'Configure Management Domain'!$C$202</definedName>
    <definedName name="sample_mgmt_az1_edge_overlay_network_pool_name">'Configure Management Domain'!$C$117</definedName>
    <definedName name="sample_mgmt_az1_edge_overlay_pool_end_ip">'Configure Management Domain'!$C$119</definedName>
    <definedName name="sample_mgmt_az1_edge_overlay_pool_start_ip">'Configure Management Domain'!$C$118</definedName>
    <definedName name="sample_mgmt_az1_edge_overlay_vlan">'Configure Management Domain'!$C$115</definedName>
    <definedName name="sample_mgmt_az1_en1_edge_overlay_interface_ip_1_ip">'Configure Management Domain'!$C$120</definedName>
    <definedName name="sample_mgmt_az1_en1_edge_overlay_interface_ip_2_ip">'Configure Management Domain'!$C$121</definedName>
    <definedName name="sample_mgmt_az1_en1_eth0_uplink0">'Configure Management Domain'!$C$111</definedName>
    <definedName name="sample_mgmt_az1_en1_eth0_uplink1">'Configure Management Domain'!$C$112</definedName>
    <definedName name="sample_mgmt_az1_en1_eth1_uplink0">'Configure Management Domain'!$C$113</definedName>
    <definedName name="sample_mgmt_az1_en1_eth1_uplink1">'Configure Management Domain'!$C$114</definedName>
    <definedName name="sample_mgmt_az1_en1_fqdn">'Configure Management Domain'!$C$99</definedName>
    <definedName name="sample_mgmt_az1_en1_hostname">'Configure Management Domain'!$C$539</definedName>
    <definedName name="sample_mgmt_az1_en1_mgmt_cidr">'Configure Management Domain'!$C$107</definedName>
    <definedName name="sample_mgmt_az1_en1_mgmt_ip">Arkham!$P$17</definedName>
    <definedName name="sample_mgmt_az1_en1_uplink01_interface_cidr">'Configure Management Domain'!$C$159</definedName>
    <definedName name="sample_mgmt_az1_en1_uplink02_interface_cidr">'Configure Management Domain'!$C$166</definedName>
    <definedName name="sample_mgmt_az1_en2_edge_overlay_interface_ip_1_ip">'Configure Management Domain'!$C$144</definedName>
    <definedName name="sample_mgmt_az1_en2_edge_overlay_interface_ip_2_ip">'Configure Management Domain'!$C$145</definedName>
    <definedName name="sample_mgmt_az1_en2_eth0_uplink0">'Configure Management Domain'!$C$137</definedName>
    <definedName name="sample_mgmt_az1_en2_eth0_uplink1">'Configure Management Domain'!$C$138</definedName>
    <definedName name="sample_mgmt_az1_en2_eth1_uplink0">'Configure Management Domain'!$C$139</definedName>
    <definedName name="sample_mgmt_az1_en2_eth1_uplink1">'Configure Management Domain'!$C$140</definedName>
    <definedName name="sample_mgmt_az1_en2_fqdn">'Configure Management Domain'!$C$125</definedName>
    <definedName name="sample_mgmt_az1_en2_hostname">'Configure Management Domain'!$C$545</definedName>
    <definedName name="sample_mgmt_az1_en2_mgmt_cidr">'Configure Management Domain'!$C$133</definedName>
    <definedName name="sample_mgmt_az1_en2_mgmt_ip">Arkham!$P$18</definedName>
    <definedName name="sample_mgmt_az1_en2_uplink01_interface_cidr">'Configure Management Domain'!$C$174</definedName>
    <definedName name="sample_mgmt_az1_en2_uplink02_interface_cidr">'Configure Management Domain'!$C$181</definedName>
    <definedName name="sample_mgmt_az1_host_overlay_cidr">'Deploy Management Domain'!$K$257</definedName>
    <definedName name="sample_mgmt_az1_host_overlay_gateway_ip">'Deploy Management Domain'!$K$260</definedName>
    <definedName name="sample_mgmt_az1_host_overlay_mtu">'Deploy Management Domain'!$K$301</definedName>
    <definedName name="sample_mgmt_az1_host_overlay_network_pool_description">'Deploy Management Domain'!$K$256</definedName>
    <definedName name="sample_mgmt_az1_host_overlay_network_pool_name">'Deploy Management Domain'!$K$255</definedName>
    <definedName name="sample_mgmt_az1_host_overlay_pool_end_ip">'Deploy Management Domain'!$K$259</definedName>
    <definedName name="sample_mgmt_az1_host_overlay_pool_start_ip">'Deploy Management Domain'!$K$258</definedName>
    <definedName name="sample_mgmt_az1_host_overlay_vlan">'Deploy Management Domain'!$K$253</definedName>
    <definedName name="sample_mgmt_az1_host1_fqdn">'Deploy Management Domain'!$K$128</definedName>
    <definedName name="sample_mgmt_az1_host1_mgmt_ip">'Deploy Management Domain'!$K$330</definedName>
    <definedName name="sample_mgmt_az1_host1_vrms_ip">'Site Protection &amp; DR'!$C$176</definedName>
    <definedName name="sample_mgmt_az1_host10_fqdn">'Deploy Management Domain'!$K$137</definedName>
    <definedName name="sample_mgmt_az1_host10_mgmt_ip">'Deploy Management Domain'!$K$339</definedName>
    <definedName name="sample_mgmt_az1_host10_vrms_ip">'Site Protection &amp; DR'!$C$185</definedName>
    <definedName name="sample_mgmt_az1_host11_fqdn">'Deploy Management Domain'!$K$138</definedName>
    <definedName name="sample_mgmt_az1_host11_mgmt_ip">'Deploy Management Domain'!$K$340</definedName>
    <definedName name="sample_mgmt_az1_host11_vrms_ip">'Site Protection &amp; DR'!$C$186</definedName>
    <definedName name="sample_mgmt_az1_host12_fqdn">'Deploy Management Domain'!$K$139</definedName>
    <definedName name="sample_mgmt_az1_host12_mgmt_ip">'Deploy Management Domain'!$K$341</definedName>
    <definedName name="sample_mgmt_az1_host12_vrms_ip">'Site Protection &amp; DR'!$C$187</definedName>
    <definedName name="sample_mgmt_az1_host13_fqdn">'Deploy Management Domain'!$K$140</definedName>
    <definedName name="sample_mgmt_az1_host13_mgmt_ip">'Deploy Management Domain'!$K$342</definedName>
    <definedName name="sample_mgmt_az1_host13_vrms_ip">'Site Protection &amp; DR'!$C$188</definedName>
    <definedName name="sample_mgmt_az1_host14_fqdn">'Deploy Management Domain'!$K$141</definedName>
    <definedName name="sample_mgmt_az1_host14_mgmt_ip">'Deploy Management Domain'!$K$343</definedName>
    <definedName name="sample_mgmt_az1_host14_vrms_ip">'Site Protection &amp; DR'!$C$189</definedName>
    <definedName name="sample_mgmt_az1_host15_fqdn">'Deploy Management Domain'!$K$142</definedName>
    <definedName name="sample_mgmt_az1_host15_mgmt_ip">'Deploy Management Domain'!$K$344</definedName>
    <definedName name="sample_mgmt_az1_host15_vrms_ip">'Site Protection &amp; DR'!$C$190</definedName>
    <definedName name="sample_mgmt_az1_host16_fqdn">'Deploy Management Domain'!$K$143</definedName>
    <definedName name="sample_mgmt_az1_host16_mgmt_ip">'Deploy Management Domain'!$K$345</definedName>
    <definedName name="sample_mgmt_az1_host16_vrms_ip">'Site Protection &amp; DR'!$C$191</definedName>
    <definedName name="sample_mgmt_az1_host2_fqdn">'Deploy Management Domain'!$K$129</definedName>
    <definedName name="sample_mgmt_az1_host2_mgmt_ip">'Deploy Management Domain'!$K$331</definedName>
    <definedName name="sample_mgmt_az1_host2_vrms_ip">'Site Protection &amp; DR'!$C$177</definedName>
    <definedName name="sample_mgmt_az1_host3_fqdn">'Deploy Management Domain'!$K$130</definedName>
    <definedName name="sample_mgmt_az1_host3_mgmt_ip">'Deploy Management Domain'!$K$332</definedName>
    <definedName name="sample_mgmt_az1_host3_vrms_ip">'Site Protection &amp; DR'!$C$178</definedName>
    <definedName name="sample_mgmt_az1_host4_fqdn">'Deploy Management Domain'!$K$131</definedName>
    <definedName name="sample_mgmt_az1_host4_mgmt_ip">'Deploy Management Domain'!$K$333</definedName>
    <definedName name="sample_mgmt_az1_host4_vrms_ip">'Site Protection &amp; DR'!$C$179</definedName>
    <definedName name="sample_mgmt_az1_host5_fqdn">'Deploy Management Domain'!$K$132</definedName>
    <definedName name="sample_mgmt_az1_host5_mgmt_ip">'Deploy Management Domain'!$K$334</definedName>
    <definedName name="sample_mgmt_az1_host5_vrms_ip">'Site Protection &amp; DR'!$C$180</definedName>
    <definedName name="sample_mgmt_az1_host6_fqdn">'Deploy Management Domain'!$K$133</definedName>
    <definedName name="sample_mgmt_az1_host6_mgmt_ip">'Deploy Management Domain'!$K$335</definedName>
    <definedName name="sample_mgmt_az1_host6_vrms_ip">'Site Protection &amp; DR'!$C$181</definedName>
    <definedName name="sample_mgmt_az1_host7_fqdn">'Deploy Management Domain'!$K$134</definedName>
    <definedName name="sample_mgmt_az1_host7_mgmt_ip">'Deploy Management Domain'!$K$336</definedName>
    <definedName name="sample_mgmt_az1_host7_vrms_ip">'Site Protection &amp; DR'!$C$182</definedName>
    <definedName name="sample_mgmt_az1_host8_fqdn">'Deploy Management Domain'!$K$135</definedName>
    <definedName name="sample_mgmt_az1_host8_mgmt_ip">'Deploy Management Domain'!$K$337</definedName>
    <definedName name="sample_mgmt_az1_host8_vrms_ip">'Site Protection &amp; DR'!$C$183</definedName>
    <definedName name="sample_mgmt_az1_host9_fqdn">'Deploy Management Domain'!$K$136</definedName>
    <definedName name="sample_mgmt_az1_host9_mgmt_ip">'Deploy Management Domain'!$K$338</definedName>
    <definedName name="sample_mgmt_az1_host9_vrms_ip">'Site Protection &amp; DR'!$C$184</definedName>
    <definedName name="sample_mgmt_az1_mgmt_cidr">'Deploy Management Domain'!$K$150</definedName>
    <definedName name="sample_mgmt_az1_mgmt_gateway_ip">'Deploy Management Domain'!$K$149</definedName>
    <definedName name="sample_mgmt_az1_mgmt_mtu">'Deploy Management Domain'!$K$151</definedName>
    <definedName name="sample_mgmt_az1_mgmt_vlan">'Deploy Management Domain'!$K$148</definedName>
    <definedName name="sample_mgmt_az1_mgmt_vm_cidr">'Deploy Management Domain'!$K$156</definedName>
    <definedName name="sample_mgmt_az1_mgmt_vm_gateway_ip">'Deploy Management Domain'!$K$155</definedName>
    <definedName name="sample_mgmt_az1_mgmt_vm_mtu">'Deploy Management Domain'!$K$157</definedName>
    <definedName name="sample_mgmt_az1_mgmt_vm_prefix">'On-Premises Ransomware Recovery'!$C$24</definedName>
    <definedName name="sample_mgmt_az1_mgmt_vm_vlan">'Deploy Management Domain'!$K$154</definedName>
    <definedName name="sample_mgmt_az1_rtep_ip_pool_name">'Configure Management Domain'!$C$491</definedName>
    <definedName name="sample_mgmt_az1_rtep_overlay_cidr">'Configure Management Domain'!$C$494</definedName>
    <definedName name="sample_mgmt_az1_rtep_overlay_gateway_ip">'Configure Management Domain'!$C$495</definedName>
    <definedName name="sample_mgmt_az1_rtep_overlay_vlan">'Configure Management Domain'!$C$518</definedName>
    <definedName name="sample_mgmt_az1_secondary_storage_cidr">'Deploy Management Domain'!$K$175</definedName>
    <definedName name="sample_mgmt_az1_secondary_storage_gateway_ip">'Deploy Management Domain'!$K$174</definedName>
    <definedName name="sample_mgmt_az1_secondary_storage_mtu">'Deploy Management Domain'!$K$176</definedName>
    <definedName name="sample_mgmt_az1_secondary_storage_pool_end_ip">'Deploy Management Domain'!$K$178</definedName>
    <definedName name="sample_mgmt_az1_secondary_storage_pool_start_ip">'Deploy Management Domain'!$K$177</definedName>
    <definedName name="sample_mgmt_az1_secondary_storage_vlan">'Deploy Management Domain'!$K$173</definedName>
    <definedName name="sample_mgmt_az1_tor1_peer_asn">'Configure Management Domain'!$C$163</definedName>
    <definedName name="sample_mgmt_az1_tor1_peer_bgp_password">'Configure Management Domain'!$C$164</definedName>
    <definedName name="sample_mgmt_az1_tor1_peer_ip">'Configure Management Domain'!$C$160</definedName>
    <definedName name="sample_mgmt_az1_tor2_peer_asn">'Configure Management Domain'!$C$170</definedName>
    <definedName name="sample_mgmt_az1_tor2_peer_bgp_password">'Configure Management Domain'!$C$171</definedName>
    <definedName name="sample_mgmt_az1_tor2_peer_ip">'Configure Management Domain'!$C$167</definedName>
    <definedName name="sample_mgmt_az1_uplink01_cidr">'Configure Management Domain'!$C$195</definedName>
    <definedName name="sample_mgmt_az1_uplink01_gateway_ip">'Configure Management Domain'!$C$194</definedName>
    <definedName name="sample_mgmt_az1_uplink01_mtu">'Configure Management Domain'!$C$162</definedName>
    <definedName name="sample_mgmt_az1_uplink01_vlan">'Configure Management Domain'!$C$158</definedName>
    <definedName name="sample_mgmt_az1_uplink02_cidr">'Configure Management Domain'!$C$199</definedName>
    <definedName name="sample_mgmt_az1_uplink02_gateway_ip">'Configure Management Domain'!$C$198</definedName>
    <definedName name="sample_mgmt_az1_uplink02_mtu">'Configure Management Domain'!$C$169</definedName>
    <definedName name="sample_mgmt_az1_uplink02_vlan">'Configure Management Domain'!$C$165</definedName>
    <definedName name="sample_mgmt_az1_vmotion_cidr">'Deploy Management Domain'!$K$161</definedName>
    <definedName name="sample_mgmt_az1_vmotion_gateway_ip">'Deploy Management Domain'!$K$160</definedName>
    <definedName name="sample_mgmt_az1_vmotion_mtu">'Deploy Management Domain'!$K$162</definedName>
    <definedName name="sample_mgmt_az1_vmotion_pool_end_ip">'Deploy Management Domain'!$K$164</definedName>
    <definedName name="sample_mgmt_az1_vmotion_pool_start_ip">'Deploy Management Domain'!$K$163</definedName>
    <definedName name="sample_mgmt_az1_vmotion_vlan">'Deploy Management Domain'!$K$159</definedName>
    <definedName name="sample_mgmt_az1_vrms_cidr">'Site Protection &amp; DR'!$C$171</definedName>
    <definedName name="sample_mgmt_az1_vrms_gateway_ip">'Site Protection &amp; DR'!$C$173</definedName>
    <definedName name="sample_mgmt_az1_vrms_mask">'Site Protection &amp; DR'!$C$172</definedName>
    <definedName name="sample_mgmt_az1_vrms_mtu">'Site Protection &amp; DR'!$C$174</definedName>
    <definedName name="sample_mgmt_az1_vrms_vlan">'Site Protection &amp; DR'!$C$163</definedName>
    <definedName name="sample_mgmt_az1_vsan_cidr">'Deploy Management Domain'!$K$168</definedName>
    <definedName name="sample_mgmt_az1_vsan_gateway_ip">'Deploy Management Domain'!$K$167</definedName>
    <definedName name="sample_mgmt_az1_vsan_mtu">'Deploy Management Domain'!$K$169</definedName>
    <definedName name="sample_mgmt_az1_vsan_pool_end_ip">'Deploy Management Domain'!$K$171</definedName>
    <definedName name="sample_mgmt_az1_vsan_pool_start_ip">'Deploy Management Domain'!$K$170</definedName>
    <definedName name="sample_mgmt_az1_vsan_vlan">'Deploy Management Domain'!$K$166</definedName>
    <definedName name="sample_mgmt_az2_host_hostnames">'Configure Management Domain'!$C$279:$C$294</definedName>
    <definedName name="sample_mgmt_az2_host_overlay_cidr">'Configure Management Domain'!$C$367</definedName>
    <definedName name="sample_mgmt_az2_host_overlay_gateway_ip">'Configure Management Domain'!$C$366</definedName>
    <definedName name="sample_mgmt_az2_host_overlay_mtu">'Configure Management Domain'!$C$368</definedName>
    <definedName name="sample_mgmt_az2_host_overlay_network_pool_name">'Configure Management Domain'!$C$363</definedName>
    <definedName name="sample_mgmt_az2_host_overlay_network_profile_name">'Configure Management Domain'!$C$361</definedName>
    <definedName name="sample_mgmt_az2_host_overlay_pool_end_ip">'Configure Management Domain'!$C$370</definedName>
    <definedName name="sample_mgmt_az2_host_overlay_pool_start_ip">'Configure Management Domain'!$C$369</definedName>
    <definedName name="sample_mgmt_az2_host_overlay_uplink_profile_name">'Configure Management Domain'!$C$364</definedName>
    <definedName name="sample_mgmt_az2_host_overlay_vlan">'Configure Management Domain'!$C$365</definedName>
    <definedName name="sample_mgmt_az2_host1_fqdn">'Configure Management Domain'!$C$279</definedName>
    <definedName name="sample_mgmt_az2_host1_mgmt_ip">'Configure Management Domain'!$C$230</definedName>
    <definedName name="sample_mgmt_az2_host1_sddc_id">'Configure Management Domain'!$C$345</definedName>
    <definedName name="sample_mgmt_az2_host1_vrms_ip">'Site Protection &amp; DR'!$C$193</definedName>
    <definedName name="sample_mgmt_az2_host10_fqdn">'Configure Management Domain'!$C$288</definedName>
    <definedName name="sample_mgmt_az2_host10_mgmt_ip">'Configure Management Domain'!$C$239</definedName>
    <definedName name="sample_mgmt_az2_host10_vrms_ip">'Site Protection &amp; DR'!$C$202</definedName>
    <definedName name="sample_mgmt_az2_host11_fqdn">'Configure Management Domain'!$C$289</definedName>
    <definedName name="sample_mgmt_az2_host11_mgmt_ip">'Configure Management Domain'!$C$240</definedName>
    <definedName name="sample_mgmt_az2_host11_vrms_ip">'Site Protection &amp; DR'!$C$203</definedName>
    <definedName name="sample_mgmt_az2_host12_fqdn">'Configure Management Domain'!$C$290</definedName>
    <definedName name="sample_mgmt_az2_host12_mgmt_ip">'Configure Management Domain'!$C$241</definedName>
    <definedName name="sample_mgmt_az2_host12_vrms_ip">'Site Protection &amp; DR'!$C$204</definedName>
    <definedName name="sample_mgmt_az2_host13_fqdn">'Configure Management Domain'!$C$291</definedName>
    <definedName name="sample_mgmt_az2_host13_mgmt_ip">'Configure Management Domain'!$C$242</definedName>
    <definedName name="sample_mgmt_az2_host13_vrms_ip">'Site Protection &amp; DR'!$C$205</definedName>
    <definedName name="sample_mgmt_az2_host14_fqdn">'Configure Management Domain'!$C$292</definedName>
    <definedName name="sample_mgmt_az2_host14_mgmt_ip">'Configure Management Domain'!$C$243</definedName>
    <definedName name="sample_mgmt_az2_host14_vrms_ip">'Site Protection &amp; DR'!$C$206</definedName>
    <definedName name="sample_mgmt_az2_host15_fqdn">'Configure Management Domain'!$C$293</definedName>
    <definedName name="sample_mgmt_az2_host15_mgmt_ip">'Configure Management Domain'!$C$244</definedName>
    <definedName name="sample_mgmt_az2_host15_vrms_ip">'Site Protection &amp; DR'!$C$207</definedName>
    <definedName name="sample_mgmt_az2_host16_fqdn">'Configure Management Domain'!$C$294</definedName>
    <definedName name="sample_mgmt_az2_host16_mgmt_ip">'Configure Management Domain'!$C$245</definedName>
    <definedName name="sample_mgmt_az2_host16_vrms_ip">'Site Protection &amp; DR'!$C$208</definedName>
    <definedName name="sample_mgmt_az2_host2_fqdn">'Configure Management Domain'!$C$280</definedName>
    <definedName name="sample_mgmt_az2_host2_mgmt_ip">'Configure Management Domain'!$C$231</definedName>
    <definedName name="sample_mgmt_az2_host2_sddc_id">'Configure Management Domain'!$C$346</definedName>
    <definedName name="sample_mgmt_az2_host2_vrms_ip">'Site Protection &amp; DR'!$C$194</definedName>
    <definedName name="sample_mgmt_az2_host3_fqdn">'Configure Management Domain'!$C$281</definedName>
    <definedName name="sample_mgmt_az2_host3_mgmt_ip">'Configure Management Domain'!$C$232</definedName>
    <definedName name="sample_mgmt_az2_host3_sddc_id">'Configure Management Domain'!$C$347</definedName>
    <definedName name="sample_mgmt_az2_host3_vrms_ip">'Site Protection &amp; DR'!$C$195</definedName>
    <definedName name="sample_mgmt_az2_host4_fqdn">'Configure Management Domain'!$C$282</definedName>
    <definedName name="sample_mgmt_az2_host4_mgmt_ip">'Configure Management Domain'!$C$233</definedName>
    <definedName name="sample_mgmt_az2_host4_sddc_id">'Configure Management Domain'!$C$348</definedName>
    <definedName name="sample_mgmt_az2_host4_vrms_ip">'Site Protection &amp; DR'!$C$196</definedName>
    <definedName name="sample_mgmt_az2_host5_fqdn">'Configure Management Domain'!$C$283</definedName>
    <definedName name="sample_mgmt_az2_host5_mgmt_ip">'Configure Management Domain'!$C$234</definedName>
    <definedName name="sample_mgmt_az2_host5_vrms_ip">'Site Protection &amp; DR'!$C$197</definedName>
    <definedName name="sample_mgmt_az2_host6_fqdn">'Configure Management Domain'!$C$284</definedName>
    <definedName name="sample_mgmt_az2_host6_mgmt_ip">'Configure Management Domain'!$C$235</definedName>
    <definedName name="sample_mgmt_az2_host6_vrms_ip">'Site Protection &amp; DR'!$C$198</definedName>
    <definedName name="sample_mgmt_az2_host7_fqdn">'Configure Management Domain'!$C$285</definedName>
    <definedName name="sample_mgmt_az2_host7_mgmt_ip">'Configure Management Domain'!$C$236</definedName>
    <definedName name="sample_mgmt_az2_host7_vrms_ip">'Site Protection &amp; DR'!$C$199</definedName>
    <definedName name="sample_mgmt_az2_host8_fqdn">'Configure Management Domain'!$C$286</definedName>
    <definedName name="sample_mgmt_az2_host8_mgmt_ip">'Configure Management Domain'!$C$237</definedName>
    <definedName name="sample_mgmt_az2_host8_vrms_ip">'Site Protection &amp; DR'!$C$200</definedName>
    <definedName name="sample_mgmt_az2_host9_fqdn">'Configure Management Domain'!$C$287</definedName>
    <definedName name="sample_mgmt_az2_host9_mgmt_ip">'Configure Management Domain'!$C$238</definedName>
    <definedName name="sample_mgmt_az2_host9_vrms_ip">'Site Protection &amp; DR'!$C$201</definedName>
    <definedName name="sample_mgmt_az2_mgmt_cidr">'Configure Management Domain'!$C$227</definedName>
    <definedName name="sample_mgmt_az2_mgmt_gateway_ip">'Configure Management Domain'!$C$226</definedName>
    <definedName name="sample_mgmt_az2_mgmt_mtu">'Configure Management Domain'!$C$228</definedName>
    <definedName name="sample_mgmt_az2_mgmt_vlan">'Configure Management Domain'!$C$225</definedName>
    <definedName name="sample_mgmt_az2_pool_name">'Configure Management Domain'!$C$250</definedName>
    <definedName name="sample_mgmt_az2_secondary_storage_cidr">'Management Domain As Built'!$C$87</definedName>
    <definedName name="sample_mgmt_az2_secondary_storage_gateway_ip">'Configure Management Domain'!$C$272</definedName>
    <definedName name="sample_mgmt_az2_secondary_storage_mask">'Configure Management Domain'!$C$271</definedName>
    <definedName name="sample_mgmt_az2_secondary_storage_mtu">'Configure Management Domain'!$C$269</definedName>
    <definedName name="sample_mgmt_az2_secondary_storage_network">'Configure Management Domain'!$C$270</definedName>
    <definedName name="sample_mgmt_az2_secondary_storage_pool_end_ip">'Configure Management Domain'!$C$274</definedName>
    <definedName name="sample_mgmt_az2_secondary_storage_pool_start_ip">'Configure Management Domain'!$C$273</definedName>
    <definedName name="sample_mgmt_az2_secondary_storage_vlan">'Configure Management Domain'!$C$268</definedName>
    <definedName name="sample_mgmt_az2_tor1_peer_asn">'Configure Management Domain'!$C$385</definedName>
    <definedName name="sample_mgmt_az2_tor1_peer_bgp_password">'Configure Management Domain'!$C$388</definedName>
    <definedName name="sample_mgmt_az2_tor1_peer_ip">'Configure Management Domain'!$C$384</definedName>
    <definedName name="sample_mgmt_az2_tor2_peer_asn">'Configure Management Domain'!$C$392</definedName>
    <definedName name="sample_mgmt_az2_tor2_peer_bgp_password">'Configure Management Domain'!$C$393</definedName>
    <definedName name="sample_mgmt_az2_tor2_peer_ip">'Configure Management Domain'!$C$389</definedName>
    <definedName name="sample_mgmt_az2_vmotion_cidr">'Management Domain As Built'!$C$72</definedName>
    <definedName name="sample_mgmt_az2_vmotion_gateway_ip">'Configure Management Domain'!$C$256</definedName>
    <definedName name="sample_mgmt_az2_vmotion_mask">'Configure Management Domain'!$C$255</definedName>
    <definedName name="sample_mgmt_az2_vmotion_mtu">'Configure Management Domain'!$C$253</definedName>
    <definedName name="sample_mgmt_az2_vmotion_network">'Configure Management Domain'!$C$254</definedName>
    <definedName name="sample_mgmt_az2_vmotion_pool_end_ip">'Configure Management Domain'!$C$258</definedName>
    <definedName name="sample_mgmt_az2_vmotion_pool_start_ip">'Configure Management Domain'!$C$257</definedName>
    <definedName name="sample_mgmt_az2_vmotion_vlan">'Configure Management Domain'!$C$252</definedName>
    <definedName name="sample_mgmt_az2_vsan_cidr">'Management Domain As Built'!$C$80</definedName>
    <definedName name="sample_mgmt_az2_vsan_gateway_ip">'Configure Management Domain'!$C$264</definedName>
    <definedName name="sample_mgmt_az2_vsan_mask">'Configure Management Domain'!$C$263</definedName>
    <definedName name="sample_mgmt_az2_vsan_mtu">'Configure Management Domain'!$C$261</definedName>
    <definedName name="sample_mgmt_az2_vsan_network">'Configure Management Domain'!$C$262</definedName>
    <definedName name="sample_mgmt_az2_vsan_pool_end_ip">'Configure Management Domain'!$C$266</definedName>
    <definedName name="sample_mgmt_az2_vsan_pool_start_ip">'Configure Management Domain'!$C$265</definedName>
    <definedName name="sample_mgmt_az2_vsan_vlan">'Configure Management Domain'!$C$260</definedName>
    <definedName name="sample_mgmt_cl01_az1_mgmt_pg">'Deploy Management Domain'!$K$221</definedName>
    <definedName name="sample_mgmt_cl01_az1_mgmt_vm_pg">'Deploy Management Domain'!$K$226</definedName>
    <definedName name="sample_mgmt_cl01_az1_nfs_pg">'Deploy Management Domain'!$K$241</definedName>
    <definedName name="sample_mgmt_cl01_az1_uplink01_pg">'Configure Management Domain'!$C$193</definedName>
    <definedName name="sample_mgmt_cl01_az1_uplink02_pg">'Configure Management Domain'!$C$197</definedName>
    <definedName name="sample_mgmt_cl01_az1_vcf_mgmt_pg">Arkham!$A$9</definedName>
    <definedName name="sample_mgmt_cl01_az1_vmotion_pg">'Deploy Management Domain'!$K$231</definedName>
    <definedName name="sample_mgmt_cl01_az1_vsan_pg">'Deploy Management Domain'!$K$236</definedName>
    <definedName name="sample_mgmt_cl01_cluster">'Deploy Management Domain'!$K$94</definedName>
    <definedName name="sample_mgmt_cl01_cluster_sddc_id">'Configure Management Domain'!$C$374</definedName>
    <definedName name="sample_mgmt_cl01_nfs_server_ip">'Deploy Management Domain'!$K$121</definedName>
    <definedName name="sample_mgmt_cl01_nfs_share">'Deploy Management Domain'!$K$120</definedName>
    <definedName name="sample_mgmt_cl01_vds01_lag_name">'Deploy Management Domain'!$K$191</definedName>
    <definedName name="sample_mgmt_cl01_vds01_mtu">'Deploy Management Domain'!$K$189</definedName>
    <definedName name="sample_mgmt_cl01_vds01_name">'Deploy Management Domain'!$K$188</definedName>
    <definedName name="sample_mgmt_cl01_vds01_uplink_count">'Deploy Management Domain'!$K$195</definedName>
    <definedName name="sample_mgmt_cl01_vds01_uplink1">'Deploy Management Domain'!$K$196</definedName>
    <definedName name="sample_mgmt_cl01_vds01_uplink2">'Deploy Management Domain'!$K$197</definedName>
    <definedName name="sample_mgmt_cl01_vds02_lag_name">'Deploy Management Domain'!$K$202</definedName>
    <definedName name="sample_mgmt_cl01_vds02_mtu">'Deploy Management Domain'!$K$200</definedName>
    <definedName name="sample_mgmt_cl01_vds02_name">'Deploy Management Domain'!$K$199</definedName>
    <definedName name="sample_mgmt_cl01_vds02_uplink_count">'Deploy Management Domain'!$K$206</definedName>
    <definedName name="sample_mgmt_cl01_vds02_uplink1">'Deploy Management Domain'!$K$207</definedName>
    <definedName name="sample_mgmt_cl01_vds02_uplink2">'Deploy Management Domain'!$K$208</definedName>
    <definedName name="sample_mgmt_cl01_vds03_lag_name">'Deploy Management Domain'!$K$213</definedName>
    <definedName name="sample_mgmt_cl01_vds03_mtu">'Deploy Management Domain'!$K$212</definedName>
    <definedName name="sample_mgmt_cl01_vds03_name">'Deploy Management Domain'!$K$210</definedName>
    <definedName name="sample_mgmt_cl01_vds03_uplink_count">'Deploy Management Domain'!$K$217</definedName>
    <definedName name="sample_mgmt_cl01_vds03_uplink1">'Deploy Management Domain'!$K$218</definedName>
    <definedName name="sample_mgmt_cl01_vds03_uplink2">'Deploy Management Domain'!$K$219</definedName>
    <definedName name="sample_mgmt_cl01_vsan_datastore">'Deploy Management Domain'!$K$117</definedName>
    <definedName name="sample_mgmt_cross_instance_linked_t0_name">'Configure Management Domain'!$C$523</definedName>
    <definedName name="sample_mgmt_datacenter">'Deploy Management Domain'!$K$93</definedName>
    <definedName name="sample_mgmt_ec_mtu">'Configure Management Domain'!$C$96</definedName>
    <definedName name="sample_mgmt_ec_name">'Configure Management Domain'!$C$95</definedName>
    <definedName name="sample_mgmt_ec_rp_name">'Configure Management Domain'!$C$101</definedName>
    <definedName name="sample_mgmt_ec01_en01_host_group_affinity_rule_name">'Configure Management Domain'!$C$103</definedName>
    <definedName name="sample_mgmt_ec01_en02_host_group_affinity_rule_name">'Configure Management Domain'!$C$129</definedName>
    <definedName name="sample_mgmt_en_asn">'Configure Management Domain'!$C$156</definedName>
    <definedName name="sample_mgmt_existing_active_nsx_gm">'Configure Management Domain'!$C$531</definedName>
    <definedName name="sample_mgmt_existing_cross_instance_t0_name">'Configure Management Domain'!$C$532</definedName>
    <definedName name="sample_mgmt_host_overlay_transportzone">'Deploy Management Domain'!$K$252</definedName>
    <definedName name="sample_mgmt_internet_proxy_address">'Deploy Management Domain'!$K$15</definedName>
    <definedName name="sample_mgmt_internet_proxy_email">'Deploy Management Domain'!$K$18</definedName>
    <definedName name="sample_mgmt_internet_proxy_password">'Deploy Management Domain'!$K$19</definedName>
    <definedName name="sample_mgmt_internet_proxy_port">'Deploy Management Domain'!$K$16</definedName>
    <definedName name="sample_mgmt_mgmt_rp">'Deploy Management Domain'!$K$350</definedName>
    <definedName name="sample_mgmt_nsx_rp">'Deploy Management Domain'!$K$351</definedName>
    <definedName name="sample_mgmt_nsxt_en_admin_password">'Configure Management Domain'!$C$150</definedName>
    <definedName name="sample_mgmt_nsxt_en_root_password">'Configure Management Domain'!$C$149</definedName>
    <definedName name="sample_mgmt_nsxt_federation_global_manager_name">'Configure Management Domain'!$C$498</definedName>
    <definedName name="sample_mgmt_nsxt_federation_location_name">'Configure Management Domain'!$C$512</definedName>
    <definedName name="sample_mgmt_nsxt_global_mgr_anti_affinity_rule_name">'Configure Management Domain'!$C$469</definedName>
    <definedName name="sample_mgmt_nsxt_global_mgr_certificate_id">'Configure Management Domain'!$C$481</definedName>
    <definedName name="sample_mgmt_nsxt_global_mgr_cluster_id">'Configure Management Domain'!$C$453</definedName>
    <definedName name="sample_mgmt_nsxt_global_mgr_vmca_signed_thumbprint">'Configure Management Domain'!$C$454</definedName>
    <definedName name="sample_mgmt_nsxt_global_mgra_fqdn">'Configure Management Domain'!$C$409</definedName>
    <definedName name="sample_mgmt_nsxt_global_mgra_hostname">'Configure Management Domain'!$C$400</definedName>
    <definedName name="sample_mgmt_nsxt_global_mgra_ip">'Configure Management Domain'!$C$410</definedName>
    <definedName name="sample_mgmt_nsxt_global_mgrb_fqdn">'Configure Management Domain'!$C$426</definedName>
    <definedName name="sample_mgmt_nsxt_global_mgrb_hostname">'Configure Management Domain'!$C$417</definedName>
    <definedName name="sample_mgmt_nsxt_global_mgrb_ip">'Configure Management Domain'!$C$427</definedName>
    <definedName name="sample_mgmt_nsxt_global_mgrc_fqdn">'Configure Management Domain'!$C$443</definedName>
    <definedName name="sample_mgmt_nsxt_global_mgrc_hostname">'Configure Management Domain'!$C$434</definedName>
    <definedName name="sample_mgmt_nsxt_global_mgrc_ip">'Configure Management Domain'!$C$444</definedName>
    <definedName name="sample_mgmt_nsxt_gm_fingerprint">'Configure Management Domain'!$C$501</definedName>
    <definedName name="sample_mgmt_nsxt_gm_vip_fqdn">'Configure Management Domain'!$C$450</definedName>
    <definedName name="sample_mgmt_nsxt_gm_vip_ip">'Configure Management Domain'!$C$475</definedName>
    <definedName name="sample_mgmt_nsxt_lm_fingerprint">'Configure Management Domain'!$C$510</definedName>
    <definedName name="sample_mgmt_nsxt_mgra_fqdn">'Deploy Management Domain'!$K$105</definedName>
    <definedName name="sample_mgmt_nsxt_mgra_ip">'Deploy Management Domain'!$K$326</definedName>
    <definedName name="sample_mgmt_nsxt_mgrb_fqdn">'Deploy Management Domain'!$K$106</definedName>
    <definedName name="sample_mgmt_nsxt_mgrb_ip">'Deploy Management Domain'!$K$327</definedName>
    <definedName name="sample_mgmt_nsxt_mgrc_fqdn">'Deploy Management Domain'!$K$107</definedName>
    <definedName name="sample_mgmt_nsxt_mgrc_ip">'Deploy Management Domain'!$K$328</definedName>
    <definedName name="sample_mgmt_nsxt_vip_fqdn">'Deploy Management Domain'!$K$104</definedName>
    <definedName name="sample_mgmt_nsxt_vip_ip">'Deploy Management Domain'!$K$325</definedName>
    <definedName name="sample_mgmt_nsxt_xreg_t1_name">'Configure Management Domain'!$C$522</definedName>
    <definedName name="sample_mgmt_offline_depot_fqdn">'Deploy Management Domain'!$K$10</definedName>
    <definedName name="sample_mgmt_offline_depot_port">'Deploy Management Domain'!$K$11</definedName>
    <definedName name="sample_mgmt_recovery_lb_creation_method">'Dumping Ground'!$C$53</definedName>
    <definedName name="sample_mgmt_rtep_overlay_pool_end_ip">'Configure Management Domain'!$C$493</definedName>
    <definedName name="sample_mgmt_rtep_overlay_pool_start_ip">'Configure Management Domain'!$C$492</definedName>
    <definedName name="sample_mgmt_rwr_recovery_site_az1_mgmt_cidr">'On-Premises Ransomware Recovery'!$C$101</definedName>
    <definedName name="sample_mgmt_rwr_vc_fqdn">'On-Premises Ransomware Recovery'!$C$9</definedName>
    <definedName name="sample_mgmt_sddc_domain">'Deploy Management Domain'!$K$39</definedName>
    <definedName name="sample_mgmt_srm_admin_email">'Dumping Ground'!$C$41</definedName>
    <definedName name="sample_mgmt_srm_admin_password">'Dumping Ground'!$C$38</definedName>
    <definedName name="sample_mgmt_srm_database_password">'Dumping Ground'!$C$39</definedName>
    <definedName name="sample_mgmt_srm_days">'Site Protection &amp; DR'!$C$255</definedName>
    <definedName name="sample_mgmt_srm_instances_per_day">'Site Protection &amp; DR'!$C$254</definedName>
    <definedName name="sample_mgmt_srm_ip">'Dumping Ground'!$F$6</definedName>
    <definedName name="sample_mgmt_srm_logs_pg">'Site Protection &amp; DR'!$C$282</definedName>
    <definedName name="sample_mgmt_srm_logs_rp">'Site Protection &amp; DR'!$C$283</definedName>
    <definedName name="sample_mgmt_srm_net_pg">'Site Protection &amp; DR'!$C$307</definedName>
    <definedName name="sample_mgmt_srm_net_rp">'Site Protection &amp; DR'!$C$308</definedName>
    <definedName name="sample_mgmt_srm_p12_password">'Dumping Ground'!$C$42</definedName>
    <definedName name="sample_mgmt_srm_recovery_cluster">'Site Protection &amp; DR'!$C$324</definedName>
    <definedName name="sample_mgmt_srm_recovery_datastore">'Site Protection &amp; DR'!$C$252</definedName>
    <definedName name="sample_mgmt_srm_recovery_gateway">'Site Protection &amp; DR'!$C$382</definedName>
    <definedName name="sample_mgmt_srm_recovery_mask">'Site Protection &amp; DR'!$C$383</definedName>
    <definedName name="sample_mgmt_srm_recovery_nsx_ec_name">'Dumping Ground'!$C$60</definedName>
    <definedName name="sample_mgmt_srm_recovery_nsx_location">'Dumping Ground'!$C$59</definedName>
    <definedName name="sample_mgmt_srm_recovery_pg">'Site Protection &amp; DR'!$C$376</definedName>
    <definedName name="sample_mgmt_srm_recovery_sddc_manager_domain">'Dumping Ground'!$C$58</definedName>
    <definedName name="sample_mgmt_srm_recovery_sddc_manager_fqdn">'Dumping Ground'!$C$17</definedName>
    <definedName name="sample_mgmt_srm_recovery_sddc_manager_password">'Dumping Ground'!$C$19</definedName>
    <definedName name="sample_mgmt_srm_recovery_sddc_manager_username">'Dumping Ground'!$C$18</definedName>
    <definedName name="sample_mgmt_srm_recovery_t1_si_ip">'Dumping Ground'!$F$7</definedName>
    <definedName name="sample_mgmt_srm_recovery_vcenter_fqdn">'Site Protection &amp; DR'!$C$217</definedName>
    <definedName name="sample_mgmt_srm_recovery_vcenter_password">'Site Protection &amp; DR'!$C$219</definedName>
    <definedName name="sample_mgmt_srm_recovery_vcenter_username">'Site Protection &amp; DR'!$C$218</definedName>
    <definedName name="sample_mgmt_srm_root_password">'Dumping Ground'!$C$37</definedName>
    <definedName name="sample_mgmt_srm_rpo">'Site Protection &amp; DR'!$C$253</definedName>
    <definedName name="sample_mgmt_srm_site_name">'Dumping Ground'!$C$40</definedName>
    <definedName name="sample_mgmt_srm_sso_domain_membership">'Dumping Ground'!$C$64</definedName>
    <definedName name="sample_mgmt_srm_vm_folder">'Dumping Ground'!$C$36</definedName>
    <definedName name="sample_mgmt_srm_vra_pg">'Dumping Ground'!$C$50</definedName>
    <definedName name="sample_mgmt_srm_vra_rp">'Dumping Ground'!$C$51</definedName>
    <definedName name="sample_mgmt_srm_vrops_pg">'Site Protection &amp; DR'!$C$256</definedName>
    <definedName name="sample_mgmt_srm_vrops_rp">'Site Protection &amp; DR'!$C$257</definedName>
    <definedName name="sample_mgmt_srm_vrslcm_wsa_pg">'Dumping Ground'!$C$46</definedName>
    <definedName name="sample_mgmt_srm_vrslcm_wsa_rp">'Dumping Ground'!$C$47</definedName>
    <definedName name="sample_mgmt_sso_domain">'Deploy Management Domain'!$K$95</definedName>
    <definedName name="sample_mgmt_sso_domain_username">'Deploy Management Domain'!$K$96</definedName>
    <definedName name="sample_mgmt_tier0_name">'Configure Management Domain'!$C$153</definedName>
    <definedName name="sample_mgmt_tier1_name">'Value Reference Tables'!$T$212</definedName>
    <definedName name="sample_mgmt_user_edge_rp">'Deploy Management Domain'!$K$352</definedName>
    <definedName name="sample_mgmt_user_vm_rp">'Deploy Management Domain'!$K$353</definedName>
    <definedName name="sample_mgmt_vc_fqdn">'Deploy Management Domain'!$K$90</definedName>
    <definedName name="sample_mgmt_vc_ip">'Deploy Management Domain'!$K$323</definedName>
    <definedName name="sample_mgmt_vnaa_fqdn">Arkham!$P$49</definedName>
    <definedName name="sample_mgmt_vnaa_ip">Arkham!$P$47</definedName>
    <definedName name="sample_mgmt_vnab_fqdn">Arkham!$P$50</definedName>
    <definedName name="sample_mgmt_vnab_ip">Arkham!$P$48</definedName>
    <definedName name="sample_mgmt_vpc_ext_ip_blocks">'Configure Management Domain'!$C$188</definedName>
    <definedName name="sample_mgmt_vpc_transit_gateway_ip_blocks">'Configure Management Domain'!$C$189</definedName>
    <definedName name="sample_mgmt_vrms_admin_email">'Site Protection &amp; DR'!$C$153</definedName>
    <definedName name="sample_mgmt_vrms_admin_password">'Dumping Ground'!$C$30</definedName>
    <definedName name="sample_mgmt_vrms_hostname">'Dumping Ground'!$D$4</definedName>
    <definedName name="sample_mgmt_vrms_mgmt_ip">'Site Protection &amp; DR'!$C$113</definedName>
    <definedName name="sample_mgmt_vrms_p12_password">'Dumping Ground'!$C$34</definedName>
    <definedName name="sample_mgmt_vrms_pg">'Site Protection &amp; DR'!$C$162</definedName>
    <definedName name="sample_mgmt_vrms_recovery_replication_cidr">'Dumping Ground'!$C$63</definedName>
    <definedName name="sample_mgmt_vrms_root_password">'Dumping Ground'!$C$29</definedName>
    <definedName name="sample_mgmt_vrms_site_name">'Site Protection &amp; DR'!$C$152</definedName>
    <definedName name="sample_mgmt_vrms_vm_folder">'Dumping Ground'!$C$28</definedName>
    <definedName name="sample_mgmt_vrms_vrms_ip">'Dumping Ground'!$F$5</definedName>
    <definedName name="sample_mgmt_witness_cluster">'Configure Management Domain'!$C$313</definedName>
    <definedName name="sample_mgmt_witness_dns1_ip">'Configure Management Domain'!$C$324</definedName>
    <definedName name="sample_mgmt_witness_dns2_ip">'Configure Management Domain'!$C$325</definedName>
    <definedName name="sample_mgmt_witness_fqdn">'Configure Management Domain'!$C$371</definedName>
    <definedName name="sample_mgmt_witness_hostname">'Configure Management Domain'!$C$312</definedName>
    <definedName name="sample_mgmt_witness_ip">'Configure Management Domain'!$C$319</definedName>
    <definedName name="sample_mgmt_witness_mgmt_pg">'Configure Management Domain'!$C$316</definedName>
    <definedName name="sample_mgmt_witness_ntp1_server">'Configure Management Domain'!$C$326</definedName>
    <definedName name="sample_mgmt_witness_ntp2_server">'Configure Management Domain'!$C$327</definedName>
    <definedName name="sample_mgmt_witness_root_password">'Configure Management Domain'!$C$318</definedName>
    <definedName name="sample_mgmt_witness_vm_folder">'Configure Management Domain'!$C$314</definedName>
    <definedName name="sample_mgmt_witness_vsan_datastore">'Configure Management Domain'!$C$315</definedName>
    <definedName name="sample_mgmt_witness_zone_vc_fqdn">'Configure Management Domain'!$C$310</definedName>
    <definedName name="sample_mgmt_witness_zone_vc_ip">'Configure Management Domain'!$C$311</definedName>
    <definedName name="sample_mgmt_witnessaz_mgmt_cidr">'Configure Management Domain'!$C$307</definedName>
    <definedName name="sample_mgmt_witnessaz_mgmt_gateway_ip">'Configure Management Domain'!$C$306</definedName>
    <definedName name="sample_mgmt_witnessaz_mgmt_mtu">'Configure Management Domain'!$C$308</definedName>
    <definedName name="sample_mgmt_witnessaz_mgmt_vlan">'Configure Management Domain'!$C$305</definedName>
    <definedName name="sample_nsxt_gm_admin_password">'Configure Management Domain'!$C$407</definedName>
    <definedName name="sample_nsxt_gm_audit_password">'Configure Management Domain'!$C$408</definedName>
    <definedName name="sample_nsxt_gm_root_password">'Configure Management Domain'!$C$406</definedName>
    <definedName name="sample_nsxt_lm_admin_password">'Deploy Management Domain'!$K$108</definedName>
    <definedName name="sample_nsxt_lm_audit_password">'Deploy Management Domain'!$K$110</definedName>
    <definedName name="sample_nsxt_lm_root_password">'Deploy Management Domain'!$K$109</definedName>
    <definedName name="sample_parent_ad_groups_ou">'Active Directory Inputs'!$D$10</definedName>
    <definedName name="sample_parent_ad_users_ou">'Active Directory Inputs'!$F$10</definedName>
    <definedName name="sample_parent_dns_zone">'Deploy Management Domain'!$K$43</definedName>
    <definedName name="sample_parent_gg_wsa_admins_group">'Active Directory Inputs'!$D$59</definedName>
    <definedName name="sample_parent_gg_wsa_directory_admins_group">'Active Directory Inputs'!$D$60</definedName>
    <definedName name="sample_parent_gg_wsa_read_only_group">'Active Directory Inputs'!$D$61</definedName>
    <definedName name="sample_region_ad_child_fqdn">'Value Reference Tables'!$C$10</definedName>
    <definedName name="sample_region_ad_child_netbios">'Active Directory Inputs'!$F$9</definedName>
    <definedName name="sample_region_ad_parent_fqdn">'Value Reference Tables'!$C$9</definedName>
    <definedName name="sample_region_ad_parent_netbios">'Active Directory Inputs'!$F$8</definedName>
    <definedName name="sample_region_dns1_ip">'Deploy Management Domain'!$K$44</definedName>
    <definedName name="sample_region_dns2_ip">'Deploy Management Domain'!$K$45</definedName>
    <definedName name="sample_region_ntp1_server">'Deploy Management Domain'!$K$47</definedName>
    <definedName name="sample_region_ntp2_server">'Deploy Management Domain'!$K$48</definedName>
    <definedName name="sample_rwr_cert_country_code">'On-Premises Ransomware Recovery'!$C$34</definedName>
    <definedName name="sample_rwr_cert_file">'On-Premises Ransomware Recovery'!$C$37</definedName>
    <definedName name="sample_rwr_cert_locality">'On-Premises Ransomware Recovery'!$C$32</definedName>
    <definedName name="sample_rwr_cert_organisation">'On-Premises Ransomware Recovery'!$C$30</definedName>
    <definedName name="sample_rwr_cert_ou">'On-Premises Ransomware Recovery'!$C$31</definedName>
    <definedName name="sample_rwr_cert_state">'On-Premises Ransomware Recovery'!$C$33</definedName>
    <definedName name="sample_rwr_child_dns_zone">'On-Premises Ransomware Recovery'!$C$20</definedName>
    <definedName name="sample_rwr_datacenter">'On-Premises Ransomware Recovery'!$C$143</definedName>
    <definedName name="sample_rwr_sso_domain_name">'On-Premises Ransomware Recovery'!$C$43</definedName>
    <definedName name="sample_rwr_vlr_replication_password">'On-Premises Ransomware Recovery'!$C$45</definedName>
    <definedName name="sample_rwr_vrms_pg">'On-Premises Ransomware Recovery'!$C$71</definedName>
    <definedName name="sample_sddc_mgr_admin_local_password">'Deploy Management Domain'!$K$269</definedName>
    <definedName name="sample_sddc_mgr_fqdn">'Deploy Management Domain'!$K$266</definedName>
    <definedName name="sample_sddc_mgr_ip">'Deploy Management Domain'!$K$322</definedName>
    <definedName name="sample_sddc_mgr_root_password">'Deploy Management Domain'!$K$267</definedName>
    <definedName name="sample_sddc_mgr_vcf_password">'Deploy Management Domain'!$K$268</definedName>
    <definedName name="sample_sftp_server">'Configure Management Domain'!$C$21</definedName>
    <definedName name="sample_sftp_server_backup_dir">'Configure Management Domain'!$C$26</definedName>
    <definedName name="sample_sftp_server_passphrase">'Configure Management Domain'!$C$28</definedName>
    <definedName name="sample_sftp_server_port">'Configure Management Domain'!$C$22</definedName>
    <definedName name="sample_sftp_server_protocol">'Configure Management Domain'!$C$23</definedName>
    <definedName name="sample_sftp_server_sshfingerprint">'Configure Management Domain'!$C$27</definedName>
    <definedName name="sample_smtp_server">Arkham!$B$16</definedName>
    <definedName name="sample_smtp_server_port">Arkham!$B$17</definedName>
    <definedName name="sample_svc_cbr_vcdr_vsphere_password">'Cloud-Based Ransomware Recovery'!$C$16</definedName>
    <definedName name="sample_svc_cbr_vcdr_vsphere_user">'Cloud-Based Ransomware Recovery'!$C$15</definedName>
    <definedName name="sample_svc_ccm_hcx_nsx_password">'Active Directory Inputs'!$F$49</definedName>
    <definedName name="sample_svc_ccm_hcx_nsx_user">'Active Directory Inputs'!$D$49</definedName>
    <definedName name="sample_svc_ccm_hcx_vsphere_password">'Active Directory Inputs'!$F$48</definedName>
    <definedName name="sample_svc_ccm_hcx_vsphere_user">'Active Directory Inputs'!$D$48</definedName>
    <definedName name="sample_svc_hrm_vcf_password">'Active Directory Inputs'!$F$44</definedName>
    <definedName name="sample_svc_ila_ad_password">'Active Directory Inputs'!$F$24</definedName>
    <definedName name="sample_svc_ila_ad_user">'Active Directory Inputs'!$D$24</definedName>
    <definedName name="sample_svc_inv_ad_password">'Active Directory Inputs'!$F$32</definedName>
    <definedName name="sample_svc_inv_ad_user">'Active Directory Inputs'!$D$32</definedName>
    <definedName name="sample_svc_inv_vrops_password">'Active Directory Inputs'!$F$34</definedName>
    <definedName name="sample_svc_inv_vrops_user">'Active Directory Inputs'!$D$34</definedName>
    <definedName name="sample_svc_inv_vsphere_password">'Active Directory Inputs'!$F$33</definedName>
    <definedName name="sample_svc_inv_vsphere_user">'Active Directory Inputs'!$D$33</definedName>
    <definedName name="sample_svc_iom_vcf_password">'Active Directory Inputs'!$F$27</definedName>
    <definedName name="sample_svc_iom_vcf_user">'Active Directory Inputs'!$D$27</definedName>
    <definedName name="sample_svc_iom_vsphere_password">'Active Directory Inputs'!$F$28</definedName>
    <definedName name="sample_svc_iom_vsphere_user">'Active Directory Inputs'!$D$28</definedName>
    <definedName name="sample_svc_my_vmware_password">'Deploy Management Domain'!$K$12</definedName>
    <definedName name="sample_svc_vcf_bck_password">'Configure Management Domain'!$C$25</definedName>
    <definedName name="sample_svc_vcf_bck_user">'Configure Management Domain'!$C$24</definedName>
    <definedName name="sample_svc_vcf_ca_vcf_password">'Configure Management Domain'!$C$55</definedName>
    <definedName name="sample_svc_vcf_ca_vcf_user">'Configure Management Domain'!$C$50</definedName>
    <definedName name="sample_svc_vra_nsx_password">'Active Directory Inputs'!$F$38</definedName>
    <definedName name="sample_svc_vra_nsx_user">'Active Directory Inputs'!$D$38</definedName>
    <definedName name="sample_svc_vra_vcf_password">'Active Directory Inputs'!$F$39</definedName>
    <definedName name="sample_svc_vra_vcf_user">'Active Directory Inputs'!$D$39</definedName>
    <definedName name="sample_svc_vra_vrops_password">'Active Directory Inputs'!$F$41</definedName>
    <definedName name="sample_svc_vra_vrops_user">'Active Directory Inputs'!$D$41</definedName>
    <definedName name="sample_svc_vra_vsphere_password">'Active Directory Inputs'!$F$37</definedName>
    <definedName name="sample_svc_vra_vsphere_user">'Active Directory Inputs'!$D$37</definedName>
    <definedName name="sample_svc_vro_vsphere_password">'Active Directory Inputs'!$F$40</definedName>
    <definedName name="sample_svc_vro_vsphere_user">'Active Directory Inputs'!$D$40</definedName>
    <definedName name="sample_svc_vrops_vra_password">'Active Directory Inputs'!$F$29</definedName>
    <definedName name="sample_svc_vrops_vra_user">'Active Directory Inputs'!$D$29</definedName>
    <definedName name="sample_vcenter_root_password">'Deploy Management Domain'!$K$98</definedName>
    <definedName name="sample_vcf_automation_additional_vips">'Deploy Fleet Management Day-N'!$C$112</definedName>
    <definedName name="sample_vcf_automation_admin_password">'Deploy Fleet Management Day-N'!$C$97</definedName>
    <definedName name="sample_vcf_automation_admin_password_alias">'Deploy Fleet Management Day-N'!$C$96</definedName>
    <definedName name="sample_vcf_automation_admin_password_description">'Deploy Fleet Management Day-N'!$C$98</definedName>
    <definedName name="sample_vcf_automation_admin_username">'Deploy Fleet Management Day-N'!$C$99</definedName>
    <definedName name="sample_vcf_automation_cert_alias">'Deploy Fleet Management Day-N'!$C$68</definedName>
    <definedName name="sample_vcf_automation_cert_common_name">'Deploy Fleet Management Day-N'!$C$70</definedName>
    <definedName name="sample_vcf_automation_cert_country_code">'Deploy Fleet Management Day-N'!$C$73</definedName>
    <definedName name="sample_vcf_automation_cert_file">'Deploy Fleet Management Day-N'!$C$69</definedName>
    <definedName name="sample_vcf_automation_cert_locality">'Deploy Fleet Management Day-N'!$C$74</definedName>
    <definedName name="sample_vcf_automation_cert_organisation">'Deploy Fleet Management Day-N'!$C$71</definedName>
    <definedName name="sample_vcf_automation_cert_state">'Deploy Fleet Management Day-N'!$C$75</definedName>
    <definedName name="sample_vcf_automation_folder">'Deploy Fleet Management Day-N'!$C$83</definedName>
    <definedName name="sample_vcf_automation_gateway_ip">'Deploy Fleet Management Day-N'!$C$93</definedName>
    <definedName name="sample_vcf_automation_mask">'Deploy Fleet Management Day-N'!$C$94</definedName>
    <definedName name="sample_vcf_automation_nodea_ip">'Deploy Fleet Management Day-N'!$C$113</definedName>
    <definedName name="sample_vcf_automation_nodeb_ip">'Deploy Fleet Management Day-N'!$C$114</definedName>
    <definedName name="sample_vcf_automation_nodec_ip">'Deploy Fleet Management Day-N'!$C$115</definedName>
    <definedName name="sample_vcf_automation_noded_ip">'Deploy Fleet Management Day-N'!$C$116</definedName>
    <definedName name="sample_vcf_automation_nodee_ip">Arkham!$P$14</definedName>
    <definedName name="sample_vcf_automation_nodef_ip">Arkham!$P$15</definedName>
    <definedName name="sample_vcf_automation_ou_cert">'Deploy Fleet Management Day-N'!$C$72</definedName>
    <definedName name="sample_vcf_automation_portgroup">'Deploy Fleet Management Day-N'!$C$85</definedName>
    <definedName name="sample_vcf_automation_resource_pool">'Deploy Fleet Management Day-N'!$C$84</definedName>
    <definedName name="sample_vcf_automation_root_password">'Deploy Fleet Management Day-N'!$C$101</definedName>
    <definedName name="sample_vcf_automation_root_password_alias">'Deploy Fleet Management Day-N'!$C$100</definedName>
    <definedName name="sample_vcf_automation_root_password_description">'Deploy Fleet Management Day-N'!$C$102</definedName>
    <definedName name="sample_vcf_automation_root_username">'Deploy Fleet Management Day-N'!$C$103</definedName>
    <definedName name="sample_vcf_automation_version">'Deploy Fleet Management Day-N'!$C$64</definedName>
    <definedName name="sample_vcf_automation_vip_fqdn">'Deploy Fleet Management Day-N'!$C$77</definedName>
    <definedName name="sample_vcf_automation_vip_ip">'Deploy Fleet Management Day-N'!$C$78</definedName>
    <definedName name="sample_vcf_installer_fqdn">'Value Reference Tables'!$C$8</definedName>
    <definedName name="sample_vcf_installer_ip">'Deploy Management Domain'!$K$321</definedName>
    <definedName name="sample_vcf_instance_name">'Deploy Management Domain'!$K$38</definedName>
    <definedName name="sample_vrslcm_admin_password">'Deploy Management Domain'!$K$67</definedName>
    <definedName name="sample_vrslcm_root_password">'Deploy Management Domain'!$K$68</definedName>
    <definedName name="sample_vrslcm_xreg_vm_folder">'Dumping Ground'!$C$98</definedName>
    <definedName name="sample_vvs_dr_dns1_ip">'Site Protection &amp; DR'!$C$69</definedName>
    <definedName name="sample_vvs_dr_dns2_ip">'Site Protection &amp; DR'!$C$70</definedName>
    <definedName name="sample_vvs_dr_flt_auto_fqdn">'Site Protection &amp; DR'!$C$67</definedName>
    <definedName name="sample_vvs_dr_flt_fleet_manager_fqdn">'Site Protection &amp; DR'!$C$13</definedName>
    <definedName name="sample_vvs_dr_flt_fleet_manager_hostname">'Site Protection &amp; DR'!$C$248</definedName>
    <definedName name="sample_vvs_dr_flt_logs_nodea_fqdn">'Site Protection &amp; DR'!$C$35</definedName>
    <definedName name="sample_vvs_dr_flt_logs_nodeb_fqdn">'Site Protection &amp; DR'!$C$36</definedName>
    <definedName name="sample_vvs_dr_flt_logs_nodec_fqdn">'Site Protection &amp; DR'!$C$37</definedName>
    <definedName name="sample_vvs_dr_flt_net_nodea_fqdn">'Site Protection &amp; DR'!$C$38</definedName>
    <definedName name="sample_vvs_dr_flt_net_nodeb_fqdn">'Site Protection &amp; DR'!$C$39</definedName>
    <definedName name="sample_vvs_dr_flt_net_nodec_fqdn">'Site Protection &amp; DR'!$C$40</definedName>
    <definedName name="sample_vvs_dr_flt_ops_nodea_fqdn">'Site Protection &amp; DR'!$C$21</definedName>
    <definedName name="sample_vvs_dr_flt_ops_nodea_hostname">'Site Protection &amp; DR'!$C$249</definedName>
    <definedName name="sample_vvs_dr_flt_ops_nodeb_fqdn">'Site Protection &amp; DR'!$C$33</definedName>
    <definedName name="sample_vvs_dr_flt_ops_nodeb_hostname">'Site Protection &amp; DR'!$C$250</definedName>
    <definedName name="sample_vvs_dr_flt_ops_nodec_fqdn">'Site Protection &amp; DR'!$C$34</definedName>
    <definedName name="sample_vvs_dr_flt_ops_nodec_hostname">'Site Protection &amp; DR'!$C$251</definedName>
    <definedName name="sample_vvs_dr_mgmt_az1_mgmt_vm_pg">'Site Protection &amp; DR'!$C$104</definedName>
    <definedName name="sample_vvs_dr_mgmt_cl01_cluster">'Site Protection &amp; DR'!$C$100</definedName>
    <definedName name="sample_vvs_dr_mgmt_cl01_datastore">'Site Protection &amp; DR'!$C$103</definedName>
    <definedName name="sample_vvs_dr_mgmt_vc_fqdn">'Site Protection &amp; DR'!$C$99</definedName>
    <definedName name="sample_vvs_dr_ntp1_server">'Site Protection &amp; DR'!$C$23</definedName>
    <definedName name="sample_vvs_dr_parent_dns_zone">'Site Protection &amp; DR'!$C$17</definedName>
    <definedName name="sample_vvs_dr_sso_domain">'Site Protection &amp; DR'!$C$133</definedName>
    <definedName name="sample_vvs_dr_vr_password">'Site Protection &amp; DR'!$C$135</definedName>
    <definedName name="sample_vvs_dr_vr_username">'Site Protection &amp; DR'!$C$134</definedName>
    <definedName name="sample_vvs_mgmt_dr_vlr_fqdn">'Site Protection &amp; DR'!$C$105</definedName>
    <definedName name="sample_vvs_mgmt_dr_vlr_hostname">'Site Protection &amp; DR'!$C$101</definedName>
    <definedName name="sample_witness_dns_zone">Arkham!$B$12</definedName>
    <definedName name="sample_wld_administrator_vsphere_local_password">'Deploy Workload Domain'!$C$152</definedName>
    <definedName name="sample_wld_avilb_cluster_name">'Configure Workload Domain'!$C$161</definedName>
    <definedName name="sample_wld_avilb_cluster_version">'Configure Workload Domain'!$C$151</definedName>
    <definedName name="sample_wld_avilb_fqdn">'Configure Workload Domain'!$C$160</definedName>
    <definedName name="sample_wld_avilb_ip">'Configure Workload Domain'!$C$159</definedName>
    <definedName name="sample_wld_avilb_mgra_ip">'Configure Workload Domain'!$C$156</definedName>
    <definedName name="sample_wld_avilb_mgrb_ip">'Configure Workload Domain'!$C$157</definedName>
    <definedName name="sample_wld_avilb_mgrc_ip">'Configure Workload Domain'!$C$158</definedName>
    <definedName name="sample_wld_az1_edge_overlay_cidr">'Configure Workload Domain'!$C$144</definedName>
    <definedName name="sample_wld_az1_edge_overlay_gateway_ip">'Configure Workload Domain'!$C$65</definedName>
    <definedName name="sample_wld_az1_edge_overlay_mask">'Configure Workload Domain'!$C$66</definedName>
    <definedName name="sample_wld_az1_edge_overlay_network_pool_name">'Configure Workload Domain'!$C$60</definedName>
    <definedName name="sample_wld_az1_edge_overlay_pool_end_ip">'Configure Workload Domain'!$C$62</definedName>
    <definedName name="sample_wld_az1_edge_overlay_pool_start_ip">'Configure Workload Domain'!$C$61</definedName>
    <definedName name="sample_wld_az1_edge_overlay_vlan">'Workload Domain As Built'!$C$25</definedName>
    <definedName name="sample_wld_az1_en1_edge_overlay_interface_ip_1_ip">'Configure Workload Domain'!$C$63</definedName>
    <definedName name="sample_wld_az1_en1_edge_overlay_interface_ip_2_ip">'Configure Workload Domain'!$C$64</definedName>
    <definedName name="sample_wld_az1_en1_eth0_uplink0">'Configure Workload Domain'!$C$54</definedName>
    <definedName name="sample_wld_az1_en1_eth0_uplink1">'Configure Workload Domain'!$C$55</definedName>
    <definedName name="sample_wld_az1_en1_eth1_uplink0">'Configure Workload Domain'!$C$56</definedName>
    <definedName name="sample_wld_az1_en1_eth1_uplink1">'Configure Workload Domain'!$C$57</definedName>
    <definedName name="sample_wld_az1_en1_fqdn">'Configure Workload Domain'!$C$42</definedName>
    <definedName name="sample_wld_az1_en1_hostname">'Configure Workload Domain'!$C$520</definedName>
    <definedName name="sample_wld_az1_en1_mgmt_cidr">'Configure Workload Domain'!$C$50</definedName>
    <definedName name="sample_wld_az1_en1_mgmt_ip">Arkham!$P$19</definedName>
    <definedName name="sample_wld_az1_en1_uplink01_interface_cidr">'Configure Workload Domain'!$C$102</definedName>
    <definedName name="sample_wld_az1_en1_uplink02_interface_cidr">'Configure Workload Domain'!$C$109</definedName>
    <definedName name="sample_wld_az1_en2_edge_overlay_interface_ip_1_ip">'Configure Workload Domain'!$C$87</definedName>
    <definedName name="sample_wld_az1_en2_edge_overlay_interface_ip_2_ip">'Configure Workload Domain'!$C$88</definedName>
    <definedName name="sample_wld_az1_en2_eth0_uplink0">'Configure Workload Domain'!$C$80</definedName>
    <definedName name="sample_wld_az1_en2_eth0_uplink1">'Configure Workload Domain'!$C$81</definedName>
    <definedName name="sample_wld_az1_en2_eth1_uplink0">'Configure Workload Domain'!$C$82</definedName>
    <definedName name="sample_wld_az1_en2_eth1_uplink1">'Configure Workload Domain'!$C$83</definedName>
    <definedName name="sample_wld_az1_en2_fqdn">'Configure Workload Domain'!$C$68</definedName>
    <definedName name="sample_wld_az1_en2_hostname">'Configure Workload Domain'!$C$532</definedName>
    <definedName name="sample_wld_az1_en2_mgmt_cidr">'Configure Workload Domain'!$C$76</definedName>
    <definedName name="sample_wld_az1_en2_mgmt_ip">Arkham!$P$20</definedName>
    <definedName name="sample_wld_az1_en2_uplink01_interface_cidr">'Configure Workload Domain'!$C$117</definedName>
    <definedName name="sample_wld_az1_en2_uplink02_interface_cidr">'Configure Workload Domain'!$C$124</definedName>
    <definedName name="sample_wld_az1_host_fqdns">'Deploy Workload Domain'!$C$120:$C$135</definedName>
    <definedName name="sample_wld_az1_host_mgmt_ips">'Deploy Workload Domain'!$C$63:$C$78</definedName>
    <definedName name="sample_wld_az1_host_overlay_cidr">'Deploy Workload Domain'!$C$308</definedName>
    <definedName name="sample_wld_az1_host_overlay_gateway_ip">'Deploy Workload Domain'!$C$311</definedName>
    <definedName name="sample_wld_az1_host_overlay_mtu">'Deploy Workload Domain'!$C$368</definedName>
    <definedName name="sample_wld_az1_host_overlay_network_pool_description">'Deploy Workload Domain'!$C$307</definedName>
    <definedName name="sample_wld_az1_host_overlay_network_pool_name">'Deploy Workload Domain'!$C$306</definedName>
    <definedName name="sample_wld_az1_host_overlay_pool_end_ip">'Deploy Workload Domain'!$C$310</definedName>
    <definedName name="sample_wld_az1_host_overlay_pool_start_ip">'Deploy Workload Domain'!$C$309</definedName>
    <definedName name="sample_wld_az1_host_overlay_uplink_profile_name">'Deploy Workload Domain'!$C$318</definedName>
    <definedName name="sample_wld_az1_host_overlay_vlan">'Deploy Workload Domain'!$C$303</definedName>
    <definedName name="sample_wld_az1_host1_fqdn">'Deploy Workload Domain'!$C$120</definedName>
    <definedName name="sample_wld_az1_host1_mgmt_ip">'Deploy Workload Domain'!$C$63</definedName>
    <definedName name="sample_wld_az1_host1_vrms_ip">'Dumping Ground'!$C$293</definedName>
    <definedName name="sample_wld_az1_host10_fqdn">'Deploy Workload Domain'!$C$129</definedName>
    <definedName name="sample_wld_az1_host10_mgmt_ip">'Deploy Workload Domain'!$C$72</definedName>
    <definedName name="sample_wld_az1_host10_vrms_ip">'Dumping Ground'!$C$302</definedName>
    <definedName name="sample_wld_az1_host11_fqdn">'Deploy Workload Domain'!$C$130</definedName>
    <definedName name="sample_wld_az1_host11_mgmt_ip">'Deploy Workload Domain'!$C$73</definedName>
    <definedName name="sample_wld_az1_host11_vrms_ip">'Dumping Ground'!$C$303</definedName>
    <definedName name="sample_wld_az1_host12_fqdn">'Deploy Workload Domain'!$C$131</definedName>
    <definedName name="sample_wld_az1_host12_mgmt_ip">'Deploy Workload Domain'!$C$74</definedName>
    <definedName name="sample_wld_az1_host12_vrms_ip">'Dumping Ground'!$C$304</definedName>
    <definedName name="sample_wld_az1_host13_fqdn">'Deploy Workload Domain'!$C$132</definedName>
    <definedName name="sample_wld_az1_host13_mgmt_ip">'Deploy Workload Domain'!$C$75</definedName>
    <definedName name="sample_wld_az1_host13_vrms_ip">'Dumping Ground'!$C$305</definedName>
    <definedName name="sample_wld_az1_host14_fqdn">'Deploy Workload Domain'!$C$133</definedName>
    <definedName name="sample_wld_az1_host14_mgmt_ip">'Deploy Workload Domain'!$C$76</definedName>
    <definedName name="sample_wld_az1_host14_vrms_ip">'Dumping Ground'!$C$306</definedName>
    <definedName name="sample_wld_az1_host15_fqdn">'Deploy Workload Domain'!$C$134</definedName>
    <definedName name="sample_wld_az1_host15_mgmt_ip">'Deploy Workload Domain'!$C$77</definedName>
    <definedName name="sample_wld_az1_host15_vrms_ip">'Dumping Ground'!$C$307</definedName>
    <definedName name="sample_wld_az1_host16_fqdn">'Deploy Workload Domain'!$C$135</definedName>
    <definedName name="sample_wld_az1_host16_mgmt_ip">'Deploy Workload Domain'!$C$78</definedName>
    <definedName name="sample_wld_az1_host16_vrms_ip">'Dumping Ground'!$C$308</definedName>
    <definedName name="sample_wld_az1_host2_fqdn">'Deploy Workload Domain'!$C$121</definedName>
    <definedName name="sample_wld_az1_host2_mgmt_ip">'Deploy Workload Domain'!$C$64</definedName>
    <definedName name="sample_wld_az1_host2_vrms_ip">'Dumping Ground'!$C$294</definedName>
    <definedName name="sample_wld_az1_host3_fqdn">'Deploy Workload Domain'!$C$122</definedName>
    <definedName name="sample_wld_az1_host3_mgmt_ip">'Deploy Workload Domain'!$C$65</definedName>
    <definedName name="sample_wld_az1_host3_vrms_ip">'Dumping Ground'!$C$295</definedName>
    <definedName name="sample_wld_az1_host4_fqdn">'Deploy Workload Domain'!$C$123</definedName>
    <definedName name="sample_wld_az1_host4_mgmt_ip">'Deploy Workload Domain'!$C$66</definedName>
    <definedName name="sample_wld_az1_host4_vrms_ip">'Dumping Ground'!$C$296</definedName>
    <definedName name="sample_wld_az1_host5_fqdn">'Deploy Workload Domain'!$C$124</definedName>
    <definedName name="sample_wld_az1_host5_mgmt_ip">'Deploy Workload Domain'!$C$67</definedName>
    <definedName name="sample_wld_az1_host5_vrms_ip">'Dumping Ground'!$C$297</definedName>
    <definedName name="sample_wld_az1_host6_fqdn">'Deploy Workload Domain'!$C$125</definedName>
    <definedName name="sample_wld_az1_host6_mgmt_ip">'Deploy Workload Domain'!$C$68</definedName>
    <definedName name="sample_wld_az1_host6_vrms_ip">'Dumping Ground'!$C$298</definedName>
    <definedName name="sample_wld_az1_host7_fqdn">'Deploy Workload Domain'!$C$126</definedName>
    <definedName name="sample_wld_az1_host7_mgmt_ip">'Deploy Workload Domain'!$C$69</definedName>
    <definedName name="sample_wld_az1_host7_vrms_ip">'Dumping Ground'!$C$299</definedName>
    <definedName name="sample_wld_az1_host8_fqdn">'Deploy Workload Domain'!$C$127</definedName>
    <definedName name="sample_wld_az1_host8_mgmt_ip">'Deploy Workload Domain'!$C$70</definedName>
    <definedName name="sample_wld_az1_host8_vrms_ip">'Dumping Ground'!$C$300</definedName>
    <definedName name="sample_wld_az1_host9_fqdn">'Deploy Workload Domain'!$C$128</definedName>
    <definedName name="sample_wld_az1_host9_mgmt_ip">'Deploy Workload Domain'!$C$71</definedName>
    <definedName name="sample_wld_az1_host9_vrms_ip">'Dumping Ground'!$C$301</definedName>
    <definedName name="sample_wld_az1_mgmt_cidr">'Deploy Workload Domain'!$C$60</definedName>
    <definedName name="sample_wld_az1_mgmt_gateway_ip">'Deploy Workload Domain'!$C$59</definedName>
    <definedName name="sample_wld_az1_mgmt_mtu">'Deploy Workload Domain'!$C$61</definedName>
    <definedName name="sample_wld_az1_mgmt_vlan">'Deploy Workload Domain'!$C$58</definedName>
    <definedName name="sample_wld_az1_mgmt_vm_cidr">'Deploy Workload Domain'!$C$348</definedName>
    <definedName name="sample_wld_az1_mgmt_vm_gateway_ip">'Deploy Workload Domain'!$C$347</definedName>
    <definedName name="sample_wld_az1_mgmt_vm_mtu">'Deploy Workload Domain'!$C$349</definedName>
    <definedName name="sample_wld_az1_mgmt_vm_vlan">'Deploy Workload Domain'!$C$346</definedName>
    <definedName name="sample_wld_az1_pool_name">'Deploy Workload Domain'!$C$83</definedName>
    <definedName name="sample_wld_az1_principal_storage_cidr">'Deploy Workload Domain'!$C$360</definedName>
    <definedName name="sample_wld_az1_principal_storage_gateway_ip">'Deploy Workload Domain'!$C$97</definedName>
    <definedName name="sample_wld_az1_principal_storage_mask">'Deploy Workload Domain'!$C$96</definedName>
    <definedName name="sample_wld_az1_principal_storage_mtu">'Deploy Workload Domain'!$C$94</definedName>
    <definedName name="sample_wld_az1_principal_storage_network">'Deploy Workload Domain'!$C$95</definedName>
    <definedName name="sample_wld_az1_principal_storage_pool_end_ip">'Deploy Workload Domain'!$C$99</definedName>
    <definedName name="sample_wld_az1_principal_storage_pool_start_ip">'Deploy Workload Domain'!$C$98</definedName>
    <definedName name="sample_wld_az1_principal_storage_vlan">'Deploy Workload Domain'!$C$93</definedName>
    <definedName name="sample_wld_az1_rack1_host_overlay_network_profile_name">'Deploy Workload Domain'!$C$314</definedName>
    <definedName name="sample_wld_az1_rack2_edge_overlay_gateway_ip">Arkham!$B$64</definedName>
    <definedName name="sample_wld_az1_rack2_edge_overlay_mask">Arkham!$B$67</definedName>
    <definedName name="sample_wld_az1_rack2_edge_overlay_mtu">Arkham!$B$70</definedName>
    <definedName name="sample_wld_az1_rack2_edge_overlay_network">Arkham!$B$61</definedName>
    <definedName name="sample_wld_az1_rack2_edge_overlay_network_pool_name">'Additional Racks'!$C$82</definedName>
    <definedName name="sample_wld_az1_rack2_edge_overlay_pool_end_ip">Arkham!$B$72</definedName>
    <definedName name="sample_wld_az1_rack2_edge_overlay_pool_start_ip">Arkham!$B$71</definedName>
    <definedName name="sample_wld_az1_rack2_edge_overlay_vlan">Arkham!$B$58</definedName>
    <definedName name="sample_wld_az1_rack2_host_hostnames">'Additional Racks'!$C$54:$C$69</definedName>
    <definedName name="sample_wld_az1_rack2_host_mgmt_ips">'Additional Racks'!$C$14:$C$29</definedName>
    <definedName name="sample_wld_az1_rack2_host_overlay_cidr">Arkham!$B$23</definedName>
    <definedName name="sample_wld_az1_rack2_host_overlay_gateway_ip">'Additional Racks'!$C$95</definedName>
    <definedName name="sample_wld_az1_rack2_host_overlay_mask">'Additional Racks'!$C$94</definedName>
    <definedName name="sample_wld_az1_rack2_host_overlay_mtu">'Additional Racks'!$C$92</definedName>
    <definedName name="sample_wld_az1_rack2_host_overlay_network">'Additional Racks'!$C$93</definedName>
    <definedName name="sample_wld_az1_rack2_host_overlay_network_pool_name">'Additional Racks'!$C$80</definedName>
    <definedName name="sample_wld_az1_rack2_host_overlay_network_profile_name">'Additional Racks'!$C$78</definedName>
    <definedName name="sample_wld_az1_rack2_host_overlay_pool_end_ip">'Additional Racks'!$C$97</definedName>
    <definedName name="sample_wld_az1_rack2_host_overlay_pool_start_ip">'Additional Racks'!$C$96</definedName>
    <definedName name="sample_wld_az1_rack2_host_overlay_uplink_profile_name">'Additional Racks'!$C$81</definedName>
    <definedName name="sample_wld_az1_rack2_host_overlay_vlan">'Additional Racks'!$C$91</definedName>
    <definedName name="sample_wld_az1_rack2_host1_fqdn">'Additional Racks'!$C$54</definedName>
    <definedName name="sample_wld_az1_rack2_host1_mgmt_ip">'Additional Racks'!$C$14</definedName>
    <definedName name="sample_wld_az1_rack2_host10_fqdn">'Additional Racks'!$C$63</definedName>
    <definedName name="sample_wld_az1_rack2_host10_mgmt_ip">'Additional Racks'!$C$23</definedName>
    <definedName name="sample_wld_az1_rack2_host11_fqdn">'Additional Racks'!$C$64</definedName>
    <definedName name="sample_wld_az1_rack2_host11_mgmt_ip">'Additional Racks'!$C$24</definedName>
    <definedName name="sample_wld_az1_rack2_host12_fqdn">'Additional Racks'!$C$65</definedName>
    <definedName name="sample_wld_az1_rack2_host12_mgmt_ip">'Additional Racks'!$C$25</definedName>
    <definedName name="sample_wld_az1_rack2_host13_fqdn">'Additional Racks'!$C$66</definedName>
    <definedName name="sample_wld_az1_rack2_host13_mgmt_ip">'Additional Racks'!$C$26</definedName>
    <definedName name="sample_wld_az1_rack2_host14_fqdn">'Additional Racks'!$C$67</definedName>
    <definedName name="sample_wld_az1_rack2_host14_mgmt_ip">'Additional Racks'!$C$27</definedName>
    <definedName name="sample_wld_az1_rack2_host15_fqdn">'Additional Racks'!$C$68</definedName>
    <definedName name="sample_wld_az1_rack2_host15_mgmt_ip">'Additional Racks'!$C$28</definedName>
    <definedName name="sample_wld_az1_rack2_host16_fqdn">'Additional Racks'!$C$69</definedName>
    <definedName name="sample_wld_az1_rack2_host16_mgmt_ip">'Additional Racks'!$C$29</definedName>
    <definedName name="sample_wld_az1_rack2_host2_fqdn">'Additional Racks'!$C$55</definedName>
    <definedName name="sample_wld_az1_rack2_host2_mgmt_ip">'Additional Racks'!$C$15</definedName>
    <definedName name="sample_wld_az1_rack2_host3_fqdn">'Additional Racks'!$C$56</definedName>
    <definedName name="sample_wld_az1_rack2_host3_mgmt_ip">'Additional Racks'!$C$16</definedName>
    <definedName name="sample_wld_az1_rack2_host4_fqdn">'Additional Racks'!$C$57</definedName>
    <definedName name="sample_wld_az1_rack2_host4_mgmt_ip">'Additional Racks'!$C$17</definedName>
    <definedName name="sample_wld_az1_rack2_host5_fqdn">'Additional Racks'!$C$58</definedName>
    <definedName name="sample_wld_az1_rack2_host5_mgmt_ip">'Additional Racks'!$C$18</definedName>
    <definedName name="sample_wld_az1_rack2_host6_fqdn">'Additional Racks'!$C$59</definedName>
    <definedName name="sample_wld_az1_rack2_host6_mgmt_ip">'Additional Racks'!$C$19</definedName>
    <definedName name="sample_wld_az1_rack2_host7_fqdn">'Additional Racks'!$C$60</definedName>
    <definedName name="sample_wld_az1_rack2_host7_mgmt_ip">'Additional Racks'!$C$20</definedName>
    <definedName name="sample_wld_az1_rack2_host8_fqdn">'Additional Racks'!$C$61</definedName>
    <definedName name="sample_wld_az1_rack2_host8_mgmt_ip">'Additional Racks'!$C$21</definedName>
    <definedName name="sample_wld_az1_rack2_host9_fqdn">'Additional Racks'!$C$62</definedName>
    <definedName name="sample_wld_az1_rack2_host9_mgmt_ip">'Additional Racks'!$C$22</definedName>
    <definedName name="sample_wld_az1_rack2_mgmt_cidr">'Additional Racks'!$C$11</definedName>
    <definedName name="sample_wld_az1_rack2_mgmt_gateway_ip">'Additional Racks'!$C$10</definedName>
    <definedName name="sample_wld_az1_rack2_mgmt_mtu">'Additional Racks'!$C$12</definedName>
    <definedName name="sample_wld_az1_rack2_mgmt_vlan">'Additional Racks'!$C$9</definedName>
    <definedName name="sample_wld_az1_rack2_mgmt_vm_cidr">'Value Reference Tables - MR'!$M$254</definedName>
    <definedName name="sample_wld_az1_rack2_mgmt_vm_gateway_ip">'Value Reference Tables - MR'!$O$259</definedName>
    <definedName name="sample_wld_az1_rack2_mgmt_vm_mtu">'Value Reference Tables - MR'!$Q$259</definedName>
    <definedName name="sample_wld_az1_rack2_mgmt_vm_vlan">'Value Reference Tables - MR'!$K$259</definedName>
    <definedName name="sample_wld_az1_rack2_pool_name">'Additional Racks'!$C$34</definedName>
    <definedName name="sample_wld_az1_rack2_principal_storage_cidr">Arkham!$B$21</definedName>
    <definedName name="sample_wld_az1_rack2_principal_storage_gateway_ip">'Additional Racks'!$C$48</definedName>
    <definedName name="sample_wld_az1_rack2_principal_storage_mask">'Additional Racks'!$C$47</definedName>
    <definedName name="sample_wld_az1_rack2_principal_storage_mtu">'Additional Racks'!$C$45</definedName>
    <definedName name="sample_wld_az1_rack2_principal_storage_network">'Additional Racks'!$C$46</definedName>
    <definedName name="sample_wld_az1_rack2_principal_storage_pool_end_ip">'Additional Racks'!$C$50</definedName>
    <definedName name="sample_wld_az1_rack2_principal_storage_pool_start_ip">'Additional Racks'!$C$49</definedName>
    <definedName name="sample_wld_az1_rack2_principal_storage_vlan">'Additional Racks'!$C$44</definedName>
    <definedName name="sample_wld_az1_rack2_rtep_ip_pool_name">'Additional Racks'!$C$83</definedName>
    <definedName name="sample_wld_az1_rack2_secondary_storage_cidr">Arkham!$B$22</definedName>
    <definedName name="sample_wld_az1_rack2_secondary_storage_gateway_ip">'Dumping Ground'!$C$512</definedName>
    <definedName name="sample_wld_az1_rack2_secondary_storage_mask">'Dumping Ground'!$C$511</definedName>
    <definedName name="sample_wld_az1_rack2_secondary_storage_mtu">'Dumping Ground'!$C$509</definedName>
    <definedName name="sample_wld_az1_rack2_secondary_storage_network">'Dumping Ground'!$C$510</definedName>
    <definedName name="sample_wld_az1_rack2_secondary_storage_pool_end_ip">'Dumping Ground'!$C$514</definedName>
    <definedName name="sample_wld_az1_rack2_secondary_storage_pool_start_ip">'Dumping Ground'!$C$513</definedName>
    <definedName name="sample_wld_az1_rack2_secondary_storage_vlan">'Dumping Ground'!$C$508</definedName>
    <definedName name="sample_wld_az1_rack2_tor1_peer_asn">Arkham!$B$75</definedName>
    <definedName name="sample_wld_az1_rack2_tor1_peer_bgp_password">Arkham!$B$76</definedName>
    <definedName name="sample_wld_az1_rack2_tor1_peer_ip">Arkham!$B$74</definedName>
    <definedName name="sample_wld_az1_rack2_tor2_peer_asn">Arkham!$B$78</definedName>
    <definedName name="sample_wld_az1_rack2_tor2_peer_bgp_password">Arkham!$B$79</definedName>
    <definedName name="sample_wld_az1_rack2_tor2_peer_ip">Arkham!$B$77</definedName>
    <definedName name="sample_wld_az1_rack2_uplink01_gateway_ip">Arkham!$B$62</definedName>
    <definedName name="sample_wld_az1_rack2_uplink01_mask">Arkham!$B$65</definedName>
    <definedName name="sample_wld_az1_rack2_uplink01_mtu">Arkham!$B$68</definedName>
    <definedName name="sample_wld_az1_rack2_uplink01_network">Arkham!$B$59</definedName>
    <definedName name="sample_wld_az1_rack2_uplink01_vlan">Arkham!$B$56</definedName>
    <definedName name="sample_wld_az1_rack2_uplink02_gateway_ip">Arkham!$B$63</definedName>
    <definedName name="sample_wld_az1_rack2_uplink02_mask">Arkham!$B$66</definedName>
    <definedName name="sample_wld_az1_rack2_uplink02_mtu">Arkham!$B$69</definedName>
    <definedName name="sample_wld_az1_rack2_uplink02_network">Arkham!$B$60</definedName>
    <definedName name="sample_wld_az1_rack2_uplink02_vlan">Arkham!$B$57</definedName>
    <definedName name="sample_wld_az1_rack2_vmotion_cidr">Arkham!$B$20</definedName>
    <definedName name="sample_wld_az1_rack2_vmotion_gateway_ip">'Additional Racks'!$C$40</definedName>
    <definedName name="sample_wld_az1_rack2_vmotion_mask">'Additional Racks'!$C$39</definedName>
    <definedName name="sample_wld_az1_rack2_vmotion_mtu">'Additional Racks'!$C$37</definedName>
    <definedName name="sample_wld_az1_rack2_vmotion_network">'Additional Racks'!$C$38</definedName>
    <definedName name="sample_wld_az1_rack2_vmotion_pool_end_ip">'Additional Racks'!$C$42</definedName>
    <definedName name="sample_wld_az1_rack2_vmotion_pool_start_ip">'Additional Racks'!$C$41</definedName>
    <definedName name="sample_wld_az1_rack2_vmotion_vlan">'Additional Racks'!$C$36</definedName>
    <definedName name="sample_wld_az1_rack2_vsan_fault_domain">'Additional Racks'!$C$86</definedName>
    <definedName name="sample_wld_az1_rack3_edge_overlay_gateway_ip">Arkham!$E$64</definedName>
    <definedName name="sample_wld_az1_rack3_edge_overlay_mask">Arkham!$E$67</definedName>
    <definedName name="sample_wld_az1_rack3_edge_overlay_mtu">Arkham!$E$70</definedName>
    <definedName name="sample_wld_az1_rack3_edge_overlay_network">Arkham!$E$61</definedName>
    <definedName name="sample_wld_az1_rack3_edge_overlay_network_pool_name">'Additional Racks'!$C$175</definedName>
    <definedName name="sample_wld_az1_rack3_edge_overlay_pool_end_ip">Arkham!$E$72</definedName>
    <definedName name="sample_wld_az1_rack3_edge_overlay_pool_start_ip">Arkham!$E$71</definedName>
    <definedName name="sample_wld_az1_rack3_edge_overlay_vlan">Arkham!$E$58</definedName>
    <definedName name="sample_wld_az1_rack3_host_hostnames">'Additional Racks'!$C$147:$C$162</definedName>
    <definedName name="sample_wld_az1_rack3_host_mgmt_ips">'Additional Racks'!$C$107:$C$122</definedName>
    <definedName name="sample_wld_az1_rack3_host_overlay_cidr">Arkham!$B$27</definedName>
    <definedName name="sample_wld_az1_rack3_host_overlay_gateway_ip">'Additional Racks'!$C$188</definedName>
    <definedName name="sample_wld_az1_rack3_host_overlay_mask">'Additional Racks'!$C$187</definedName>
    <definedName name="sample_wld_az1_rack3_host_overlay_mtu">'Additional Racks'!$C$185</definedName>
    <definedName name="sample_wld_az1_rack3_host_overlay_network">'Additional Racks'!$C$186</definedName>
    <definedName name="sample_wld_az1_rack3_host_overlay_network_pool_name">'Additional Racks'!$C$173</definedName>
    <definedName name="sample_wld_az1_rack3_host_overlay_network_profile_name">'Additional Racks'!$C$171</definedName>
    <definedName name="sample_wld_az1_rack3_host_overlay_pool_end_ip">'Additional Racks'!$C$190</definedName>
    <definedName name="sample_wld_az1_rack3_host_overlay_pool_start_ip">'Additional Racks'!$C$189</definedName>
    <definedName name="sample_wld_az1_rack3_host_overlay_uplink_profile_name">'Additional Racks'!$C$174</definedName>
    <definedName name="sample_wld_az1_rack3_host_overlay_vlan">'Additional Racks'!$C$184</definedName>
    <definedName name="sample_wld_az1_rack3_host1_fqdn">'Additional Racks'!$C$147</definedName>
    <definedName name="sample_wld_az1_rack3_host1_mgmt_ip">'Additional Racks'!$C$107</definedName>
    <definedName name="sample_wld_az1_rack3_host10_fqdn">'Additional Racks'!$C$156</definedName>
    <definedName name="sample_wld_az1_rack3_host10_mgmt_ip">'Additional Racks'!$C$116</definedName>
    <definedName name="sample_wld_az1_rack3_host11_fqdn">'Additional Racks'!$C$157</definedName>
    <definedName name="sample_wld_az1_rack3_host11_mgmt_ip">'Additional Racks'!$C$117</definedName>
    <definedName name="sample_wld_az1_rack3_host12_fqdn">'Additional Racks'!$C$158</definedName>
    <definedName name="sample_wld_az1_rack3_host12_mgmt_ip">'Additional Racks'!$C$118</definedName>
    <definedName name="sample_wld_az1_rack3_host13_fqdn">'Additional Racks'!$C$159</definedName>
    <definedName name="sample_wld_az1_rack3_host13_mgmt_ip">'Additional Racks'!$C$119</definedName>
    <definedName name="sample_wld_az1_rack3_host14_fqdn">'Additional Racks'!$C$160</definedName>
    <definedName name="sample_wld_az1_rack3_host14_mgmt_ip">'Additional Racks'!$C$120</definedName>
    <definedName name="sample_wld_az1_rack3_host15_fqdn">'Additional Racks'!$C$161</definedName>
    <definedName name="sample_wld_az1_rack3_host15_mgmt_ip">'Additional Racks'!$C$121</definedName>
    <definedName name="sample_wld_az1_rack3_host16_fqdn">'Additional Racks'!$C$162</definedName>
    <definedName name="sample_wld_az1_rack3_host16_mgmt_ip">'Additional Racks'!$C$122</definedName>
    <definedName name="sample_wld_az1_rack3_host2_fqdn">'Additional Racks'!$C$148</definedName>
    <definedName name="sample_wld_az1_rack3_host2_mgmt_ip">'Additional Racks'!$C$108</definedName>
    <definedName name="sample_wld_az1_rack3_host3_fqdn">'Additional Racks'!$C$149</definedName>
    <definedName name="sample_wld_az1_rack3_host3_mgmt_ip">'Additional Racks'!$C$109</definedName>
    <definedName name="sample_wld_az1_rack3_host4_fqdn">'Additional Racks'!$C$150</definedName>
    <definedName name="sample_wld_az1_rack3_host4_mgmt_ip">'Additional Racks'!$C$110</definedName>
    <definedName name="sample_wld_az1_rack3_host5_fqdn">'Additional Racks'!$C$151</definedName>
    <definedName name="sample_wld_az1_rack3_host5_mgmt_ip">'Additional Racks'!$C$111</definedName>
    <definedName name="sample_wld_az1_rack3_host6_fqdn">'Additional Racks'!$C$152</definedName>
    <definedName name="sample_wld_az1_rack3_host6_mgmt_ip">'Additional Racks'!$C$112</definedName>
    <definedName name="sample_wld_az1_rack3_host7_fqdn">'Additional Racks'!$C$153</definedName>
    <definedName name="sample_wld_az1_rack3_host7_mgmt_ip">'Additional Racks'!$C$113</definedName>
    <definedName name="sample_wld_az1_rack3_host8_fqdn">'Additional Racks'!$C$154</definedName>
    <definedName name="sample_wld_az1_rack3_host8_mgmt_ip">'Additional Racks'!$C$114</definedName>
    <definedName name="sample_wld_az1_rack3_host9_fqdn">'Additional Racks'!$C$155</definedName>
    <definedName name="sample_wld_az1_rack3_host9_mgmt_ip">'Additional Racks'!$C$115</definedName>
    <definedName name="sample_wld_az1_rack3_mgmt_cidr">'Additional Racks'!$C$104</definedName>
    <definedName name="sample_wld_az1_rack3_mgmt_gateway_ip">'Additional Racks'!$C$103</definedName>
    <definedName name="sample_wld_az1_rack3_mgmt_mtu">'Additional Racks'!$C$105</definedName>
    <definedName name="sample_wld_az1_rack3_mgmt_vlan">'Additional Racks'!$C$102</definedName>
    <definedName name="sample_wld_az1_rack3_mgmt_vm_cidr">'Value Reference Tables - MR'!$M$255</definedName>
    <definedName name="sample_wld_az1_rack3_mgmt_vm_gateway_ip">'Value Reference Tables - MR'!$O$260</definedName>
    <definedName name="sample_wld_az1_rack3_mgmt_vm_mtu">'Value Reference Tables - MR'!$Q$260</definedName>
    <definedName name="sample_wld_az1_rack3_mgmt_vm_vlan">'Value Reference Tables - MR'!$K$260</definedName>
    <definedName name="sample_wld_az1_rack3_pool_name">'Additional Racks'!$C$127</definedName>
    <definedName name="sample_wld_az1_rack3_principal_storage_cidr">Arkham!$B$25</definedName>
    <definedName name="sample_wld_az1_rack3_principal_storage_gateway_ip">'Additional Racks'!$C$141</definedName>
    <definedName name="sample_wld_az1_rack3_principal_storage_mask">'Additional Racks'!$C$140</definedName>
    <definedName name="sample_wld_az1_rack3_principal_storage_mtu">'Additional Racks'!$C$138</definedName>
    <definedName name="sample_wld_az1_rack3_principal_storage_network">'Additional Racks'!$C$139</definedName>
    <definedName name="sample_wld_az1_rack3_principal_storage_pool_end_ip">'Additional Racks'!$C$143</definedName>
    <definedName name="sample_wld_az1_rack3_principal_storage_pool_start_ip">'Additional Racks'!$C$142</definedName>
    <definedName name="sample_wld_az1_rack3_principal_storage_vlan">'Additional Racks'!$C$137</definedName>
    <definedName name="sample_wld_az1_rack3_rtep_ip_pool_name">'Additional Racks'!$C$176</definedName>
    <definedName name="sample_wld_az1_rack3_secondary_storage_cidr">Arkham!$B$26</definedName>
    <definedName name="sample_wld_az1_rack3_secondary_storage_gateway_ip">'Dumping Ground'!$C$520</definedName>
    <definedName name="sample_wld_az1_rack3_secondary_storage_mask">'Dumping Ground'!$C$519</definedName>
    <definedName name="sample_wld_az1_rack3_secondary_storage_mtu">'Dumping Ground'!$C$517</definedName>
    <definedName name="sample_wld_az1_rack3_secondary_storage_network">'Dumping Ground'!$C$518</definedName>
    <definedName name="sample_wld_az1_rack3_secondary_storage_pool_end_ip">'Dumping Ground'!$C$522</definedName>
    <definedName name="sample_wld_az1_rack3_secondary_storage_pool_start_ip">'Dumping Ground'!$C$521</definedName>
    <definedName name="sample_wld_az1_rack3_secondary_storage_vlan">'Dumping Ground'!$C$516</definedName>
    <definedName name="sample_wld_az1_rack3_tor1_peer_asn">Arkham!$E$75</definedName>
    <definedName name="sample_wld_az1_rack3_tor1_peer_bgp_password">Arkham!$E$76</definedName>
    <definedName name="sample_wld_az1_rack3_tor1_peer_ip">Arkham!$E$74</definedName>
    <definedName name="sample_wld_az1_rack3_tor2_peer_asn">Arkham!$E$78</definedName>
    <definedName name="sample_wld_az1_rack3_tor2_peer_bgp_password">Arkham!$E$79</definedName>
    <definedName name="sample_wld_az1_rack3_tor2_peer_ip">Arkham!$E$77</definedName>
    <definedName name="sample_wld_az1_rack3_uplink01_gateway_ip">Arkham!$E$62</definedName>
    <definedName name="sample_wld_az1_rack3_uplink01_mask">Arkham!$E$65</definedName>
    <definedName name="sample_wld_az1_rack3_uplink01_mtu">Arkham!$E$68</definedName>
    <definedName name="sample_wld_az1_rack3_uplink01_network">Arkham!$E$59</definedName>
    <definedName name="sample_wld_az1_rack3_uplink01_vlan">Arkham!$E$56</definedName>
    <definedName name="sample_wld_az1_rack3_uplink02_gateway_ip">Arkham!$E$63</definedName>
    <definedName name="sample_wld_az1_rack3_uplink02_mask">Arkham!$E$66</definedName>
    <definedName name="sample_wld_az1_rack3_uplink02_mtu">Arkham!$E$69</definedName>
    <definedName name="sample_wld_az1_rack3_uplink02_network">Arkham!$E$60</definedName>
    <definedName name="sample_wld_az1_rack3_uplink02_vlan">Arkham!$E$57</definedName>
    <definedName name="sample_wld_az1_rack3_vmotion_cidr">Arkham!$B$24</definedName>
    <definedName name="sample_wld_az1_rack3_vmotion_gateway_ip">'Additional Racks'!$C$133</definedName>
    <definedName name="sample_wld_az1_rack3_vmotion_mask">'Additional Racks'!$C$132</definedName>
    <definedName name="sample_wld_az1_rack3_vmotion_mtu">'Additional Racks'!$C$130</definedName>
    <definedName name="sample_wld_az1_rack3_vmotion_network">'Additional Racks'!$C$131</definedName>
    <definedName name="sample_wld_az1_rack3_vmotion_pool_end_ip">'Additional Racks'!$C$135</definedName>
    <definedName name="sample_wld_az1_rack3_vmotion_pool_start_ip">'Additional Racks'!$C$134</definedName>
    <definedName name="sample_wld_az1_rack3_vmotion_vlan">'Additional Racks'!$C$129</definedName>
    <definedName name="sample_wld_az1_rack3_vsan_fault_domain">'Additional Racks'!$C$179</definedName>
    <definedName name="sample_wld_az1_rack4_edge_overlay_gateway_ip">Arkham!$H$64</definedName>
    <definedName name="sample_wld_az1_rack4_edge_overlay_mask">Arkham!$H$67</definedName>
    <definedName name="sample_wld_az1_rack4_edge_overlay_mtu">Arkham!$H$70</definedName>
    <definedName name="sample_wld_az1_rack4_edge_overlay_network">Arkham!$H$61</definedName>
    <definedName name="sample_wld_az1_rack4_edge_overlay_network_pool_name">'Additional Racks'!$C$268</definedName>
    <definedName name="sample_wld_az1_rack4_edge_overlay_pool_end_ip">Arkham!$H$72</definedName>
    <definedName name="sample_wld_az1_rack4_edge_overlay_pool_start_ip">Arkham!$H$71</definedName>
    <definedName name="sample_wld_az1_rack4_edge_overlay_vlan">Arkham!$H$58</definedName>
    <definedName name="sample_wld_az1_rack4_host_hostnames">'Additional Racks'!$C$240:$C$255</definedName>
    <definedName name="sample_wld_az1_rack4_host_mgmt_ips">'Additional Racks'!$C$200:$C$215</definedName>
    <definedName name="sample_wld_az1_rack4_host_overlay_cidr">Arkham!$B$31</definedName>
    <definedName name="sample_wld_az1_rack4_host_overlay_gateway_ip">'Additional Racks'!$C$281</definedName>
    <definedName name="sample_wld_az1_rack4_host_overlay_mask">'Additional Racks'!$C$280</definedName>
    <definedName name="sample_wld_az1_rack4_host_overlay_mtu">'Additional Racks'!$C$278</definedName>
    <definedName name="sample_wld_az1_rack4_host_overlay_network">'Additional Racks'!$C$279</definedName>
    <definedName name="sample_wld_az1_rack4_host_overlay_network_pool_name">'Additional Racks'!$C$266</definedName>
    <definedName name="sample_wld_az1_rack4_host_overlay_network_profile_name">'Additional Racks'!$C$264</definedName>
    <definedName name="sample_wld_az1_rack4_host_overlay_pool_end_ip">'Additional Racks'!$C$283</definedName>
    <definedName name="sample_wld_az1_rack4_host_overlay_pool_start_ip">'Additional Racks'!$C$282</definedName>
    <definedName name="sample_wld_az1_rack4_host_overlay_uplink_profile_name">'Additional Racks'!$C$267</definedName>
    <definedName name="sample_wld_az1_rack4_host_overlay_vlan">'Additional Racks'!$C$277</definedName>
    <definedName name="sample_wld_az1_rack4_host1_fqdn">'Additional Racks'!$C$240</definedName>
    <definedName name="sample_wld_az1_rack4_host1_mgmt_ip">'Additional Racks'!$C$200</definedName>
    <definedName name="sample_wld_az1_rack4_host10_fqdn">'Additional Racks'!$C$249</definedName>
    <definedName name="sample_wld_az1_rack4_host10_mgmt_ip">'Additional Racks'!$C$209</definedName>
    <definedName name="sample_wld_az1_rack4_host11_fqdn">'Additional Racks'!$C$250</definedName>
    <definedName name="sample_wld_az1_rack4_host11_mgmt_ip">'Additional Racks'!$C$210</definedName>
    <definedName name="sample_wld_az1_rack4_host12_fqdn">'Additional Racks'!$C$251</definedName>
    <definedName name="sample_wld_az1_rack4_host12_mgmt_ip">'Additional Racks'!$C$211</definedName>
    <definedName name="sample_wld_az1_rack4_host13_fqdn">'Additional Racks'!$C$252</definedName>
    <definedName name="sample_wld_az1_rack4_host13_mgmt_ip">'Additional Racks'!$C$212</definedName>
    <definedName name="sample_wld_az1_rack4_host14_fqdn">'Additional Racks'!$C$253</definedName>
    <definedName name="sample_wld_az1_rack4_host14_mgmt_ip">'Additional Racks'!$C$213</definedName>
    <definedName name="sample_wld_az1_rack4_host15_fqdn">'Additional Racks'!$C$254</definedName>
    <definedName name="sample_wld_az1_rack4_host15_mgmt_ip">'Additional Racks'!$C$214</definedName>
    <definedName name="sample_wld_az1_rack4_host16_fqdn">'Additional Racks'!$C$255</definedName>
    <definedName name="sample_wld_az1_rack4_host16_mgmt_ip">'Additional Racks'!$C$215</definedName>
    <definedName name="sample_wld_az1_rack4_host2_fqdn">'Additional Racks'!$C$241</definedName>
    <definedName name="sample_wld_az1_rack4_host2_mgmt_ip">'Additional Racks'!$C$201</definedName>
    <definedName name="sample_wld_az1_rack4_host3_fqdn">'Additional Racks'!$C$242</definedName>
    <definedName name="sample_wld_az1_rack4_host3_mgmt_ip">'Additional Racks'!$C$202</definedName>
    <definedName name="sample_wld_az1_rack4_host4_fqdn">'Additional Racks'!$C$243</definedName>
    <definedName name="sample_wld_az1_rack4_host4_mgmt_ip">'Additional Racks'!$C$203</definedName>
    <definedName name="sample_wld_az1_rack4_host5_fqdn">'Additional Racks'!$C$244</definedName>
    <definedName name="sample_wld_az1_rack4_host5_mgmt_ip">'Additional Racks'!$C$204</definedName>
    <definedName name="sample_wld_az1_rack4_host6_fqdn">'Additional Racks'!$C$245</definedName>
    <definedName name="sample_wld_az1_rack4_host6_mgmt_ip">'Additional Racks'!$C$205</definedName>
    <definedName name="sample_wld_az1_rack4_host7_fqdn">'Additional Racks'!$C$246</definedName>
    <definedName name="sample_wld_az1_rack4_host7_mgmt_ip">'Additional Racks'!$C$206</definedName>
    <definedName name="sample_wld_az1_rack4_host8_fqdn">'Additional Racks'!$C$247</definedName>
    <definedName name="sample_wld_az1_rack4_host8_mgmt_ip">'Additional Racks'!$C$207</definedName>
    <definedName name="sample_wld_az1_rack4_host9_fqdn">'Additional Racks'!$C$248</definedName>
    <definedName name="sample_wld_az1_rack4_host9_mgmt_ip">'Additional Racks'!$C$208</definedName>
    <definedName name="sample_wld_az1_rack4_mgmt_cidr">'Additional Racks'!$C$197</definedName>
    <definedName name="sample_wld_az1_rack4_mgmt_gateway_ip">'Additional Racks'!$C$196</definedName>
    <definedName name="sample_wld_az1_rack4_mgmt_mtu">'Additional Racks'!$C$198</definedName>
    <definedName name="sample_wld_az1_rack4_mgmt_vlan">'Additional Racks'!$C$195</definedName>
    <definedName name="sample_wld_az1_rack4_mgmt_vm_cidr">'Value Reference Tables - MR'!$M$256</definedName>
    <definedName name="sample_wld_az1_rack4_mgmt_vm_gateway_ip">'Value Reference Tables - MR'!$O$261</definedName>
    <definedName name="sample_wld_az1_rack4_mgmt_vm_mtu">'Value Reference Tables - MR'!$Q$261</definedName>
    <definedName name="sample_wld_az1_rack4_mgmt_vm_vlan">'Value Reference Tables - MR'!$K$261</definedName>
    <definedName name="sample_wld_az1_rack4_pool_name">'Additional Racks'!$C$220</definedName>
    <definedName name="sample_wld_az1_rack4_principal_storage_cidr">Arkham!$B$29</definedName>
    <definedName name="sample_wld_az1_rack4_principal_storage_gateway_ip">'Additional Racks'!$C$234</definedName>
    <definedName name="sample_wld_az1_rack4_principal_storage_mask">'Additional Racks'!$C$233</definedName>
    <definedName name="sample_wld_az1_rack4_principal_storage_mtu">'Additional Racks'!$C$231</definedName>
    <definedName name="sample_wld_az1_rack4_principal_storage_network">'Additional Racks'!$C$232</definedName>
    <definedName name="sample_wld_az1_rack4_principal_storage_pool_end_ip">'Additional Racks'!$C$236</definedName>
    <definedName name="sample_wld_az1_rack4_principal_storage_pool_start_ip">'Additional Racks'!$C$235</definedName>
    <definedName name="sample_wld_az1_rack4_principal_storage_vlan">'Additional Racks'!$C$230</definedName>
    <definedName name="sample_wld_az1_rack4_rtep_ip_pool_name">'Additional Racks'!$C$269</definedName>
    <definedName name="sample_wld_az1_rack4_secondary_storage_cidr">Arkham!$B$30</definedName>
    <definedName name="sample_wld_az1_rack4_secondary_storage_gateway_ip">'Dumping Ground'!$C$528</definedName>
    <definedName name="sample_wld_az1_rack4_secondary_storage_mask">'Dumping Ground'!$C$527</definedName>
    <definedName name="sample_wld_az1_rack4_secondary_storage_mtu">'Dumping Ground'!$C$525</definedName>
    <definedName name="sample_wld_az1_rack4_secondary_storage_network">'Dumping Ground'!$C$526</definedName>
    <definedName name="sample_wld_az1_rack4_secondary_storage_pool_end_ip">'Dumping Ground'!$C$530</definedName>
    <definedName name="sample_wld_az1_rack4_secondary_storage_pool_start_ip">'Dumping Ground'!$C$529</definedName>
    <definedName name="sample_wld_az1_rack4_secondary_storage_vlan">'Dumping Ground'!$C$524</definedName>
    <definedName name="sample_wld_az1_rack4_tor1_peer_asn">Arkham!$H$75</definedName>
    <definedName name="sample_wld_az1_rack4_tor1_peer_bgp_password">Arkham!$H$76</definedName>
    <definedName name="sample_wld_az1_rack4_tor1_peer_ip">Arkham!$H$74</definedName>
    <definedName name="sample_wld_az1_rack4_tor2_peer_asn">Arkham!$H$78</definedName>
    <definedName name="sample_wld_az1_rack4_tor2_peer_bgp_password">Arkham!$H$79</definedName>
    <definedName name="sample_wld_az1_rack4_tor2_peer_ip">Arkham!$H$77</definedName>
    <definedName name="sample_wld_az1_rack4_uplink01_gateway_ip">Arkham!$H$62</definedName>
    <definedName name="sample_wld_az1_rack4_uplink01_mask">Arkham!$H$65</definedName>
    <definedName name="sample_wld_az1_rack4_uplink01_mtu">Arkham!$H$68</definedName>
    <definedName name="sample_wld_az1_rack4_uplink01_network">Arkham!$H$59</definedName>
    <definedName name="sample_wld_az1_rack4_uplink01_vlan">Arkham!$H$56</definedName>
    <definedName name="sample_wld_az1_rack4_uplink02_gateway_ip">Arkham!$H$63</definedName>
    <definedName name="sample_wld_az1_rack4_uplink02_mask">Arkham!$H$66</definedName>
    <definedName name="sample_wld_az1_rack4_uplink02_mtu">Arkham!$H$69</definedName>
    <definedName name="sample_wld_az1_rack4_uplink02_network">Arkham!$H$60</definedName>
    <definedName name="sample_wld_az1_rack4_uplink02_vlan">Arkham!$H$57</definedName>
    <definedName name="sample_wld_az1_rack4_vmotion_cidr">Arkham!$B$28</definedName>
    <definedName name="sample_wld_az1_rack4_vmotion_gateway_ip">'Additional Racks'!$C$226</definedName>
    <definedName name="sample_wld_az1_rack4_vmotion_mask">'Additional Racks'!$C$225</definedName>
    <definedName name="sample_wld_az1_rack4_vmotion_mtu">'Additional Racks'!$C$223</definedName>
    <definedName name="sample_wld_az1_rack4_vmotion_network">'Additional Racks'!$C$224</definedName>
    <definedName name="sample_wld_az1_rack4_vmotion_pool_end_ip">'Additional Racks'!$C$228</definedName>
    <definedName name="sample_wld_az1_rack4_vmotion_pool_start_ip">'Additional Racks'!$C$227</definedName>
    <definedName name="sample_wld_az1_rack4_vmotion_vlan">'Additional Racks'!$C$222</definedName>
    <definedName name="sample_wld_az1_rack4_vsan_fault_domain">'Additional Racks'!$C$272</definedName>
    <definedName name="sample_wld_az1_rack5_edge_overlay_gateway_ip">Arkham!$K$64</definedName>
    <definedName name="sample_wld_az1_rack5_edge_overlay_mask">Arkham!$K$67</definedName>
    <definedName name="sample_wld_az1_rack5_edge_overlay_mtu">Arkham!$K$70</definedName>
    <definedName name="sample_wld_az1_rack5_edge_overlay_network">Arkham!$K$61</definedName>
    <definedName name="sample_wld_az1_rack5_edge_overlay_network_pool_name">'Additional Racks'!$C$361</definedName>
    <definedName name="sample_wld_az1_rack5_edge_overlay_pool_end_ip">Arkham!$K$72</definedName>
    <definedName name="sample_wld_az1_rack5_edge_overlay_pool_start_ip">Arkham!$K$71</definedName>
    <definedName name="sample_wld_az1_rack5_edge_overlay_vlan">Arkham!$K$58</definedName>
    <definedName name="sample_wld_az1_rack5_host_hostnames">'Additional Racks'!$C$333:$C$348</definedName>
    <definedName name="sample_wld_az1_rack5_host_mgmt_ips">'Additional Racks'!$C$293:$C$308</definedName>
    <definedName name="sample_wld_az1_rack5_host_overlay_cidr">Arkham!$B$35</definedName>
    <definedName name="sample_wld_az1_rack5_host_overlay_gateway_ip">'Additional Racks'!$C$374</definedName>
    <definedName name="sample_wld_az1_rack5_host_overlay_mask">'Additional Racks'!$C$373</definedName>
    <definedName name="sample_wld_az1_rack5_host_overlay_mtu">'Additional Racks'!$C$371</definedName>
    <definedName name="sample_wld_az1_rack5_host_overlay_network">'Additional Racks'!$C$372</definedName>
    <definedName name="sample_wld_az1_rack5_host_overlay_network_pool_name">'Additional Racks'!$C$359</definedName>
    <definedName name="sample_wld_az1_rack5_host_overlay_network_profile_name">'Additional Racks'!$C$357</definedName>
    <definedName name="sample_wld_az1_rack5_host_overlay_pool_end_ip">'Additional Racks'!$C$376</definedName>
    <definedName name="sample_wld_az1_rack5_host_overlay_pool_start_ip">'Additional Racks'!$C$375</definedName>
    <definedName name="sample_wld_az1_rack5_host_overlay_uplink_profile_name">'Additional Racks'!$C$360</definedName>
    <definedName name="sample_wld_az1_rack5_host_overlay_vlan">'Additional Racks'!$C$370</definedName>
    <definedName name="sample_wld_az1_rack5_host1_fqdn">'Additional Racks'!$C$333</definedName>
    <definedName name="sample_wld_az1_rack5_host1_mgmt_ip">'Additional Racks'!$C$293</definedName>
    <definedName name="sample_wld_az1_rack5_host10_fqdn">'Additional Racks'!$C$342</definedName>
    <definedName name="sample_wld_az1_rack5_host10_mgmt_ip">'Additional Racks'!$C$302</definedName>
    <definedName name="sample_wld_az1_rack5_host11_fqdn">'Additional Racks'!$C$343</definedName>
    <definedName name="sample_wld_az1_rack5_host11_mgmt_ip">'Additional Racks'!$C$303</definedName>
    <definedName name="sample_wld_az1_rack5_host12_fqdn">'Additional Racks'!$C$344</definedName>
    <definedName name="sample_wld_az1_rack5_host12_mgmt_ip">'Additional Racks'!$C$304</definedName>
    <definedName name="sample_wld_az1_rack5_host13_fqdn">'Additional Racks'!$C$345</definedName>
    <definedName name="sample_wld_az1_rack5_host13_mgmt_ip">'Additional Racks'!$C$305</definedName>
    <definedName name="sample_wld_az1_rack5_host14_fqdn">'Additional Racks'!$C$346</definedName>
    <definedName name="sample_wld_az1_rack5_host14_mgmt_ip">'Additional Racks'!$C$306</definedName>
    <definedName name="sample_wld_az1_rack5_host15_fqdn">'Additional Racks'!$C$347</definedName>
    <definedName name="sample_wld_az1_rack5_host15_mgmt_ip">'Additional Racks'!$C$307</definedName>
    <definedName name="sample_wld_az1_rack5_host16_fqdn">'Additional Racks'!$C$348</definedName>
    <definedName name="sample_wld_az1_rack5_host16_mgmt_ip">'Additional Racks'!$C$308</definedName>
    <definedName name="sample_wld_az1_rack5_host2_fqdn">'Additional Racks'!$C$334</definedName>
    <definedName name="sample_wld_az1_rack5_host2_mgmt_ip">'Additional Racks'!$C$294</definedName>
    <definedName name="sample_wld_az1_rack5_host3_fqdn">'Additional Racks'!$C$335</definedName>
    <definedName name="sample_wld_az1_rack5_host3_mgmt_ip">'Additional Racks'!$C$295</definedName>
    <definedName name="sample_wld_az1_rack5_host4_fqdn">'Additional Racks'!$C$336</definedName>
    <definedName name="sample_wld_az1_rack5_host4_mgmt_ip">'Additional Racks'!$C$296</definedName>
    <definedName name="sample_wld_az1_rack5_host5_fqdn">'Additional Racks'!$C$337</definedName>
    <definedName name="sample_wld_az1_rack5_host5_mgmt_ip">'Additional Racks'!$C$297</definedName>
    <definedName name="sample_wld_az1_rack5_host6_fqdn">'Additional Racks'!$C$338</definedName>
    <definedName name="sample_wld_az1_rack5_host6_mgmt_ip">'Additional Racks'!$C$298</definedName>
    <definedName name="sample_wld_az1_rack5_host7_fqdn">'Additional Racks'!$C$339</definedName>
    <definedName name="sample_wld_az1_rack5_host7_mgmt_ip">'Additional Racks'!$C$299</definedName>
    <definedName name="sample_wld_az1_rack5_host8_fqdn">'Additional Racks'!$C$340</definedName>
    <definedName name="sample_wld_az1_rack5_host8_mgmt_ip">'Additional Racks'!$C$300</definedName>
    <definedName name="sample_wld_az1_rack5_host9_fqdn">'Additional Racks'!$C$341</definedName>
    <definedName name="sample_wld_az1_rack5_host9_mgmt_ip">'Additional Racks'!$C$301</definedName>
    <definedName name="sample_wld_az1_rack5_mgmt_cidr">'Additional Racks'!$C$290</definedName>
    <definedName name="sample_wld_az1_rack5_mgmt_gateway_ip">'Additional Racks'!$C$289</definedName>
    <definedName name="sample_wld_az1_rack5_mgmt_mtu">'Additional Racks'!$C$291</definedName>
    <definedName name="sample_wld_az1_rack5_mgmt_vlan">'Additional Racks'!$C$288</definedName>
    <definedName name="sample_wld_az1_rack5_mgmt_vm_cidr">'Value Reference Tables - MR'!$M$257</definedName>
    <definedName name="sample_wld_az1_rack5_mgmt_vm_gateway_ip">'Value Reference Tables - MR'!$O$262</definedName>
    <definedName name="sample_wld_az1_rack5_mgmt_vm_mtu">'Value Reference Tables - MR'!$Q$262</definedName>
    <definedName name="sample_wld_az1_rack5_mgmt_vm_vlan">'Value Reference Tables - MR'!$K$262</definedName>
    <definedName name="sample_wld_az1_rack5_pool_name">'Additional Racks'!$C$313</definedName>
    <definedName name="sample_wld_az1_rack5_principal_storage_cidr">Arkham!$B$33</definedName>
    <definedName name="sample_wld_az1_rack5_principal_storage_gateway_ip">'Additional Racks'!$C$327</definedName>
    <definedName name="sample_wld_az1_rack5_principal_storage_mask">'Additional Racks'!$C$326</definedName>
    <definedName name="sample_wld_az1_rack5_principal_storage_mtu">'Additional Racks'!$C$324</definedName>
    <definedName name="sample_wld_az1_rack5_principal_storage_network">'Additional Racks'!$C$325</definedName>
    <definedName name="sample_wld_az1_rack5_principal_storage_pool_end_ip">'Additional Racks'!$C$329</definedName>
    <definedName name="sample_wld_az1_rack5_principal_storage_pool_start_ip">'Additional Racks'!$C$328</definedName>
    <definedName name="sample_wld_az1_rack5_principal_storage_vlan">'Additional Racks'!$C$323</definedName>
    <definedName name="sample_wld_az1_rack5_rtep_ip_pool_name">'Additional Racks'!$C$362</definedName>
    <definedName name="sample_wld_az1_rack5_secondary_storage_cidr">Arkham!$B$34</definedName>
    <definedName name="sample_wld_az1_rack5_secondary_storage_gateway_ip">'Dumping Ground'!$C$536</definedName>
    <definedName name="sample_wld_az1_rack5_secondary_storage_mask">'Dumping Ground'!$C$535</definedName>
    <definedName name="sample_wld_az1_rack5_secondary_storage_mtu">'Dumping Ground'!$C$533</definedName>
    <definedName name="sample_wld_az1_rack5_secondary_storage_network">'Dumping Ground'!$C$534</definedName>
    <definedName name="sample_wld_az1_rack5_secondary_storage_pool_end_ip">'Dumping Ground'!$C$538</definedName>
    <definedName name="sample_wld_az1_rack5_secondary_storage_pool_start_ip">'Dumping Ground'!$C$537</definedName>
    <definedName name="sample_wld_az1_rack5_secondary_storage_vlan">'Dumping Ground'!$C$532</definedName>
    <definedName name="sample_wld_az1_rack5_tor1_peer_asn">Arkham!$K$75</definedName>
    <definedName name="sample_wld_az1_rack5_tor1_peer_bgp_password">Arkham!$K$76</definedName>
    <definedName name="sample_wld_az1_rack5_tor1_peer_ip">Arkham!$K$74</definedName>
    <definedName name="sample_wld_az1_rack5_tor2_peer_asn">Arkham!$K$78</definedName>
    <definedName name="sample_wld_az1_rack5_tor2_peer_bgp_password">Arkham!$K$79</definedName>
    <definedName name="sample_wld_az1_rack5_tor2_peer_ip">Arkham!$K$77</definedName>
    <definedName name="sample_wld_az1_rack5_uplink01_gateway_ip">Arkham!$K$62</definedName>
    <definedName name="sample_wld_az1_rack5_uplink01_mask">Arkham!$K$65</definedName>
    <definedName name="sample_wld_az1_rack5_uplink01_mtu">Arkham!$K$68</definedName>
    <definedName name="sample_wld_az1_rack5_uplink01_network">Arkham!$K$59</definedName>
    <definedName name="sample_wld_az1_rack5_uplink01_vlan">Arkham!$K$56</definedName>
    <definedName name="sample_wld_az1_rack5_uplink02_gateway_ip">Arkham!$K$63</definedName>
    <definedName name="sample_wld_az1_rack5_uplink02_mask">Arkham!$K$66</definedName>
    <definedName name="sample_wld_az1_rack5_uplink02_mtu">Arkham!$K$69</definedName>
    <definedName name="sample_wld_az1_rack5_uplink02_network">Arkham!$K$60</definedName>
    <definedName name="sample_wld_az1_rack5_uplink02_vlan">Arkham!$K$57</definedName>
    <definedName name="sample_wld_az1_rack5_vmotion_cidr">Arkham!$B$32</definedName>
    <definedName name="sample_wld_az1_rack5_vmotion_gateway_ip">'Additional Racks'!$C$319</definedName>
    <definedName name="sample_wld_az1_rack5_vmotion_mask">'Additional Racks'!$C$318</definedName>
    <definedName name="sample_wld_az1_rack5_vmotion_mtu">'Additional Racks'!$C$316</definedName>
    <definedName name="sample_wld_az1_rack5_vmotion_network">'Additional Racks'!$C$317</definedName>
    <definedName name="sample_wld_az1_rack5_vmotion_pool_end_ip">'Additional Racks'!$C$321</definedName>
    <definedName name="sample_wld_az1_rack5_vmotion_pool_start_ip">'Additional Racks'!$C$320</definedName>
    <definedName name="sample_wld_az1_rack5_vmotion_vlan">'Additional Racks'!$C$315</definedName>
    <definedName name="sample_wld_az1_rack5_vsan_fault_domain">'Additional Racks'!$C$365</definedName>
    <definedName name="sample_wld_az1_rack6_edge_overlay_gateway_ip">Arkham!$N$64</definedName>
    <definedName name="sample_wld_az1_rack6_edge_overlay_mask">Arkham!$N$67</definedName>
    <definedName name="sample_wld_az1_rack6_edge_overlay_mtu">Arkham!$N$70</definedName>
    <definedName name="sample_wld_az1_rack6_edge_overlay_network">Arkham!$N$61</definedName>
    <definedName name="sample_wld_az1_rack6_edge_overlay_network_pool_name">'Additional Racks'!$C$454</definedName>
    <definedName name="sample_wld_az1_rack6_edge_overlay_pool_end_ip">Arkham!$N$72</definedName>
    <definedName name="sample_wld_az1_rack6_edge_overlay_pool_start_ip">Arkham!$N$71</definedName>
    <definedName name="sample_wld_az1_rack6_edge_overlay_vlan">Arkham!$N$58</definedName>
    <definedName name="sample_wld_az1_rack6_host_hostnames">'Additional Racks'!$C$426:$C$441</definedName>
    <definedName name="sample_wld_az1_rack6_host_mgmt_ips">'Additional Racks'!$C$386:$C$401</definedName>
    <definedName name="sample_wld_az1_rack6_host_overlay_cidr">Arkham!$B$39</definedName>
    <definedName name="sample_wld_az1_rack6_host_overlay_gateway_ip">'Additional Racks'!$C$467</definedName>
    <definedName name="sample_wld_az1_rack6_host_overlay_mask">'Additional Racks'!$C$466</definedName>
    <definedName name="sample_wld_az1_rack6_host_overlay_mtu">'Additional Racks'!$C$464</definedName>
    <definedName name="sample_wld_az1_rack6_host_overlay_network">'Additional Racks'!$C$465</definedName>
    <definedName name="sample_wld_az1_rack6_host_overlay_network_pool_name">'Additional Racks'!$C$452</definedName>
    <definedName name="sample_wld_az1_rack6_host_overlay_network_profile_name">'Additional Racks'!$C$450</definedName>
    <definedName name="sample_wld_az1_rack6_host_overlay_pool_end_ip">'Additional Racks'!$C$469</definedName>
    <definedName name="sample_wld_az1_rack6_host_overlay_pool_start_ip">'Additional Racks'!$C$468</definedName>
    <definedName name="sample_wld_az1_rack6_host_overlay_uplink_profile_name">'Additional Racks'!$C$453</definedName>
    <definedName name="sample_wld_az1_rack6_host_overlay_vlan">'Additional Racks'!$C$463</definedName>
    <definedName name="sample_wld_az1_rack6_host1_fqdn">'Additional Racks'!$C$426</definedName>
    <definedName name="sample_wld_az1_rack6_host1_mgmt_ip">'Additional Racks'!$C$386</definedName>
    <definedName name="sample_wld_az1_rack6_host10_fqdn">'Additional Racks'!$C$435</definedName>
    <definedName name="sample_wld_az1_rack6_host10_mgmt_ip">'Additional Racks'!$C$395</definedName>
    <definedName name="sample_wld_az1_rack6_host11_fqdn">'Additional Racks'!$C$436</definedName>
    <definedName name="sample_wld_az1_rack6_host11_mgmt_ip">'Additional Racks'!$C$396</definedName>
    <definedName name="sample_wld_az1_rack6_host12_fqdn">'Additional Racks'!$C$437</definedName>
    <definedName name="sample_wld_az1_rack6_host12_mgmt_ip">'Additional Racks'!$C$397</definedName>
    <definedName name="sample_wld_az1_rack6_host13_fqdn">'Additional Racks'!$C$438</definedName>
    <definedName name="sample_wld_az1_rack6_host13_mgmt_ip">'Additional Racks'!$C$398</definedName>
    <definedName name="sample_wld_az1_rack6_host14_fqdn">'Additional Racks'!$C$439</definedName>
    <definedName name="sample_wld_az1_rack6_host14_mgmt_ip">'Additional Racks'!$C$399</definedName>
    <definedName name="sample_wld_az1_rack6_host15_fqdn">'Additional Racks'!$C$440</definedName>
    <definedName name="sample_wld_az1_rack6_host15_mgmt_ip">'Additional Racks'!$C$400</definedName>
    <definedName name="sample_wld_az1_rack6_host16_fqdn">'Additional Racks'!$C$441</definedName>
    <definedName name="sample_wld_az1_rack6_host16_mgmt_ip">'Additional Racks'!$C$401</definedName>
    <definedName name="sample_wld_az1_rack6_host2_fqdn">'Additional Racks'!$C$427</definedName>
    <definedName name="sample_wld_az1_rack6_host2_mgmt_ip">'Additional Racks'!$C$387</definedName>
    <definedName name="sample_wld_az1_rack6_host3_fqdn">'Additional Racks'!$C$428</definedName>
    <definedName name="sample_wld_az1_rack6_host3_mgmt_ip">'Additional Racks'!$C$388</definedName>
    <definedName name="sample_wld_az1_rack6_host4_fqdn">'Additional Racks'!$C$429</definedName>
    <definedName name="sample_wld_az1_rack6_host4_mgmt_ip">'Additional Racks'!$C$389</definedName>
    <definedName name="sample_wld_az1_rack6_host5_fqdn">'Additional Racks'!$C$430</definedName>
    <definedName name="sample_wld_az1_rack6_host5_mgmt_ip">'Additional Racks'!$C$390</definedName>
    <definedName name="sample_wld_az1_rack6_host6_fqdn">'Additional Racks'!$C$431</definedName>
    <definedName name="sample_wld_az1_rack6_host6_mgmt_ip">'Additional Racks'!$C$391</definedName>
    <definedName name="sample_wld_az1_rack6_host7_fqdn">'Additional Racks'!$C$432</definedName>
    <definedName name="sample_wld_az1_rack6_host7_mgmt_ip">'Additional Racks'!$C$392</definedName>
    <definedName name="sample_wld_az1_rack6_host8_fqdn">'Additional Racks'!$C$433</definedName>
    <definedName name="sample_wld_az1_rack6_host8_mgmt_ip">'Additional Racks'!$C$393</definedName>
    <definedName name="sample_wld_az1_rack6_host9_fqdn">'Additional Racks'!$C$434</definedName>
    <definedName name="sample_wld_az1_rack6_host9_mgmt_ip">'Additional Racks'!$C$394</definedName>
    <definedName name="sample_wld_az1_rack6_mgmt_cidr">'Additional Racks'!$C$383</definedName>
    <definedName name="sample_wld_az1_rack6_mgmt_gateway_ip">'Additional Racks'!$C$382</definedName>
    <definedName name="sample_wld_az1_rack6_mgmt_mtu">'Additional Racks'!$C$384</definedName>
    <definedName name="sample_wld_az1_rack6_mgmt_vlan">'Additional Racks'!$C$381</definedName>
    <definedName name="sample_wld_az1_rack6_mgmt_vm_cidr">'Value Reference Tables - MR'!$M$258</definedName>
    <definedName name="sample_wld_az1_rack6_mgmt_vm_gateway_ip">'Value Reference Tables - MR'!$O$263</definedName>
    <definedName name="sample_wld_az1_rack6_mgmt_vm_mtu">'Value Reference Tables - MR'!$Q$263</definedName>
    <definedName name="sample_wld_az1_rack6_mgmt_vm_vlan">'Value Reference Tables - MR'!$K$263</definedName>
    <definedName name="sample_wld_az1_rack6_pool_name">'Additional Racks'!$C$406</definedName>
    <definedName name="sample_wld_az1_rack6_principal_storage_cidr">Arkham!$B$37</definedName>
    <definedName name="sample_wld_az1_rack6_principal_storage_gateway_ip">'Additional Racks'!$C$420</definedName>
    <definedName name="sample_wld_az1_rack6_principal_storage_mask">'Additional Racks'!$C$419</definedName>
    <definedName name="sample_wld_az1_rack6_principal_storage_mtu">'Additional Racks'!$C$417</definedName>
    <definedName name="sample_wld_az1_rack6_principal_storage_network">'Additional Racks'!$C$418</definedName>
    <definedName name="sample_wld_az1_rack6_principal_storage_pool_end_ip">'Additional Racks'!$C$422</definedName>
    <definedName name="sample_wld_az1_rack6_principal_storage_pool_start_ip">'Additional Racks'!$C$421</definedName>
    <definedName name="sample_wld_az1_rack6_principal_storage_vlan">'Additional Racks'!$C$416</definedName>
    <definedName name="sample_wld_az1_rack6_rtep_ip_pool_name">'Additional Racks'!$C$455</definedName>
    <definedName name="sample_wld_az1_rack6_secondary_storage_cidr">Arkham!$B$38</definedName>
    <definedName name="sample_wld_az1_rack6_secondary_storage_gateway_ip">'Dumping Ground'!$C$544</definedName>
    <definedName name="sample_wld_az1_rack6_secondary_storage_mask">'Dumping Ground'!$C$543</definedName>
    <definedName name="sample_wld_az1_rack6_secondary_storage_mtu">'Dumping Ground'!$C$541</definedName>
    <definedName name="sample_wld_az1_rack6_secondary_storage_network">'Dumping Ground'!$C$542</definedName>
    <definedName name="sample_wld_az1_rack6_secondary_storage_pool_end_ip">'Dumping Ground'!$C$546</definedName>
    <definedName name="sample_wld_az1_rack6_secondary_storage_pool_start_ip">'Dumping Ground'!$C$545</definedName>
    <definedName name="sample_wld_az1_rack6_secondary_storage_vlan">'Dumping Ground'!$C$540</definedName>
    <definedName name="sample_wld_az1_rack6_tor1_peer_asn">Arkham!$N$75</definedName>
    <definedName name="sample_wld_az1_rack6_tor1_peer_bgp_password">Arkham!$N$76</definedName>
    <definedName name="sample_wld_az1_rack6_tor1_peer_ip">Arkham!$N$74</definedName>
    <definedName name="sample_wld_az1_rack6_tor2_peer_asn">Arkham!$N$78</definedName>
    <definedName name="sample_wld_az1_rack6_tor2_peer_bgp_password">Arkham!$N$79</definedName>
    <definedName name="sample_wld_az1_rack6_tor2_peer_ip">Arkham!$N$77</definedName>
    <definedName name="sample_wld_az1_rack6_uplink01_gateway_ip">Arkham!$N$62</definedName>
    <definedName name="sample_wld_az1_rack6_uplink01_mask">Arkham!$N$65</definedName>
    <definedName name="sample_wld_az1_rack6_uplink01_mtu">Arkham!$N$68</definedName>
    <definedName name="sample_wld_az1_rack6_uplink01_network">Arkham!$N$59</definedName>
    <definedName name="sample_wld_az1_rack6_uplink01_vlan">Arkham!$N$56</definedName>
    <definedName name="sample_wld_az1_rack6_uplink02_gateway_ip">Arkham!$N$63</definedName>
    <definedName name="sample_wld_az1_rack6_uplink02_mask">Arkham!$N$66</definedName>
    <definedName name="sample_wld_az1_rack6_uplink02_mtu">Arkham!$N$69</definedName>
    <definedName name="sample_wld_az1_rack6_uplink02_network">Arkham!$N$60</definedName>
    <definedName name="sample_wld_az1_rack6_uplink02_vlan">Arkham!$N$57</definedName>
    <definedName name="sample_wld_az1_rack6_vmotion_cidr">Arkham!$B$36</definedName>
    <definedName name="sample_wld_az1_rack6_vmotion_gateway_ip">'Additional Racks'!$C$412</definedName>
    <definedName name="sample_wld_az1_rack6_vmotion_mask">'Additional Racks'!$C$411</definedName>
    <definedName name="sample_wld_az1_rack6_vmotion_mtu">'Additional Racks'!$C$409</definedName>
    <definedName name="sample_wld_az1_rack6_vmotion_network">'Additional Racks'!$C$410</definedName>
    <definedName name="sample_wld_az1_rack6_vmotion_pool_end_ip">'Additional Racks'!$C$414</definedName>
    <definedName name="sample_wld_az1_rack6_vmotion_pool_start_ip">'Additional Racks'!$C$413</definedName>
    <definedName name="sample_wld_az1_rack6_vmotion_vlan">'Additional Racks'!$C$408</definedName>
    <definedName name="sample_wld_az1_rack6_vsan_fault_domain">'Additional Racks'!$C$458</definedName>
    <definedName name="sample_wld_az1_rack7_edge_overlay_gateway_ip">Arkham!$Q$64</definedName>
    <definedName name="sample_wld_az1_rack7_edge_overlay_mask">Arkham!$Q$67</definedName>
    <definedName name="sample_wld_az1_rack7_edge_overlay_mtu">Arkham!$Q$70</definedName>
    <definedName name="sample_wld_az1_rack7_edge_overlay_network">Arkham!$Q$61</definedName>
    <definedName name="sample_wld_az1_rack7_edge_overlay_network_pool_name">'Additional Racks'!$C$547</definedName>
    <definedName name="sample_wld_az1_rack7_edge_overlay_pool_end_ip">Arkham!$Q$72</definedName>
    <definedName name="sample_wld_az1_rack7_edge_overlay_pool_start_ip">Arkham!$Q$71</definedName>
    <definedName name="sample_wld_az1_rack7_edge_overlay_vlan">Arkham!$Q$58</definedName>
    <definedName name="sample_wld_az1_rack7_host_hostnames">'Additional Racks'!$C$519:$C$534</definedName>
    <definedName name="sample_wld_az1_rack7_host_mgmt_ips">'Additional Racks'!$C$479:$C$494</definedName>
    <definedName name="sample_wld_az1_rack7_host_overlay_cidr">Arkham!$B$43</definedName>
    <definedName name="sample_wld_az1_rack7_host_overlay_gateway_ip">'Additional Racks'!$C$560</definedName>
    <definedName name="sample_wld_az1_rack7_host_overlay_mask">'Additional Racks'!$C$559</definedName>
    <definedName name="sample_wld_az1_rack7_host_overlay_mtu">'Additional Racks'!$C$557</definedName>
    <definedName name="sample_wld_az1_rack7_host_overlay_network">'Additional Racks'!$C$558</definedName>
    <definedName name="sample_wld_az1_rack7_host_overlay_network_pool_name">'Additional Racks'!$C$545</definedName>
    <definedName name="sample_wld_az1_rack7_host_overlay_network_profile_name">'Additional Racks'!$C$543</definedName>
    <definedName name="sample_wld_az1_rack7_host_overlay_pool_end_ip">'Additional Racks'!$C$562</definedName>
    <definedName name="sample_wld_az1_rack7_host_overlay_pool_start_ip">'Additional Racks'!$C$561</definedName>
    <definedName name="sample_wld_az1_rack7_host_overlay_uplink_profile_name">'Additional Racks'!$C$546</definedName>
    <definedName name="sample_wld_az1_rack7_host_overlay_vlan">'Additional Racks'!$C$556</definedName>
    <definedName name="sample_wld_az1_rack7_host1_fqdn">'Additional Racks'!$C$519</definedName>
    <definedName name="sample_wld_az1_rack7_host1_mgmt_ip">'Additional Racks'!$C$479</definedName>
    <definedName name="sample_wld_az1_rack7_host10_fqdn">'Additional Racks'!$C$528</definedName>
    <definedName name="sample_wld_az1_rack7_host10_mgmt_ip">'Additional Racks'!$C$488</definedName>
    <definedName name="sample_wld_az1_rack7_host11_fqdn">'Additional Racks'!$C$529</definedName>
    <definedName name="sample_wld_az1_rack7_host11_mgmt_ip">'Additional Racks'!$C$489</definedName>
    <definedName name="sample_wld_az1_rack7_host12_fqdn">'Additional Racks'!$C$530</definedName>
    <definedName name="sample_wld_az1_rack7_host12_mgmt_ip">'Additional Racks'!$C$490</definedName>
    <definedName name="sample_wld_az1_rack7_host13_fqdn">'Additional Racks'!$C$531</definedName>
    <definedName name="sample_wld_az1_rack7_host13_mgmt_ip">'Additional Racks'!$C$491</definedName>
    <definedName name="sample_wld_az1_rack7_host14_fqdn">'Additional Racks'!$C$532</definedName>
    <definedName name="sample_wld_az1_rack7_host14_mgmt_ip">'Additional Racks'!$C$492</definedName>
    <definedName name="sample_wld_az1_rack7_host15_fqdn">'Additional Racks'!$C$533</definedName>
    <definedName name="sample_wld_az1_rack7_host15_mgmt_ip">'Additional Racks'!$C$493</definedName>
    <definedName name="sample_wld_az1_rack7_host16_fqdn">'Additional Racks'!$C$534</definedName>
    <definedName name="sample_wld_az1_rack7_host16_mgmt_ip">'Additional Racks'!$C$494</definedName>
    <definedName name="sample_wld_az1_rack7_host2_fqdn">'Additional Racks'!$C$520</definedName>
    <definedName name="sample_wld_az1_rack7_host2_mgmt_ip">'Additional Racks'!$C$480</definedName>
    <definedName name="sample_wld_az1_rack7_host3_fqdn">'Additional Racks'!$C$521</definedName>
    <definedName name="sample_wld_az1_rack7_host3_mgmt_ip">'Additional Racks'!$C$481</definedName>
    <definedName name="sample_wld_az1_rack7_host4_fqdn">'Additional Racks'!$C$522</definedName>
    <definedName name="sample_wld_az1_rack7_host4_mgmt_ip">'Additional Racks'!$C$482</definedName>
    <definedName name="sample_wld_az1_rack7_host5_fqdn">'Additional Racks'!$C$523</definedName>
    <definedName name="sample_wld_az1_rack7_host5_mgmt_ip">'Additional Racks'!$C$483</definedName>
    <definedName name="sample_wld_az1_rack7_host6_fqdn">'Additional Racks'!$C$524</definedName>
    <definedName name="sample_wld_az1_rack7_host6_mgmt_ip">'Additional Racks'!$C$484</definedName>
    <definedName name="sample_wld_az1_rack7_host7_fqdn">'Additional Racks'!$C$525</definedName>
    <definedName name="sample_wld_az1_rack7_host7_mgmt_ip">'Additional Racks'!$C$485</definedName>
    <definedName name="sample_wld_az1_rack7_host8_fqdn">'Additional Racks'!$C$526</definedName>
    <definedName name="sample_wld_az1_rack7_host8_mgmt_ip">'Additional Racks'!$C$486</definedName>
    <definedName name="sample_wld_az1_rack7_host9_fqdn">'Additional Racks'!$C$527</definedName>
    <definedName name="sample_wld_az1_rack7_host9_mgmt_ip">'Additional Racks'!$C$487</definedName>
    <definedName name="sample_wld_az1_rack7_mgmt_cidr">'Additional Racks'!$C$476</definedName>
    <definedName name="sample_wld_az1_rack7_mgmt_gateway_ip">'Additional Racks'!$C$475</definedName>
    <definedName name="sample_wld_az1_rack7_mgmt_mtu">'Additional Racks'!$C$477</definedName>
    <definedName name="sample_wld_az1_rack7_mgmt_vlan">'Additional Racks'!$C$474</definedName>
    <definedName name="sample_wld_az1_rack7_mgmt_vm_cidr">'Value Reference Tables - MR'!$M$259</definedName>
    <definedName name="sample_wld_az1_rack7_mgmt_vm_gateway_ip">'Value Reference Tables - MR'!$O$264</definedName>
    <definedName name="sample_wld_az1_rack7_mgmt_vm_mtu">'Value Reference Tables - MR'!$Q$264</definedName>
    <definedName name="sample_wld_az1_rack7_mgmt_vm_vlan">'Value Reference Tables - MR'!$K$264</definedName>
    <definedName name="sample_wld_az1_rack7_pool_name">'Additional Racks'!$C$499</definedName>
    <definedName name="sample_wld_az1_rack7_principal_storage_cidr">Arkham!$B$41</definedName>
    <definedName name="sample_wld_az1_rack7_principal_storage_gateway_ip">'Additional Racks'!$C$513</definedName>
    <definedName name="sample_wld_az1_rack7_principal_storage_mask">'Additional Racks'!$C$512</definedName>
    <definedName name="sample_wld_az1_rack7_principal_storage_mtu">'Additional Racks'!$C$510</definedName>
    <definedName name="sample_wld_az1_rack7_principal_storage_network">'Additional Racks'!$C$511</definedName>
    <definedName name="sample_wld_az1_rack7_principal_storage_pool_end_ip">'Additional Racks'!$C$515</definedName>
    <definedName name="sample_wld_az1_rack7_principal_storage_pool_start_ip">'Additional Racks'!$C$514</definedName>
    <definedName name="sample_wld_az1_rack7_principal_storage_vlan">'Additional Racks'!$C$509</definedName>
    <definedName name="sample_wld_az1_rack7_rtep_ip_pool_name">'Additional Racks'!$C$548</definedName>
    <definedName name="sample_wld_az1_rack7_secondary_storage_cidr">Arkham!$B$42</definedName>
    <definedName name="sample_wld_az1_rack7_secondary_storage_gateway_ip">'Dumping Ground'!$C$552</definedName>
    <definedName name="sample_wld_az1_rack7_secondary_storage_mask">'Dumping Ground'!$C$551</definedName>
    <definedName name="sample_wld_az1_rack7_secondary_storage_mtu">'Dumping Ground'!$C$549</definedName>
    <definedName name="sample_wld_az1_rack7_secondary_storage_network">'Dumping Ground'!$C$550</definedName>
    <definedName name="sample_wld_az1_rack7_secondary_storage_pool_end_ip">'Dumping Ground'!$C$554</definedName>
    <definedName name="sample_wld_az1_rack7_secondary_storage_pool_start_ip">'Dumping Ground'!$C$553</definedName>
    <definedName name="sample_wld_az1_rack7_secondary_storage_vlan">'Dumping Ground'!$C$548</definedName>
    <definedName name="sample_wld_az1_rack7_tor1_peer_asn">Arkham!$Q$75</definedName>
    <definedName name="sample_wld_az1_rack7_tor1_peer_bgp_password">Arkham!$Q$76</definedName>
    <definedName name="sample_wld_az1_rack7_tor1_peer_ip">Arkham!$Q$74</definedName>
    <definedName name="sample_wld_az1_rack7_tor2_peer_asn">Arkham!$Q$78</definedName>
    <definedName name="sample_wld_az1_rack7_tor2_peer_bgp_password">Arkham!$Q$79</definedName>
    <definedName name="sample_wld_az1_rack7_tor2_peer_ip">Arkham!$Q$77</definedName>
    <definedName name="sample_wld_az1_rack7_uplink01_gateway_ip">Arkham!$Q$62</definedName>
    <definedName name="sample_wld_az1_rack7_uplink01_mask">Arkham!$Q$65</definedName>
    <definedName name="sample_wld_az1_rack7_uplink01_mtu">Arkham!$Q$68</definedName>
    <definedName name="sample_wld_az1_rack7_uplink01_network">Arkham!$Q$59</definedName>
    <definedName name="sample_wld_az1_rack7_uplink01_vlan">Arkham!$Q$56</definedName>
    <definedName name="sample_wld_az1_rack7_uplink02_gateway_ip">Arkham!$Q$63</definedName>
    <definedName name="sample_wld_az1_rack7_uplink02_mask">Arkham!$Q$66</definedName>
    <definedName name="sample_wld_az1_rack7_uplink02_mtu">Arkham!$Q$69</definedName>
    <definedName name="sample_wld_az1_rack7_uplink02_network">Arkham!$Q$60</definedName>
    <definedName name="sample_wld_az1_rack7_uplink02_vlan">Arkham!$Q$57</definedName>
    <definedName name="sample_wld_az1_rack7_vmotion_cidr">Arkham!$B$40</definedName>
    <definedName name="sample_wld_az1_rack7_vmotion_gateway_ip">'Additional Racks'!$C$505</definedName>
    <definedName name="sample_wld_az1_rack7_vmotion_mask">'Additional Racks'!$C$504</definedName>
    <definedName name="sample_wld_az1_rack7_vmotion_mtu">'Additional Racks'!$C$502</definedName>
    <definedName name="sample_wld_az1_rack7_vmotion_network">'Additional Racks'!$C$503</definedName>
    <definedName name="sample_wld_az1_rack7_vmotion_pool_end_ip">'Additional Racks'!$C$507</definedName>
    <definedName name="sample_wld_az1_rack7_vmotion_pool_start_ip">'Additional Racks'!$C$506</definedName>
    <definedName name="sample_wld_az1_rack7_vmotion_vlan">'Additional Racks'!$C$501</definedName>
    <definedName name="sample_wld_az1_rack7_vsan_fault_domain">'Additional Racks'!$C$551</definedName>
    <definedName name="sample_wld_az1_rack8_edge_overlay_gateway_ip">Arkham!$T$64</definedName>
    <definedName name="sample_wld_az1_rack8_edge_overlay_mask">Arkham!$T$67</definedName>
    <definedName name="sample_wld_az1_rack8_edge_overlay_mtu">Arkham!$T$70</definedName>
    <definedName name="sample_wld_az1_rack8_edge_overlay_network">Arkham!$T$61</definedName>
    <definedName name="sample_wld_az1_rack8_edge_overlay_network_pool_name">'Additional Racks'!$C$640</definedName>
    <definedName name="sample_wld_az1_rack8_edge_overlay_pool_end_ip">Arkham!$T$72</definedName>
    <definedName name="sample_wld_az1_rack8_edge_overlay_pool_start_ip">Arkham!$T$71</definedName>
    <definedName name="sample_wld_az1_rack8_edge_overlay_vlan">Arkham!$T$58</definedName>
    <definedName name="sample_wld_az1_rack8_host_hostnames">'Additional Racks'!$C$612:$C$627</definedName>
    <definedName name="sample_wld_az1_rack8_host_mgmt_ips">'Additional Racks'!$C$572:$C$587</definedName>
    <definedName name="sample_wld_az1_rack8_host_overlay_cidr">Arkham!$B$47</definedName>
    <definedName name="sample_wld_az1_rack8_host_overlay_gateway_ip">'Additional Racks'!$C$653</definedName>
    <definedName name="sample_wld_az1_rack8_host_overlay_mask">'Additional Racks'!$C$652</definedName>
    <definedName name="sample_wld_az1_rack8_host_overlay_mtu">'Additional Racks'!$C$650</definedName>
    <definedName name="sample_wld_az1_rack8_host_overlay_network">'Additional Racks'!$C$651</definedName>
    <definedName name="sample_wld_az1_rack8_host_overlay_network_pool_name">'Additional Racks'!$C$638</definedName>
    <definedName name="sample_wld_az1_rack8_host_overlay_network_profile_name">'Additional Racks'!$C$636</definedName>
    <definedName name="sample_wld_az1_rack8_host_overlay_pool_end_ip">'Additional Racks'!$C$655</definedName>
    <definedName name="sample_wld_az1_rack8_host_overlay_pool_start_ip">'Additional Racks'!$C$654</definedName>
    <definedName name="sample_wld_az1_rack8_host_overlay_uplink_profile_name">'Additional Racks'!$C$639</definedName>
    <definedName name="sample_wld_az1_rack8_host_overlay_vlan">'Additional Racks'!$C$649</definedName>
    <definedName name="sample_wld_az1_rack8_host1_fqdn">'Additional Racks'!$C$612</definedName>
    <definedName name="sample_wld_az1_rack8_host1_mgmt_ip">'Additional Racks'!$C$572</definedName>
    <definedName name="sample_wld_az1_rack8_host10_fqdn">'Additional Racks'!$C$621</definedName>
    <definedName name="sample_wld_az1_rack8_host10_mgmt_ip">'Additional Racks'!$C$581</definedName>
    <definedName name="sample_wld_az1_rack8_host11_fqdn">'Additional Racks'!$C$622</definedName>
    <definedName name="sample_wld_az1_rack8_host11_mgmt_ip">'Additional Racks'!$C$582</definedName>
    <definedName name="sample_wld_az1_rack8_host12_fqdn">'Additional Racks'!$C$623</definedName>
    <definedName name="sample_wld_az1_rack8_host12_mgmt_ip">'Additional Racks'!$C$583</definedName>
    <definedName name="sample_wld_az1_rack8_host13_fqdn">'Additional Racks'!$C$624</definedName>
    <definedName name="sample_wld_az1_rack8_host13_mgmt_ip">'Additional Racks'!$C$584</definedName>
    <definedName name="sample_wld_az1_rack8_host14_fqdn">'Additional Racks'!$C$625</definedName>
    <definedName name="sample_wld_az1_rack8_host14_mgmt_ip">'Additional Racks'!$C$585</definedName>
    <definedName name="sample_wld_az1_rack8_host15_fqdn">'Additional Racks'!$C$626</definedName>
    <definedName name="sample_wld_az1_rack8_host15_mgmt_ip">'Additional Racks'!$C$586</definedName>
    <definedName name="sample_wld_az1_rack8_host16_fqdn">'Additional Racks'!$C$627</definedName>
    <definedName name="sample_wld_az1_rack8_host16_mgmt_ip">'Additional Racks'!$C$587</definedName>
    <definedName name="sample_wld_az1_rack8_host2_fqdn">'Additional Racks'!$C$613</definedName>
    <definedName name="sample_wld_az1_rack8_host2_mgmt_ip">'Additional Racks'!$C$573</definedName>
    <definedName name="sample_wld_az1_rack8_host3_fqdn">'Additional Racks'!$C$614</definedName>
    <definedName name="sample_wld_az1_rack8_host3_mgmt_ip">'Additional Racks'!$C$574</definedName>
    <definedName name="sample_wld_az1_rack8_host4_fqdn">'Additional Racks'!$C$615</definedName>
    <definedName name="sample_wld_az1_rack8_host4_mgmt_ip">'Additional Racks'!$C$575</definedName>
    <definedName name="sample_wld_az1_rack8_host5_fqdn">'Additional Racks'!$C$616</definedName>
    <definedName name="sample_wld_az1_rack8_host5_mgmt_ip">'Additional Racks'!$C$576</definedName>
    <definedName name="sample_wld_az1_rack8_host6_fqdn">'Additional Racks'!$C$617</definedName>
    <definedName name="sample_wld_az1_rack8_host6_mgmt_ip">'Additional Racks'!$C$577</definedName>
    <definedName name="sample_wld_az1_rack8_host7_fqdn">'Additional Racks'!$C$618</definedName>
    <definedName name="sample_wld_az1_rack8_host7_mgmt_ip">'Additional Racks'!$C$578</definedName>
    <definedName name="sample_wld_az1_rack8_host8_fqdn">'Additional Racks'!$C$619</definedName>
    <definedName name="sample_wld_az1_rack8_host8_mgmt_ip">'Additional Racks'!$C$579</definedName>
    <definedName name="sample_wld_az1_rack8_host9_fqdn">'Additional Racks'!$C$620</definedName>
    <definedName name="sample_wld_az1_rack8_host9_mgmt_ip">'Additional Racks'!$C$580</definedName>
    <definedName name="sample_wld_az1_rack8_mgmt_cidr">'Additional Racks'!$C$569</definedName>
    <definedName name="sample_wld_az1_rack8_mgmt_gateway_ip">'Additional Racks'!$C$568</definedName>
    <definedName name="sample_wld_az1_rack8_mgmt_mtu">'Additional Racks'!$C$570</definedName>
    <definedName name="sample_wld_az1_rack8_mgmt_vlan">'Additional Racks'!$C$567</definedName>
    <definedName name="sample_wld_az1_rack8_mgmt_vm_cidr">'Value Reference Tables - MR'!$M$260</definedName>
    <definedName name="sample_wld_az1_rack8_mgmt_vm_gateway_ip">'Value Reference Tables - MR'!$O$265</definedName>
    <definedName name="sample_wld_az1_rack8_mgmt_vm_mtu">'Value Reference Tables - MR'!$Q$265</definedName>
    <definedName name="sample_wld_az1_rack8_mgmt_vm_vlan">'Value Reference Tables - MR'!$K$265</definedName>
    <definedName name="sample_wld_az1_rack8_pool_name">'Additional Racks'!$C$592</definedName>
    <definedName name="sample_wld_az1_rack8_principal_storage_cidr">Arkham!$B$45</definedName>
    <definedName name="sample_wld_az1_rack8_principal_storage_gateway_ip">'Additional Racks'!$C$606</definedName>
    <definedName name="sample_wld_az1_rack8_principal_storage_mask">'Additional Racks'!$C$605</definedName>
    <definedName name="sample_wld_az1_rack8_principal_storage_mtu">'Additional Racks'!$C$603</definedName>
    <definedName name="sample_wld_az1_rack8_principal_storage_network">'Additional Racks'!$C$604</definedName>
    <definedName name="sample_wld_az1_rack8_principal_storage_pool_end_ip">'Additional Racks'!$C$608</definedName>
    <definedName name="sample_wld_az1_rack8_principal_storage_pool_start_ip">'Additional Racks'!$C$607</definedName>
    <definedName name="sample_wld_az1_rack8_principal_storage_vlan">'Additional Racks'!$C$602</definedName>
    <definedName name="sample_wld_az1_rack8_rtep_ip_pool_name">'Additional Racks'!$C$641</definedName>
    <definedName name="sample_wld_az1_rack8_secondary_storage_cidr">Arkham!$B$46</definedName>
    <definedName name="sample_wld_az1_rack8_secondary_storage_gateway_ip">'Dumping Ground'!$C$560</definedName>
    <definedName name="sample_wld_az1_rack8_secondary_storage_mask">'Dumping Ground'!$C$559</definedName>
    <definedName name="sample_wld_az1_rack8_secondary_storage_mtu">'Dumping Ground'!$C$557</definedName>
    <definedName name="sample_wld_az1_rack8_secondary_storage_network">'Dumping Ground'!$C$558</definedName>
    <definedName name="sample_wld_az1_rack8_secondary_storage_pool_end_ip">'Dumping Ground'!$C$562</definedName>
    <definedName name="sample_wld_az1_rack8_secondary_storage_pool_start_ip">'Dumping Ground'!$C$561</definedName>
    <definedName name="sample_wld_az1_rack8_secondary_storage_vlan">'Dumping Ground'!$C$556</definedName>
    <definedName name="sample_wld_az1_rack8_tor1_peer_asn">Arkham!$T$75</definedName>
    <definedName name="sample_wld_az1_rack8_tor1_peer_bgp_password">Arkham!$T$76</definedName>
    <definedName name="sample_wld_az1_rack8_tor1_peer_ip">Arkham!$T$74</definedName>
    <definedName name="sample_wld_az1_rack8_tor2_peer_asn">Arkham!$T$78</definedName>
    <definedName name="sample_wld_az1_rack8_tor2_peer_bgp_password">Arkham!$T$79</definedName>
    <definedName name="sample_wld_az1_rack8_tor2_peer_ip">Arkham!$T$77</definedName>
    <definedName name="sample_wld_az1_rack8_uplink01_gateway_ip">Arkham!$T$62</definedName>
    <definedName name="sample_wld_az1_rack8_uplink01_mask">Arkham!$T$65</definedName>
    <definedName name="sample_wld_az1_rack8_uplink01_mtu">Arkham!$T$68</definedName>
    <definedName name="sample_wld_az1_rack8_uplink01_network">Arkham!$T$59</definedName>
    <definedName name="sample_wld_az1_rack8_uplink01_vlan">Arkham!$T$56</definedName>
    <definedName name="sample_wld_az1_rack8_uplink02_gateway_ip">Arkham!$T$63</definedName>
    <definedName name="sample_wld_az1_rack8_uplink02_mask">Arkham!$T$66</definedName>
    <definedName name="sample_wld_az1_rack8_uplink02_mtu">Arkham!$T$69</definedName>
    <definedName name="sample_wld_az1_rack8_uplink02_network">Arkham!$T$60</definedName>
    <definedName name="sample_wld_az1_rack8_uplink02_vlan">Arkham!$T$57</definedName>
    <definedName name="sample_wld_az1_rack8_vmotion_cidr">Arkham!$B$44</definedName>
    <definedName name="sample_wld_az1_rack8_vmotion_gateway_ip">'Additional Racks'!$C$598</definedName>
    <definedName name="sample_wld_az1_rack8_vmotion_mask">'Additional Racks'!$C$597</definedName>
    <definedName name="sample_wld_az1_rack8_vmotion_mtu">'Additional Racks'!$C$595</definedName>
    <definedName name="sample_wld_az1_rack8_vmotion_network">'Additional Racks'!$C$596</definedName>
    <definedName name="sample_wld_az1_rack8_vmotion_pool_end_ip">'Additional Racks'!$C$600</definedName>
    <definedName name="sample_wld_az1_rack8_vmotion_pool_start_ip">'Additional Racks'!$C$599</definedName>
    <definedName name="sample_wld_az1_rack8_vmotion_vlan">'Additional Racks'!$C$594</definedName>
    <definedName name="sample_wld_az1_rack8_vsan_fault_domain">'Additional Racks'!$C$644</definedName>
    <definedName name="sample_wld_az1_rtep_ip_pool_name">'Configure Workload Domain'!$C$466</definedName>
    <definedName name="sample_wld_az1_rtep_overlay_cidr">'Configure Workload Domain'!$C$469</definedName>
    <definedName name="sample_wld_az1_rtep_overlay_gateway_ip">'Configure Workload Domain'!$C$470</definedName>
    <definedName name="sample_wld_az1_rtep_overlay_vlan">'Configure Workload Domain'!$C$499</definedName>
    <definedName name="sample_wld_az1_secondary_storage_gateway_ip">'Deploy Workload Domain'!$C$105</definedName>
    <definedName name="sample_wld_az1_secondary_storage_mask">'Deploy Workload Domain'!$C$104</definedName>
    <definedName name="sample_wld_az1_secondary_storage_mtu">'Deploy Workload Domain'!$C$102</definedName>
    <definedName name="sample_wld_az1_secondary_storage_network">'Deploy Workload Domain'!$C$103</definedName>
    <definedName name="sample_wld_az1_secondary_storage_pool_end_ip">'Deploy Workload Domain'!$C$107</definedName>
    <definedName name="sample_wld_az1_secondary_storage_pool_start_ip">'Deploy Workload Domain'!$C$106</definedName>
    <definedName name="sample_wld_az1_secondary_storage_vlan">'Deploy Workload Domain'!$C$101</definedName>
    <definedName name="sample_wld_az1_storage_cluster_gateway_ip">'Deploy Workload Domain'!$C$113</definedName>
    <definedName name="sample_wld_az1_storage_cluster_mask">'Deploy Workload Domain'!$C$112</definedName>
    <definedName name="sample_wld_az1_storage_cluster_mtu">'Deploy Workload Domain'!$C$110</definedName>
    <definedName name="sample_wld_az1_storage_cluster_network">'Deploy Workload Domain'!$C$111</definedName>
    <definedName name="sample_wld_az1_storage_cluster_pool_end_ip">'Deploy Workload Domain'!$C$115</definedName>
    <definedName name="sample_wld_az1_storage_cluster_pool_start_ip">'Deploy Workload Domain'!$C$114</definedName>
    <definedName name="sample_wld_az1_storage_cluster_vlan">'Deploy Workload Domain'!$C$109</definedName>
    <definedName name="sample_wld_az1_tor1_peer_asn">'Configure Workload Domain'!$C$106</definedName>
    <definedName name="sample_wld_az1_tor1_peer_bgp_password">'Configure Workload Domain'!$C$107</definedName>
    <definedName name="sample_wld_az1_tor1_peer_ip">'Configure Workload Domain'!$C$103</definedName>
    <definedName name="sample_wld_az1_tor2_peer_asn">'Configure Workload Domain'!$C$113</definedName>
    <definedName name="sample_wld_az1_tor2_peer_bgp_password">'Configure Workload Domain'!$C$114</definedName>
    <definedName name="sample_wld_az1_tor2_peer_ip">'Configure Workload Domain'!$C$110</definedName>
    <definedName name="sample_wld_az1_uplink01_cidr">'Configure Workload Domain'!$C$138</definedName>
    <definedName name="sample_wld_az1_uplink01_gateway_ip">'Configure Workload Domain'!$C$137</definedName>
    <definedName name="sample_wld_az1_uplink01_mtu">'Configure Workload Domain'!$C$105</definedName>
    <definedName name="sample_wld_az1_uplink01_vlan">'Configure Workload Domain'!$C$101</definedName>
    <definedName name="sample_wld_az1_uplink02_cidr">'Configure Workload Domain'!$C$142</definedName>
    <definedName name="sample_wld_az1_uplink02_gateway_ip">'Configure Workload Domain'!$C$141</definedName>
    <definedName name="sample_wld_az1_uplink02_mtu">'Configure Workload Domain'!$C$112</definedName>
    <definedName name="sample_wld_az1_uplink02_vlan">'Configure Workload Domain'!$C$108</definedName>
    <definedName name="sample_wld_az1_vmotion_cidr">'Deploy Workload Domain'!$C$353</definedName>
    <definedName name="sample_wld_az1_vmotion_gateway_ip">'Deploy Workload Domain'!$C$89</definedName>
    <definedName name="sample_wld_az1_vmotion_mask">'Deploy Workload Domain'!$C$88</definedName>
    <definedName name="sample_wld_az1_vmotion_mtu">'Deploy Workload Domain'!$C$86</definedName>
    <definedName name="sample_wld_az1_vmotion_network">'Deploy Workload Domain'!$C$87</definedName>
    <definedName name="sample_wld_az1_vmotion_pool_end_ip">'Deploy Workload Domain'!$C$91</definedName>
    <definedName name="sample_wld_az1_vmotion_pool_start_ip">'Deploy Workload Domain'!$C$90</definedName>
    <definedName name="sample_wld_az1_vmotion_vlan">'Deploy Workload Domain'!$C$85</definedName>
    <definedName name="sample_wld_az1_vrms_cidr">'Dumping Ground'!$C$270</definedName>
    <definedName name="sample_wld_az1_vrms_gateway_ip">'Dumping Ground'!$C$269</definedName>
    <definedName name="sample_wld_az1_vrms_mask">'Dumping Ground'!$E$269</definedName>
    <definedName name="sample_wld_az1_vrms_mtu">'Dumping Ground'!$C$271</definedName>
    <definedName name="sample_wld_az1_vrms_vlan">'On-Premises Ransomware Recovery'!$C$72</definedName>
    <definedName name="sample_wld_az2_host_overlay_cidr">'Configure Workload Domain'!$C$325</definedName>
    <definedName name="sample_wld_az2_host_overlay_gateway_ip">'Configure Workload Domain'!$C$324</definedName>
    <definedName name="sample_wld_az2_host_overlay_mtu">'Configure Workload Domain'!$C$326</definedName>
    <definedName name="sample_wld_az2_host_overlay_network_pool_name">'Configure Workload Domain'!$C$321</definedName>
    <definedName name="sample_wld_az2_host_overlay_network_profile_name">'Configure Workload Domain'!$C$319</definedName>
    <definedName name="sample_wld_az2_host_overlay_pool_end_ip">'Configure Workload Domain'!$C$328</definedName>
    <definedName name="sample_wld_az2_host_overlay_pool_start_ip">'Configure Workload Domain'!$C$327</definedName>
    <definedName name="sample_wld_az2_host_overlay_uplink_profile_name">'Configure Workload Domain'!$C$322</definedName>
    <definedName name="sample_wld_az2_host_overlay_vlan">'Configure Workload Domain'!$C$323</definedName>
    <definedName name="sample_wld_az2_host1_fqdn">'Configure Workload Domain'!$C$232</definedName>
    <definedName name="sample_wld_az2_host1_mgmt_ip">'Configure Workload Domain'!$C$174</definedName>
    <definedName name="sample_wld_az2_host1_sddc_id">'Configure Workload Domain'!$C$303</definedName>
    <definedName name="sample_wld_az2_host1_vrms_ip">'Dumping Ground'!$C$310</definedName>
    <definedName name="sample_wld_az2_host10_fqdn">'Configure Workload Domain'!$C$241</definedName>
    <definedName name="sample_wld_az2_host10_mgmt_ip">'Configure Workload Domain'!$C$183</definedName>
    <definedName name="sample_wld_az2_host10_vrms_ip">'Dumping Ground'!$C$319</definedName>
    <definedName name="sample_wld_az2_host11_fqdn">'Configure Workload Domain'!$C$242</definedName>
    <definedName name="sample_wld_az2_host11_mgmt_ip">'Configure Workload Domain'!$C$184</definedName>
    <definedName name="sample_wld_az2_host11_vrms_ip">'Dumping Ground'!$C$320</definedName>
    <definedName name="sample_wld_az2_host12_fqdn">'Configure Workload Domain'!$C$243</definedName>
    <definedName name="sample_wld_az2_host12_mgmt_ip">'Configure Workload Domain'!$C$185</definedName>
    <definedName name="sample_wld_az2_host12_vrms_ip">'Dumping Ground'!$C$321</definedName>
    <definedName name="sample_wld_az2_host13_fqdn">'Configure Workload Domain'!$C$244</definedName>
    <definedName name="sample_wld_az2_host13_mgmt_ip">'Configure Workload Domain'!$C$186</definedName>
    <definedName name="sample_wld_az2_host13_vrms_ip">'Dumping Ground'!$C$322</definedName>
    <definedName name="sample_wld_az2_host14_fqdn">'Configure Workload Domain'!$C$245</definedName>
    <definedName name="sample_wld_az2_host14_mgmt_ip">'Configure Workload Domain'!$C$187</definedName>
    <definedName name="sample_wld_az2_host14_vrms_ip">'Dumping Ground'!$C$323</definedName>
    <definedName name="sample_wld_az2_host15_fqdn">'Configure Workload Domain'!$C$246</definedName>
    <definedName name="sample_wld_az2_host15_mgmt_ip">'Configure Workload Domain'!$C$188</definedName>
    <definedName name="sample_wld_az2_host15_vrms_ip">'Dumping Ground'!$C$324</definedName>
    <definedName name="sample_wld_az2_host16_fqdn">'Configure Workload Domain'!$C$247</definedName>
    <definedName name="sample_wld_az2_host16_mgmt_ip">'Configure Workload Domain'!$C$189</definedName>
    <definedName name="sample_wld_az2_host16_vrms_ip">'Dumping Ground'!$C$325</definedName>
    <definedName name="sample_wld_az2_host2_fqdn">'Configure Workload Domain'!$C$233</definedName>
    <definedName name="sample_wld_az2_host2_mgmt_ip">'Configure Workload Domain'!$C$175</definedName>
    <definedName name="sample_wld_az2_host2_sddc_id">'Configure Workload Domain'!$C$304</definedName>
    <definedName name="sample_wld_az2_host2_vrms_ip">'Dumping Ground'!$C$311</definedName>
    <definedName name="sample_wld_az2_host3_fqdn">'Configure Workload Domain'!$C$234</definedName>
    <definedName name="sample_wld_az2_host3_mgmt_ip">'Configure Workload Domain'!$C$176</definedName>
    <definedName name="sample_wld_az2_host3_sddc_id">'Configure Workload Domain'!$C$305</definedName>
    <definedName name="sample_wld_az2_host3_vrms_ip">'Dumping Ground'!$C$312</definedName>
    <definedName name="sample_wld_az2_host4_fqdn">'Configure Workload Domain'!$C$235</definedName>
    <definedName name="sample_wld_az2_host4_mgmt_ip">'Configure Workload Domain'!$C$177</definedName>
    <definedName name="sample_wld_az2_host4_sddc_id">'Configure Workload Domain'!$C$306</definedName>
    <definedName name="sample_wld_az2_host4_vrms_ip">'Dumping Ground'!$C$313</definedName>
    <definedName name="sample_wld_az2_host5_fqdn">'Configure Workload Domain'!$C$236</definedName>
    <definedName name="sample_wld_az2_host5_mgmt_ip">'Configure Workload Domain'!$C$178</definedName>
    <definedName name="sample_wld_az2_host5_vrms_ip">'Dumping Ground'!$C$314</definedName>
    <definedName name="sample_wld_az2_host6_fqdn">'Configure Workload Domain'!$C$237</definedName>
    <definedName name="sample_wld_az2_host6_mgmt_ip">'Configure Workload Domain'!$C$179</definedName>
    <definedName name="sample_wld_az2_host6_vrms_ip">'Dumping Ground'!$C$315</definedName>
    <definedName name="sample_wld_az2_host7_fqdn">'Configure Workload Domain'!$C$238</definedName>
    <definedName name="sample_wld_az2_host7_mgmt_ip">'Configure Workload Domain'!$C$180</definedName>
    <definedName name="sample_wld_az2_host7_vrms_ip">'Dumping Ground'!$C$316</definedName>
    <definedName name="sample_wld_az2_host8_fqdn">'Configure Workload Domain'!$C$239</definedName>
    <definedName name="sample_wld_az2_host8_mgmt_ip">'Configure Workload Domain'!$C$181</definedName>
    <definedName name="sample_wld_az2_host8_vrms_ip">'Dumping Ground'!$C$317</definedName>
    <definedName name="sample_wld_az2_host9_fqdn">'Configure Workload Domain'!$C$240</definedName>
    <definedName name="sample_wld_az2_host9_mgmt_ip">'Configure Workload Domain'!$C$182</definedName>
    <definedName name="sample_wld_az2_host9_vrms_ip">'Dumping Ground'!$C$318</definedName>
    <definedName name="sample_wld_az2_mgmt_cidr">'Configure Workload Domain'!$C$171</definedName>
    <definedName name="sample_wld_az2_mgmt_gateway_ip">'Configure Workload Domain'!$C$170</definedName>
    <definedName name="sample_wld_az2_mgmt_mtu">'Configure Workload Domain'!$C$172</definedName>
    <definedName name="sample_wld_az2_mgmt_vlan">'Configure Workload Domain'!$C$169</definedName>
    <definedName name="sample_wld_az2_pool_name">'Configure Workload Domain'!$C$195</definedName>
    <definedName name="sample_wld_az2_principal_storage_gateway_ip">'Configure Workload Domain'!$C$209</definedName>
    <definedName name="sample_wld_az2_principal_storage_mask">'Configure Workload Domain'!$C$208</definedName>
    <definedName name="sample_wld_az2_principal_storage_mtu">'Configure Workload Domain'!$C$206</definedName>
    <definedName name="sample_wld_az2_principal_storage_network">'Configure Workload Domain'!$C$207</definedName>
    <definedName name="sample_wld_az2_principal_storage_pool_end_ip">'Configure Workload Domain'!$C$211</definedName>
    <definedName name="sample_wld_az2_principal_storage_pool_start_ip">'Configure Workload Domain'!$C$210</definedName>
    <definedName name="sample_wld_az2_principal_storage_vlan">'Configure Workload Domain'!$C$205</definedName>
    <definedName name="sample_wld_az2_secondary_storage_gateway_ip">'Configure Workload Domain'!$C$217</definedName>
    <definedName name="sample_wld_az2_secondary_storage_mask">'Configure Workload Domain'!$C$216</definedName>
    <definedName name="sample_wld_az2_secondary_storage_mtu">'Configure Workload Domain'!$C$214</definedName>
    <definedName name="sample_wld_az2_secondary_storage_network">'Configure Workload Domain'!$C$215</definedName>
    <definedName name="sample_wld_az2_secondary_storage_pool_end_ip">'Configure Workload Domain'!$C$219</definedName>
    <definedName name="sample_wld_az2_secondary_storage_pool_start_ip">'Configure Workload Domain'!$C$218</definedName>
    <definedName name="sample_wld_az2_secondary_storage_vlan">'Configure Workload Domain'!$C$213</definedName>
    <definedName name="sample_wld_az2_storage_cluster_gateway_ip">'Configure Workload Domain'!$C$225</definedName>
    <definedName name="sample_wld_az2_storage_cluster_mask">'Configure Workload Domain'!$C$224</definedName>
    <definedName name="sample_wld_az2_storage_cluster_mtu">'Configure Workload Domain'!$C$222</definedName>
    <definedName name="sample_wld_az2_storage_cluster_network">'Configure Workload Domain'!$C$223</definedName>
    <definedName name="sample_wld_az2_storage_cluster_pool_end_ip">'Configure Workload Domain'!$C$227</definedName>
    <definedName name="sample_wld_az2_storage_cluster_pool_start_ip">'Configure Workload Domain'!$C$226</definedName>
    <definedName name="sample_wld_az2_storage_cluster_vlan">'Configure Workload Domain'!$C$221</definedName>
    <definedName name="sample_wld_az2_tor1_peer_asn">'Configure Workload Domain'!$C$346</definedName>
    <definedName name="sample_wld_az2_tor1_peer_bgp_password">'Configure Workload Domain'!$C$349</definedName>
    <definedName name="sample_wld_az2_tor1_peer_ip">'Configure Workload Domain'!$C$345</definedName>
    <definedName name="sample_wld_az2_tor2_peer_asn">'Configure Workload Domain'!$C$351</definedName>
    <definedName name="sample_wld_az2_tor2_peer_bgp_password">'Configure Workload Domain'!$C$354</definedName>
    <definedName name="sample_wld_az2_tor2_peer_ip">'Configure Workload Domain'!$C$350</definedName>
    <definedName name="sample_wld_az2_vmotion_gateway_ip">'Configure Workload Domain'!$C$201</definedName>
    <definedName name="sample_wld_az2_vmotion_mask">'Configure Workload Domain'!$C$200</definedName>
    <definedName name="sample_wld_az2_vmotion_mtu">'Configure Workload Domain'!$C$198</definedName>
    <definedName name="sample_wld_az2_vmotion_network">'Configure Workload Domain'!$C$199</definedName>
    <definedName name="sample_wld_az2_vmotion_pool_end_ip">'Configure Workload Domain'!$C$203</definedName>
    <definedName name="sample_wld_az2_vmotion_pool_start_ip">'Configure Workload Domain'!$C$202</definedName>
    <definedName name="sample_wld_az2_vmotion_vlan">'Configure Workload Domain'!$C$197</definedName>
    <definedName name="sample_wld_bf_nsxt_admin_password">'Deploy Workload Domain'!$C$48</definedName>
    <definedName name="sample_wld_bf_nsxt_audit_password">'Deploy Workload Domain'!$C$50</definedName>
    <definedName name="sample_wld_bf_nsxt_mgra_fqdn">'Deploy Workload Domain'!$C$41</definedName>
    <definedName name="sample_wld_bf_nsxt_mgrb_fqdn">'Deploy Workload Domain'!$C$42</definedName>
    <definedName name="sample_wld_bf_nsxt_mgrc_fqdn">'Deploy Workload Domain'!$C$43</definedName>
    <definedName name="sample_wld_bf_nsxt_root_password">'Deploy Workload Domain'!$C$49</definedName>
    <definedName name="sample_wld_bf_nsxt_vip_fqdn">'Deploy Workload Domain'!$C$44</definedName>
    <definedName name="sample_wld_bf_sddc_domain">'Deploy Workload Domain'!$C$23</definedName>
    <definedName name="sample_wld_bf_vc_fqdn">'Deploy Workload Domain'!$C$29</definedName>
    <definedName name="sample_wld_bf_vc_root_password">'Deploy Workload Domain'!$C$30</definedName>
    <definedName name="sample_wld_bf_vc_sso_password">'Deploy Workload Domain'!$C$32</definedName>
    <definedName name="sample_wld_bf_vc_sso_username">'Deploy Workload Domain'!$C$31</definedName>
    <definedName name="sample_wld_cl01_az1_mgmt_pg">'Deploy Workload Domain'!$C$272</definedName>
    <definedName name="sample_wld_cl01_az1_mgmt_vm_pg">'Deploy Workload Domain'!$C$277</definedName>
    <definedName name="sample_wld_cl01_az1_nsx_uplink_count">'Deploy Workload Domain'!$C$315</definedName>
    <definedName name="sample_wld_cl01_az1_principal_storage_pg">'Deploy Workload Domain'!$C$287</definedName>
    <definedName name="sample_wld_cl01_az1_uplink01_pg">'Configure Workload Domain'!$C$136</definedName>
    <definedName name="sample_wld_cl01_az1_uplink02_pg">'Configure Workload Domain'!$C$140</definedName>
    <definedName name="sample_wld_cl01_az1_vmotion_pg">'Deploy Workload Domain'!$C$282</definedName>
    <definedName name="sample_wld_cl01_az1_vsan_storage_client_pg">'Deploy Workload Domain'!$C$292</definedName>
    <definedName name="sample_wld_cl01_cluster">'Deploy Workload Domain'!$C$163</definedName>
    <definedName name="sample_wld_cl01_cluster_sddc_id">'Configure Workload Domain'!$C$332</definedName>
    <definedName name="sample_wld_cl01_cluster_zn_name">'Deploy Workload Domain'!$C$164</definedName>
    <definedName name="sample_wld_cl01_evc_mode">'Dumping Ground'!$R$7</definedName>
    <definedName name="sample_wld_cl01_image_name">'Deploy Workload Domain'!$C$168</definedName>
    <definedName name="sample_wld_cl01_nfs_datastore_name">'Deploy Workload Domain'!$C$206</definedName>
    <definedName name="sample_wld_cl01_nfs_server_address">'Deploy Workload Domain'!$C$208</definedName>
    <definedName name="sample_wld_cl01_nfs_share_path">'Deploy Workload Domain'!$C$207</definedName>
    <definedName name="sample_wld_cl01_supervisor_control_plane_ip_range">'Deploy Workload Domain'!$C$329</definedName>
    <definedName name="sample_wld_cl01_supervisor_dns">'Deploy Workload Domain'!$C$335</definedName>
    <definedName name="sample_wld_cl01_supervisor_name">'Deploy Workload Domain'!$C$326</definedName>
    <definedName name="sample_wld_cl01_supervisor_nsx_project">'Deploy Workload Domain'!$C$331</definedName>
    <definedName name="sample_wld_cl01_supervisor_ntp">'Deploy Workload Domain'!$C$336</definedName>
    <definedName name="sample_wld_cl01_supervisor_private_cidr">'Deploy Workload Domain'!$C$334</definedName>
    <definedName name="sample_wld_cl01_supervisor_private_transit_gateway_cidr">'Deploy Workload Domain'!$C$333</definedName>
    <definedName name="sample_wld_cl01_supervisor_service_cidr">'Deploy Workload Domain'!$C$327</definedName>
    <definedName name="sample_wld_cl01_supervisor_vpc_profile">'Deploy Workload Domain'!$C$332</definedName>
    <definedName name="sample_wld_cl01_vds01_lag_name">'Deploy Workload Domain'!$C$242</definedName>
    <definedName name="sample_wld_cl01_vds01_mtu">'Deploy Workload Domain'!$C$240</definedName>
    <definedName name="sample_wld_cl01_vds01_name">'Deploy Workload Domain'!$C$239</definedName>
    <definedName name="sample_wld_cl01_vds01_pnics">'Deploy Workload Domain'!$C$247</definedName>
    <definedName name="sample_wld_cl01_vds01_uplink_count">'Deploy Workload Domain'!$C$246</definedName>
    <definedName name="sample_wld_cl01_vds02_lag_name">'Deploy Workload Domain'!$C$253</definedName>
    <definedName name="sample_wld_cl01_vds02_mtu">'Deploy Workload Domain'!$C$251</definedName>
    <definedName name="sample_wld_cl01_vds02_name">'Deploy Workload Domain'!$C$250</definedName>
    <definedName name="sample_wld_cl01_vds02_pnics">'Deploy Workload Domain'!$C$258</definedName>
    <definedName name="sample_wld_cl01_vds02_uplink_count">'Deploy Workload Domain'!$C$257</definedName>
    <definedName name="sample_wld_cl01_vds03_lag_name">'Deploy Workload Domain'!$C$264</definedName>
    <definedName name="sample_wld_cl01_vds03_mtu">'Deploy Workload Domain'!$C$262</definedName>
    <definedName name="sample_wld_cl01_vds03_name">'Deploy Workload Domain'!$C$261</definedName>
    <definedName name="sample_wld_cl01_vds03_pnics">'Deploy Workload Domain'!$C$269</definedName>
    <definedName name="sample_wld_cl01_vds03_uplink_count">'Deploy Workload Domain'!$C$268</definedName>
    <definedName name="sample_wld_cl01_vmfs_datastore_name">'Deploy Workload Domain'!$C$205</definedName>
    <definedName name="sample_wld_cl01_vsan_datastore">'Deploy Workload Domain'!$C$201</definedName>
    <definedName name="sample_wld_datacenter">'Configure Workload Domain'!$C$286</definedName>
    <definedName name="sample_wld_ec_mtu">'Configure Workload Domain'!$C$39</definedName>
    <definedName name="sample_wld_ec_name">'Configure Workload Domain'!$C$38</definedName>
    <definedName name="sample_wld_ec_rp_name">'Configure Workload Domain'!$C$44</definedName>
    <definedName name="sample_wld_ec01_en01_host_group_affinity_rule_name">'Configure Workload Domain'!$C$46</definedName>
    <definedName name="sample_wld_ec01_en02_host_group_affinity_rule_name">'Configure Workload Domain'!$C$72</definedName>
    <definedName name="sample_wld_en_asn">'Configure Workload Domain'!$C$99</definedName>
    <definedName name="sample_wld_esx_root_password">'Deploy Workload Domain'!$C$141</definedName>
    <definedName name="sample_wld_esx_root_username">'Deploy Workload Domain'!$C$140</definedName>
    <definedName name="sample_wld_existing_active_nsx_gm">'Configure Workload Domain'!$C$512</definedName>
    <definedName name="sample_wld_existing_cross_instance_t0_name">'Configure Workload Domain'!$C$513</definedName>
    <definedName name="sample_wld_host_overlay_transportzone">'Deploy Workload Domain'!$C$302</definedName>
    <definedName name="sample_wld_nsx_vlan_transport_zone_name">'Deploy Workload Domain'!$C$312</definedName>
    <definedName name="sample_wld_nsxt_en_admin_password">'Configure Workload Domain'!$C$93</definedName>
    <definedName name="sample_wld_nsxt_en_root_password">'Configure Workload Domain'!$C$92</definedName>
    <definedName name="sample_wld_nsxt_federation_global_manager_name">'Configure Workload Domain'!$C$482</definedName>
    <definedName name="sample_wld_nsxt_federation_location_name">'Configure Workload Domain'!$C$493</definedName>
    <definedName name="sample_wld_nsxt_global_mgr_anti_affinity_rule_name">'Configure Workload Domain'!$C$434</definedName>
    <definedName name="sample_wld_nsxt_global_mgr_certificate_id">'Configure Workload Domain'!$C$452</definedName>
    <definedName name="sample_wld_nsxt_global_mgr_cluster_id">'Configure Workload Domain'!$C$416</definedName>
    <definedName name="sample_wld_nsxt_global_mgr_vmca_signed_thumbprint">'Configure Workload Domain'!$C$417</definedName>
    <definedName name="sample_wld_nsxt_global_mgra_fqdn">'Configure Workload Domain'!$C$370</definedName>
    <definedName name="sample_wld_nsxt_global_mgra_hostname">'Configure Workload Domain'!$C$361</definedName>
    <definedName name="sample_wld_nsxt_global_mgra_ip">'Configure Workload Domain'!$C$371</definedName>
    <definedName name="sample_wld_nsxt_global_mgrb_fqdn">'Configure Workload Domain'!$C$387</definedName>
    <definedName name="sample_wld_nsxt_global_mgrb_hostname">'Configure Workload Domain'!$C$378</definedName>
    <definedName name="sample_wld_nsxt_global_mgrb_ip">'Configure Workload Domain'!$C$388</definedName>
    <definedName name="sample_wld_nsxt_global_mgrc_fqdn">'Configure Workload Domain'!$C$404</definedName>
    <definedName name="sample_wld_nsxt_global_mgrc_hostname">'Configure Workload Domain'!$C$395</definedName>
    <definedName name="sample_wld_nsxt_global_mgrc_ip">'Configure Workload Domain'!$C$405</definedName>
    <definedName name="sample_wld_nsxt_gm_admin_password">'Configure Workload Domain'!$C$368</definedName>
    <definedName name="sample_wld_nsxt_gm_audit_password">'Configure Workload Domain'!$C$369</definedName>
    <definedName name="sample_wld_nsxt_gm_fingerprint">'Configure Workload Domain'!$C$480</definedName>
    <definedName name="sample_wld_nsxt_gm_root_password">'Configure Workload Domain'!$C$367</definedName>
    <definedName name="sample_wld_nsxt_gm_vip_fqdn">'Configure Workload Domain'!$C$443</definedName>
    <definedName name="sample_wld_nsxt_gm_vip_ip">'Configure Workload Domain'!$C$442</definedName>
    <definedName name="sample_wld_nsxt_lm_admin_password">'Deploy Workload Domain'!$C$183</definedName>
    <definedName name="sample_wld_nsxt_lm_audit_password">'Deploy Workload Domain'!$C$184</definedName>
    <definedName name="sample_wld_nsxt_lm_fingerprint">'Configure Workload Domain'!$C$491</definedName>
    <definedName name="sample_wld_nsxt_mgra_fqdn">'Deploy Workload Domain'!$C$175</definedName>
    <definedName name="sample_wld_nsxt_mgra_ip">'Deploy Workload Domain'!$C$176</definedName>
    <definedName name="sample_wld_nsxt_mgrb_fqdn">'Deploy Workload Domain'!$C$177</definedName>
    <definedName name="sample_wld_nsxt_mgrb_ip">'Deploy Workload Domain'!$C$178</definedName>
    <definedName name="sample_wld_nsxt_mgrc_fqdn">'Deploy Workload Domain'!$C$179</definedName>
    <definedName name="sample_wld_nsxt_mgrc_ip">'Deploy Workload Domain'!$C$180</definedName>
    <definedName name="sample_wld_nsxt_vip_fqdn">'Deploy Workload Domain'!$C$181</definedName>
    <definedName name="sample_wld_nsxt_vip_ip">'Deploy Workload Domain'!$C$182</definedName>
    <definedName name="sample_wld_nsxt_xreg_t1_name">'Configure Workload Domain'!$C$505</definedName>
    <definedName name="sample_wld_rack2_en_asn">Arkham!$B$73</definedName>
    <definedName name="sample_wld_rack3_en_asn">Arkham!$E$73</definedName>
    <definedName name="sample_wld_rack4_en_asn">Arkham!$H$73</definedName>
    <definedName name="sample_wld_rack5_en_asn">Arkham!$K$73</definedName>
    <definedName name="sample_wld_rack6_en_asn">Arkham!$N$73</definedName>
    <definedName name="sample_wld_rack7_en_asn">Arkham!$Q$73</definedName>
    <definedName name="sample_wld_rack8_en_asn">Arkham!$T$73</definedName>
    <definedName name="sample_wld_rtep_overlay_pool_end_ip">'Configure Workload Domain'!$C$468</definedName>
    <definedName name="sample_wld_rtep_overlay_pool_start_ip">'Configure Workload Domain'!$C$467</definedName>
    <definedName name="sample_wld_rwr_az1_vrms_gateway_ip">'On-Premises Ransomware Recovery'!$C$99</definedName>
    <definedName name="sample_wld_rwr_az1_vrms_gateway_mask">'On-Premises Ransomware Recovery'!$C$82</definedName>
    <definedName name="sample_wld_rwr_cl02_cluster">'On-Premises Ransomware Recovery'!$C$78</definedName>
    <definedName name="sample_wld_rwr_cl02_vds01">'On-Premises Ransomware Recovery'!$C$70</definedName>
    <definedName name="sample_wld_rwr_recovery_site_az1_vrms_cidr">'On-Premises Ransomware Recovery'!$C$100</definedName>
    <definedName name="sample_wld_rwr_recovery_site_nsx_ec_name">'On-Premises Ransomware Recovery'!$C$123</definedName>
    <definedName name="sample_wld_rwr_recovery_site_nsx_ec_t0_name">'On-Premises Ransomware Recovery'!$C$126</definedName>
    <definedName name="sample_wld_rwr_recovery_site_nsx_ec_t1_name">'On-Premises Ransomware Recovery'!$C$125</definedName>
    <definedName name="sample_wld_rwr_recovery_site_nsx_fqdn">'On-Premises Ransomware Recovery'!$C$118</definedName>
    <definedName name="sample_wld_rwr_recovery_site_vc_fqdn">'On-Premises Ransomware Recovery'!$C$153</definedName>
    <definedName name="sample_wld_rwr_recoverysite_fd">'On-Premises Ransomware Recovery'!$C$144</definedName>
    <definedName name="sample_wld_rwr_vc_fqdn">'On-Premises Ransomware Recovery'!$C$42</definedName>
    <definedName name="sample_wld_rwr_vcfops_vlsr_username">'On-Premises Ransomware Recovery'!$C$203</definedName>
    <definedName name="sample_wld_rwr_vcfops_vr_username">'On-Premises Ransomware Recovery'!$C$205</definedName>
    <definedName name="sample_wld_sddc_domain">'Deploy Workload Domain'!$C$148</definedName>
    <definedName name="sample_wld_srm_admin_email">'Dumping Ground'!$C$82</definedName>
    <definedName name="sample_wld_srm_admin_password">'Dumping Ground'!$C$79</definedName>
    <definedName name="sample_wld_srm_database_password">'Dumping Ground'!$C$80</definedName>
    <definedName name="sample_wld_srm_hostname">'Dumping Ground'!$D$12</definedName>
    <definedName name="sample_wld_srm_ip">'Dumping Ground'!$F$12</definedName>
    <definedName name="sample_wld_srm_p12_password">'Dumping Ground'!$C$83</definedName>
    <definedName name="sample_wld_srm_recovery_vcenter_fqdn">'Dumping Ground'!$C$85</definedName>
    <definedName name="sample_wld_srm_recovery_vcenter_password">'Dumping Ground'!$C$87</definedName>
    <definedName name="sample_wld_srm_recovery_vcenter_username">'Dumping Ground'!$C$86</definedName>
    <definedName name="sample_wld_srm_root_password">'Dumping Ground'!$C$78</definedName>
    <definedName name="sample_wld_srm_site_name">'Dumping Ground'!$C$81</definedName>
    <definedName name="sample_wld_srm_sso_domain_membership">'Dumping Ground'!$C$89</definedName>
    <definedName name="sample_wld_srm_vm_folder">'Dumping Ground'!$C$77</definedName>
    <definedName name="sample_wld_sso_domain_name">'Deploy Workload Domain'!$C$150</definedName>
    <definedName name="sample_wld_tier0_name">'Configure Workload Domain'!$C$96</definedName>
    <definedName name="sample_wld_vc_fqdn">'Deploy Workload Domain'!$C$157</definedName>
    <definedName name="sample_wld_vc_ip">'Deploy Workload Domain'!$C$373</definedName>
    <definedName name="sample_wld_vcenter_root_password">'Deploy Workload Domain'!$C$158</definedName>
    <definedName name="sample_wld_vlr_admin_password">'On-Premises Ransomware Recovery'!$C$17</definedName>
    <definedName name="sample_wld_vlr_fqdn">'On-Premises Ransomware Recovery'!$C$15</definedName>
    <definedName name="sample_wld_vlr_hostname">'On-Premises Ransomware Recovery'!$C$11</definedName>
    <definedName name="sample_wld_vlr_mgmt_ip">'On-Premises Ransomware Recovery'!$C$23</definedName>
    <definedName name="sample_wld_vlr_replication_user">'On-Premises Ransomware Recovery'!$C$44</definedName>
    <definedName name="sample_wld_vlr_root_password">'On-Premises Ransomware Recovery'!$C$16</definedName>
    <definedName name="sample_wld_vnaa_fqdn">Arkham!$P$45</definedName>
    <definedName name="sample_wld_vnaa_ip">Arkham!$P$43</definedName>
    <definedName name="sample_wld_vnab_fqdn">Arkham!$P$46</definedName>
    <definedName name="sample_wld_vnab_ip">Arkham!$P$44</definedName>
    <definedName name="sample_wld_vpc_ext_ip_blocks">'Configure Workload Domain'!$C$131</definedName>
    <definedName name="sample_wld_vpc_transit_gateway_ip_blocks">'Configure Workload Domain'!$C$132</definedName>
    <definedName name="sample_wld_vrms_admin_email">'Dumping Ground'!$C$73</definedName>
    <definedName name="sample_wld_vrms_admin_password">'Dumping Ground'!$C$71</definedName>
    <definedName name="sample_wld_vrms_hostname">'Dumping Ground'!$D$10</definedName>
    <definedName name="sample_wld_vrms_mgmt_ip">'Dumping Ground'!$F$10</definedName>
    <definedName name="sample_wld_vrms_p12_password">'Dumping Ground'!$C$75</definedName>
    <definedName name="sample_wld_vrms_pg">'Dumping Ground'!$C$74</definedName>
    <definedName name="sample_wld_vrms_recovery_replication_cidr">'Dumping Ground'!$C$88</definedName>
    <definedName name="sample_wld_vrms_root_password">'Dumping Ground'!$C$70</definedName>
    <definedName name="sample_wld_vrms_site_name">'Dumping Ground'!$C$72</definedName>
    <definedName name="sample_wld_vrms_vm_folder">'Dumping Ground'!$C$69</definedName>
    <definedName name="sample_wld_vrms_vrms_ip">'Dumping Ground'!$F$11</definedName>
    <definedName name="sample_wld_witness_cluster">'Configure Workload Domain'!$C$268</definedName>
    <definedName name="sample_wld_witness_dns1_ip">'Configure Workload Domain'!$C$279</definedName>
    <definedName name="sample_wld_witness_dns2_ip">'Configure Workload Domain'!$C$280</definedName>
    <definedName name="sample_wld_witness_fqdn">'Configure Workload Domain'!$C$287</definedName>
    <definedName name="sample_wld_witness_hostname">'Configure Workload Domain'!$C$267</definedName>
    <definedName name="sample_wld_witness_ip">'Configure Workload Domain'!$C$274</definedName>
    <definedName name="sample_wld_witness_mgmt_pg">'Configure Workload Domain'!$C$271</definedName>
    <definedName name="sample_wld_witness_ntp1_server">'Configure Workload Domain'!$C$281</definedName>
    <definedName name="sample_wld_witness_ntp2_server">'Configure Workload Domain'!$C$282</definedName>
    <definedName name="sample_wld_witness_root_password">'Configure Workload Domain'!$C$273</definedName>
    <definedName name="sample_wld_witness_vm_folder">'Configure Workload Domain'!$C$269</definedName>
    <definedName name="sample_wld_witness_vsan_datastore">'Configure Workload Domain'!$C$270</definedName>
    <definedName name="sample_wld_witness_zone_vc_fqdn">'Configure Workload Domain'!$C$265</definedName>
    <definedName name="sample_wld_witness_zone_vc_ip">'Configure Workload Domain'!$C$266</definedName>
    <definedName name="sample_wld_witnessaz_mgmt_cidr">'Configure Workload Domain'!$C$259</definedName>
    <definedName name="sample_wld_witnessaz_mgmt_gateway_ip">'Configure Workload Domain'!$C$258</definedName>
    <definedName name="sample_wld_witnessaz_mgmt_mtu">'Workload Domain As Built'!$C$114</definedName>
    <definedName name="sample_wld_witnessaz_mgmt_vlan">'Configure Workload Domain'!$C$257</definedName>
    <definedName name="sample_xreg_seg01_name">'Configure Management Domain'!$C$528</definedName>
    <definedName name="sample_xreg_vra_admin_password">'Deploy Management Domain'!$K$79</definedName>
    <definedName name="sample_xreg_vra_node_pool_end_ip">Arkham!$P$38</definedName>
    <definedName name="sample_xreg_vra_node_pool_start_ip">Arkham!$P$37</definedName>
    <definedName name="sample_xreg_vra_nodea_ip">'Deploy Management Domain'!$K$80</definedName>
    <definedName name="sample_xreg_vra_nodeb_ip">'Deploy Management Domain'!$K$81</definedName>
    <definedName name="sample_xreg_vra_nodec_ip">'Deploy Management Domain'!$K$82</definedName>
    <definedName name="sample_xreg_vra_noded_ip">'Deploy Management Domain'!$K$83</definedName>
    <definedName name="sample_xreg_vra_nodee_ip">Arkham!$P$8</definedName>
    <definedName name="sample_xreg_vra_nodef_ip">Arkham!$P$9</definedName>
    <definedName name="sample_xreg_vra_prefix">'Deploy Management Domain'!$K$84</definedName>
    <definedName name="sample_xreg_vra_virtual_fqdn">'Deploy Management Domain'!$K$78</definedName>
    <definedName name="sample_xreg_vra_virtual_ip">'Deploy Management Domain'!$K$315</definedName>
    <definedName name="sample_xreg_vra_vm_folder">'Dumping Ground'!$C$107</definedName>
    <definedName name="sample_xreg_vrops_admin_password">'Deploy Management Domain'!$K$60</definedName>
    <definedName name="sample_xreg_vrops_collector_fqdn">'Deploy Management Domain'!$K$70</definedName>
    <definedName name="sample_xreg_vrops_collector_ip">'Deploy Management Domain'!$K$311</definedName>
    <definedName name="sample_xreg_vrops_collector_root_password">'Deploy Management Domain'!$K$72</definedName>
    <definedName name="sample_xreg_vrops_nodea_fqdn">'Deploy Management Domain'!$K$57</definedName>
    <definedName name="sample_xreg_vrops_nodea_ip">'Deploy Management Domain'!$K$308</definedName>
    <definedName name="sample_xreg_vrops_nodeb_fqdn">'Deploy Management Domain'!$K$58</definedName>
    <definedName name="sample_xreg_vrops_nodeb_ip">'Deploy Management Domain'!$K$309</definedName>
    <definedName name="sample_xreg_vrops_nodec_fqdn">'Deploy Management Domain'!$K$59</definedName>
    <definedName name="sample_xreg_vrops_nodec_ip">'Deploy Management Domain'!$K$310</definedName>
    <definedName name="sample_xreg_vrops_root_password">'Deploy Management Domain'!$K$61</definedName>
    <definedName name="sample_xreg_vrops_srm_sso_password">'Site Protection &amp; DR'!$C$481</definedName>
    <definedName name="sample_xreg_vrops_srm_sso_username">'Site Protection &amp; DR'!$C$480</definedName>
    <definedName name="sample_xreg_vrops_virtual_fqdn">'Deploy Management Domain'!$K$63</definedName>
    <definedName name="sample_xreg_vrops_virtual_ip">'Deploy Management Domain'!$K$313</definedName>
    <definedName name="sample_xreg_vrops_vm_folder">'Dumping Ground'!$C$106</definedName>
    <definedName name="sample_xreg_vrops_vrms_sso_password">'Site Protection &amp; DR'!$C$479</definedName>
    <definedName name="sample_xreg_vrops_vrms_sso_username">'Site Protection &amp; DR'!$C$478</definedName>
    <definedName name="sample_xreg_vrslcm_fqdn">'Deploy Management Domain'!$K$65</definedName>
    <definedName name="sample_xreg_vrslcm_ip">'Deploy Management Domain'!$K$306</definedName>
    <definedName name="sample_xreg_wsa_vm_folder">'Dumping Ground'!$C$105</definedName>
    <definedName name="sample_xregion_dns1_ip">Arkham!$B$13</definedName>
    <definedName name="sample_xregion_dns2_ip">Arkham!$B$14</definedName>
    <definedName name="sample_xregion_ntp1_server">Arkham!$B$18</definedName>
    <definedName name="sample_xregion_ntp2_server">Arkham!$B$19</definedName>
    <definedName name="sddc_mgr_admin_local_password">'Value Reference Tables'!$L$29</definedName>
    <definedName name="sddc_mgr_fqdn">'Value Reference Tables'!$C$54</definedName>
    <definedName name="sddc_mgr_hostname">'Value Reference Tables'!$C$38</definedName>
    <definedName name="sddc_mgr_ip">'Value Reference Tables'!$C$15</definedName>
    <definedName name="sddc_mgr_root_password">'Value Reference Tables'!$L$27</definedName>
    <definedName name="sddc_mgr_vcf_password">'Value Reference Tables'!$L$28</definedName>
    <definedName name="sddc_mgr_vcf_username">'Value Reference Tables'!$K$27</definedName>
    <definedName name="sftp_server">'Value Reference Tables'!$L$179</definedName>
    <definedName name="sftp_server_backup_dir">'Value Reference Tables'!$O$49</definedName>
    <definedName name="sftp_server_ip">'Value Reference Tables'!$L$60</definedName>
    <definedName name="sftp_server_passphrase">'Value Reference Tables'!$O$51</definedName>
    <definedName name="sftp_server_port">'Value Reference Tables'!$O$46</definedName>
    <definedName name="sftp_server_protocol">'Value Reference Tables'!$O$47</definedName>
    <definedName name="sftp_server_sshfingerprint">'Value Reference Tables'!$O$50</definedName>
    <definedName name="shared_edge_and_compute">'Static Reference Tables'!$B$383</definedName>
    <definedName name="sizing_cbr_cpu">'Static Reference Tables'!$C$236</definedName>
    <definedName name="sizing_cbr_disk">'Static Reference Tables'!$C$238</definedName>
    <definedName name="sizing_cbr_ram">'Static Reference Tables'!$C$237</definedName>
    <definedName name="sizing_ccm_hcx_cpu">'Static Reference Tables'!$C$240</definedName>
    <definedName name="sizing_ccm_hcx_disk">'Static Reference Tables'!$C$242</definedName>
    <definedName name="sizing_ccm_hcx_ram">'Static Reference Tables'!$C$241</definedName>
    <definedName name="sizing_cpu_oversubscription">'Management Domain Sizing'!$E$15</definedName>
    <definedName name="sizing_disk_groups_per_host">'Management Domain Sizing'!$C$87</definedName>
    <definedName name="sizing_estimated_growth">'Management Domain Sizing'!$E$9</definedName>
    <definedName name="sizing_hrm_hvm_cpu">'Static Reference Tables'!$C$196</definedName>
    <definedName name="sizing_hrm_hvm_disk">'Static Reference Tables'!$C$198</definedName>
    <definedName name="sizing_hrm_hvm_ram">'Static Reference Tables'!$C$197</definedName>
    <definedName name="sizing_inv_cpu">'Static Reference Tables'!$C$208</definedName>
    <definedName name="sizing_inv_disk">'Static Reference Tables'!$C$210</definedName>
    <definedName name="sizing_inv_platform_node_cpu">'Static Reference Tables'!$C$202</definedName>
    <definedName name="sizing_inv_platform_node_disk">'Static Reference Tables'!$C$204</definedName>
    <definedName name="sizing_inv_platform_node_ram">'Static Reference Tables'!$C$203</definedName>
    <definedName name="sizing_inv_ram">'Static Reference Tables'!$C$209</definedName>
    <definedName name="sizing_m01_included">'Management Domain Sizing'!$C$32</definedName>
    <definedName name="sizing_m01_nsxt_appliance_size">'Management Domain Sizing'!$I$32</definedName>
    <definedName name="sizing_m01_nsxt_edge_size">'Management Domain Sizing'!$L$32</definedName>
    <definedName name="sizing_m01_nsxt_gm_appliance_size">'Management Domain Sizing'!$O$32</definedName>
    <definedName name="sizing_m01_nsxt_gm_appliance_size_chosen">'Configure Management Domain'!$D$403</definedName>
    <definedName name="sizing_m01_ssp_chosen">'Management Domain Sizing'!$U$32</definedName>
    <definedName name="sizing_m01_vcenter_storage_size_chosen">'Deploy Management Domain'!$L$92</definedName>
    <definedName name="sizing_mgmt_avi_lb_appliance_size">'Management Domain Sizing'!$Q$32</definedName>
    <definedName name="sizing_mgmt_avilb_cluster_chosen">'Configure Management Domain'!$D$210</definedName>
    <definedName name="sizing_mgmt_cluster_host_core_count">'Management Domain Sizing'!$E$13</definedName>
    <definedName name="sizing_mgmt_cluster_host_ram_count">'Management Domain Sizing'!$E$14</definedName>
    <definedName name="sizing_mgmt_ec_formfactor_chosen">'Configure Management Domain'!$D$97</definedName>
    <definedName name="sizing_mgmt_nsxt_global_appliance_chosen">'Configure Management Domain'!$D$97</definedName>
    <definedName name="sizing_nsxt_edge_sizing_list">'Static Reference Tables'!$C$21:$C$25</definedName>
    <definedName name="sizing_nsxt_manager_size_list">'Static Reference Tables'!$C$17:$C$20</definedName>
    <definedName name="sizing_ram_oversubscription">'Management Domain Sizing'!$E$16</definedName>
    <definedName name="sizing_sddc_manager_cpu">'Static Reference Tables'!$C$30</definedName>
    <definedName name="sizing_sddc_manager_disk">'Static Reference Tables'!$C$32</definedName>
    <definedName name="sizing_sddc_manager_ram">'Static Reference Tables'!$C$31</definedName>
    <definedName name="sizing_storage_type">'Management Domain Sizing'!$R$13</definedName>
    <definedName name="sizing_vcenter_appliance_size_list">'Static Reference Tables'!$C$8:$C$12</definedName>
    <definedName name="sizing_vcenter_storage_size_list">'Static Reference Tables'!$C$13:$C$15</definedName>
    <definedName name="sizing_vcfauto_chosen">'Management Domain Sizing'!$E$23</definedName>
    <definedName name="sizing_vcffm_cpu">'Static Reference Tables'!$C$98</definedName>
    <definedName name="sizing_vcffm_disk">'Static Reference Tables'!$C$100</definedName>
    <definedName name="sizing_vcffm_ram">'Static Reference Tables'!$C$99</definedName>
    <definedName name="sizing_vcfops_collector_chosen">'Management Domain Sizing'!$E$22</definedName>
    <definedName name="sizing_vcfops_deployment_model_chosen">'Management Domain Sizing'!$E$20</definedName>
    <definedName name="sizing_vcfops_ha_chosen">'Management Domain Sizing'!$E$21</definedName>
    <definedName name="sizing_vcfops_logs_chosen">'Management Domain Sizing'!$E$24</definedName>
    <definedName name="sizing_vcfops_net_chosen">'Management Domain Sizing'!$E$25</definedName>
    <definedName name="sizing_vcfops_net_collector_chosen">'Management Domain Sizing'!$E$26</definedName>
    <definedName name="sizing_vcfvidb_chosen">'Management Domain Sizing'!$E$27</definedName>
    <definedName name="sizing_vcls_cpu">'Static Reference Tables'!$C$102</definedName>
    <definedName name="sizing_vcls_disk">'Static Reference Tables'!$C$104</definedName>
    <definedName name="sizing_vcls_ram">'Static Reference Tables'!$C$103</definedName>
    <definedName name="sizing_virtual_machine_overhead">'Management Domain Sizing'!$E$8</definedName>
    <definedName name="sizing_vm_cpu_requirements">'Management Domain Sizing'!$K$28</definedName>
    <definedName name="sizing_vm_ram_requirements">'Management Domain Sizing'!$L$28</definedName>
    <definedName name="sizing_vm_storage_requirements">'Management Domain Sizing'!$M$28</definedName>
    <definedName name="sizing_w01_avi_appliance_size">'Management Domain Sizing'!$S$36</definedName>
    <definedName name="sizing_w01_chosen">'Management Domain Sizing'!$C$36</definedName>
    <definedName name="sizing_w01_gm_chosen">'Management Domain Sizing'!$L$36</definedName>
    <definedName name="sizing_w01_nsxt_appliance_size">'Management Domain Sizing'!$I$36</definedName>
    <definedName name="sizing_w01_nsxt_gm_appliance_size">'Management Domain Sizing'!$M$36</definedName>
    <definedName name="sizing_w01_nsxt_model">'Management Domain Sizing'!$H$36</definedName>
    <definedName name="sizing_w01_spr_chosen">'Management Domain Sizing'!$P$36</definedName>
    <definedName name="sizing_w01_ssp_chosen">'Management Domain Sizing'!$V$36</definedName>
    <definedName name="sizing_w01_vcenter_appliance_size">'Management Domain Sizing'!$D$36</definedName>
    <definedName name="sizing_w01_vcenter_storage_size">'Management Domain Sizing'!$F$36</definedName>
    <definedName name="sizing_w02_avi_appliance_size">'Management Domain Sizing'!$S$37</definedName>
    <definedName name="sizing_w02_chosen">'Management Domain Sizing'!$C$37</definedName>
    <definedName name="sizing_w02_gm_chosen">'Management Domain Sizing'!$L$37</definedName>
    <definedName name="sizing_w02_nsxt_appliance_size">'Management Domain Sizing'!$I$37</definedName>
    <definedName name="sizing_w02_nsxt_gm_appliance_size">'Management Domain Sizing'!$M$37</definedName>
    <definedName name="sizing_w02_nsxt_model">'Management Domain Sizing'!$H$37</definedName>
    <definedName name="sizing_w02_spr_chosen">'Management Domain Sizing'!$P$37</definedName>
    <definedName name="sizing_w02_ssp_chosen">'Management Domain Sizing'!$V$37</definedName>
    <definedName name="sizing_w02_vcenter_appliance_size">'Management Domain Sizing'!$D$37</definedName>
    <definedName name="sizing_w02_vcenter_storage_size">'Management Domain Sizing'!$F$37</definedName>
    <definedName name="sizing_w03_avi_appliance_size">'Management Domain Sizing'!$S$38</definedName>
    <definedName name="sizing_w03_chosen">'Management Domain Sizing'!$C$38</definedName>
    <definedName name="sizing_w03_gm_chosen">'Management Domain Sizing'!$L$38</definedName>
    <definedName name="sizing_w03_nsxt_appliance_size">'Management Domain Sizing'!$I$38</definedName>
    <definedName name="sizing_w03_nsxt_gm_appliance_size">'Management Domain Sizing'!$M$38</definedName>
    <definedName name="sizing_w03_nsxt_model">'Management Domain Sizing'!$H$38</definedName>
    <definedName name="sizing_w03_spr_chosen">'Management Domain Sizing'!$P$38</definedName>
    <definedName name="sizing_w03_ssp_chosen">'Management Domain Sizing'!$V$38</definedName>
    <definedName name="sizing_w03_vcenter_appliance_size">'Management Domain Sizing'!$D$38</definedName>
    <definedName name="sizing_w03_vcenter_storage_size">'Management Domain Sizing'!$F$38</definedName>
    <definedName name="sizing_w04_avi_appliance_size">'Management Domain Sizing'!$S$39</definedName>
    <definedName name="sizing_w04_chosen">'Management Domain Sizing'!$C$39</definedName>
    <definedName name="sizing_w04_gm_chosen">'Management Domain Sizing'!$L$39</definedName>
    <definedName name="sizing_w04_nsxt_appliance_size">'Management Domain Sizing'!$I$39</definedName>
    <definedName name="sizing_w04_nsxt_gm_appliance_size">'Management Domain Sizing'!$M$39</definedName>
    <definedName name="sizing_w04_nsxt_model">'Management Domain Sizing'!$H$39</definedName>
    <definedName name="sizing_w04_spr_chosen">'Management Domain Sizing'!$P$39</definedName>
    <definedName name="sizing_w04_ssp_chosen">'Management Domain Sizing'!$V$39</definedName>
    <definedName name="sizing_w04_vcenter_appliance_size">'Management Domain Sizing'!$D$39</definedName>
    <definedName name="sizing_w04_vcenter_storage_size">'Management Domain Sizing'!$F$39</definedName>
    <definedName name="sizing_w05_avi_appliance_size">'Management Domain Sizing'!$S$40</definedName>
    <definedName name="sizing_w05_chosen">'Management Domain Sizing'!$C$40</definedName>
    <definedName name="sizing_w05_gm_chosen">'Management Domain Sizing'!$L$40</definedName>
    <definedName name="sizing_w05_nsxt_appliance_size">'Management Domain Sizing'!$I$40</definedName>
    <definedName name="sizing_w05_nsxt_gm_appliance_size">'Management Domain Sizing'!$M$40</definedName>
    <definedName name="sizing_w05_nsxt_model">'Management Domain Sizing'!$H$40</definedName>
    <definedName name="sizing_w05_spr_chosen">'Management Domain Sizing'!$P$40</definedName>
    <definedName name="sizing_w05_ssp_chosen">'Management Domain Sizing'!$V$40</definedName>
    <definedName name="sizing_w05_vcenter_appliance_size">'Management Domain Sizing'!$D$40</definedName>
    <definedName name="sizing_w05_vcenter_storage_size">'Management Domain Sizing'!$F$40</definedName>
    <definedName name="sizing_w06_avi_appliance_size">'Management Domain Sizing'!$S$41</definedName>
    <definedName name="sizing_w06_chosen">'Management Domain Sizing'!$C$41</definedName>
    <definedName name="sizing_w06_gm_chosen">'Management Domain Sizing'!$L$41</definedName>
    <definedName name="sizing_w06_nsxt_appliance_size">'Management Domain Sizing'!$I$41</definedName>
    <definedName name="sizing_w06_nsxt_gm_appliance_size">'Management Domain Sizing'!$M$41</definedName>
    <definedName name="sizing_w06_nsxt_model">'Management Domain Sizing'!$H$41</definedName>
    <definedName name="sizing_w06_spr_chosen">'Management Domain Sizing'!$P$41</definedName>
    <definedName name="sizing_w06_ssp_chosen">'Management Domain Sizing'!$V$41</definedName>
    <definedName name="sizing_w06_vcenter_appliance_size">'Management Domain Sizing'!$D$41</definedName>
    <definedName name="sizing_w06_vcenter_storage_size">'Management Domain Sizing'!$F$41</definedName>
    <definedName name="sizing_w07_avi_appliance_size">'Management Domain Sizing'!$S$42</definedName>
    <definedName name="sizing_w07_chosen">'Management Domain Sizing'!$C$42</definedName>
    <definedName name="sizing_w07_gm_chosen">'Management Domain Sizing'!$L$42</definedName>
    <definedName name="sizing_w07_nsxt_appliance_size">'Management Domain Sizing'!$I$42</definedName>
    <definedName name="sizing_w07_nsxt_gm_appliance_size">'Management Domain Sizing'!$M$42</definedName>
    <definedName name="sizing_w07_nsxt_model">'Management Domain Sizing'!$H$42</definedName>
    <definedName name="sizing_w07_spr_chosen">'Management Domain Sizing'!$P$42</definedName>
    <definedName name="sizing_w07_ssp_chosen">'Management Domain Sizing'!$V$42</definedName>
    <definedName name="sizing_w07_vcenter_appliance_size">'Management Domain Sizing'!$D$42</definedName>
    <definedName name="sizing_w07_vcenter_storage_size">'Management Domain Sizing'!$F$42</definedName>
    <definedName name="sizing_w08_avi_appliance_size">'Management Domain Sizing'!$S$43</definedName>
    <definedName name="sizing_w08_chosen">'Management Domain Sizing'!$C$43</definedName>
    <definedName name="sizing_w08_gm_chosen">'Management Domain Sizing'!$L$43</definedName>
    <definedName name="sizing_w08_nsxt_appliance_size">'Management Domain Sizing'!$I$43</definedName>
    <definedName name="sizing_w08_nsxt_gm_appliance_size">'Management Domain Sizing'!$M$43</definedName>
    <definedName name="sizing_w08_nsxt_model">'Management Domain Sizing'!$H$43</definedName>
    <definedName name="sizing_w08_spr_chosen">'Management Domain Sizing'!$P$43</definedName>
    <definedName name="sizing_w08_ssp_chosen">'Management Domain Sizing'!$V$43</definedName>
    <definedName name="sizing_w08_vcenter_appliance_size">'Management Domain Sizing'!$D$43</definedName>
    <definedName name="sizing_w08_vcenter_storage_size">'Management Domain Sizing'!$F$43</definedName>
    <definedName name="sizing_w09_avi_appliance_size">'Management Domain Sizing'!$S$44</definedName>
    <definedName name="sizing_w09_chosen">'Management Domain Sizing'!$C$44</definedName>
    <definedName name="sizing_w09_gm_chosen">'Management Domain Sizing'!$L$44</definedName>
    <definedName name="sizing_w09_nsxt_appliance_size">'Management Domain Sizing'!$I$44</definedName>
    <definedName name="sizing_w09_nsxt_gm_appliance_size">'Management Domain Sizing'!$M$44</definedName>
    <definedName name="sizing_w09_nsxt_model">'Management Domain Sizing'!$H$44</definedName>
    <definedName name="sizing_w09_spr_chosen">'Management Domain Sizing'!$P$44</definedName>
    <definedName name="sizing_w09_ssp_chosen">'Management Domain Sizing'!$V$44</definedName>
    <definedName name="sizing_w09_vcenter_appliance_size">'Management Domain Sizing'!$D$44</definedName>
    <definedName name="sizing_w09_vcenter_storage_size">'Management Domain Sizing'!$F$44</definedName>
    <definedName name="sizing_w10_avi_appliance_size">'Management Domain Sizing'!$S$45</definedName>
    <definedName name="sizing_w10_chosen">'Management Domain Sizing'!$C$45</definedName>
    <definedName name="sizing_w10_gm_chosen">'Management Domain Sizing'!$L$45</definedName>
    <definedName name="sizing_w10_nsxt_appliance_size">'Management Domain Sizing'!$I$45</definedName>
    <definedName name="sizing_w10_nsxt_gm_appliance_size">'Management Domain Sizing'!$M$45</definedName>
    <definedName name="sizing_w10_nsxt_model">'Management Domain Sizing'!$H$45</definedName>
    <definedName name="sizing_w10_spr_chosen">'Management Domain Sizing'!$P$45</definedName>
    <definedName name="sizing_w10_ssp_chosen">'Management Domain Sizing'!$V$45</definedName>
    <definedName name="sizing_w10_vcenter_appliance_size">'Management Domain Sizing'!$D$45</definedName>
    <definedName name="sizing_w10_vcenter_storage_size">'Management Domain Sizing'!$F$45</definedName>
    <definedName name="sizing_w11_avi_appliance_size">'Management Domain Sizing'!$S$46</definedName>
    <definedName name="sizing_w11_chosen">'Management Domain Sizing'!$C$46</definedName>
    <definedName name="sizing_w11_gm_chosen">'Management Domain Sizing'!$L$46</definedName>
    <definedName name="sizing_w11_nsxt_appliance_size">'Management Domain Sizing'!$I$46</definedName>
    <definedName name="sizing_w11_nsxt_gm_appliance_size">'Management Domain Sizing'!$M$46</definedName>
    <definedName name="sizing_w11_nsxt_model">'Management Domain Sizing'!$H$46</definedName>
    <definedName name="sizing_w11_spr_chosen">'Management Domain Sizing'!$P$46</definedName>
    <definedName name="sizing_w11_ssp_chosen">'Management Domain Sizing'!$V$46</definedName>
    <definedName name="sizing_w11_vcenter_appliance_size">'Management Domain Sizing'!$D$46</definedName>
    <definedName name="sizing_w11_vcenter_storage_size">'Management Domain Sizing'!$F$46</definedName>
    <definedName name="sizing_w12_avi_appliance_size">'Management Domain Sizing'!$S$47</definedName>
    <definedName name="sizing_w12_chosen">'Management Domain Sizing'!$C$47</definedName>
    <definedName name="sizing_w12_gm_chosen">'Management Domain Sizing'!$L$47</definedName>
    <definedName name="sizing_w12_nsxt_appliance_size">'Management Domain Sizing'!$I$47</definedName>
    <definedName name="sizing_w12_nsxt_gm_appliance_size">'Management Domain Sizing'!$M$47</definedName>
    <definedName name="sizing_w12_nsxt_model">'Management Domain Sizing'!$H$47</definedName>
    <definedName name="sizing_w12_spr_chosen">'Management Domain Sizing'!$P$47</definedName>
    <definedName name="sizing_w12_ssp_chosen">'Management Domain Sizing'!$V$47</definedName>
    <definedName name="sizing_w12_vcenter_appliance_size">'Management Domain Sizing'!$D$47</definedName>
    <definedName name="sizing_w12_vcenter_storage_size">'Management Domain Sizing'!$F$47</definedName>
    <definedName name="sizing_w13_avi_appliance_size">'Management Domain Sizing'!$S$48</definedName>
    <definedName name="sizing_w13_chosen">'Management Domain Sizing'!$C$48</definedName>
    <definedName name="sizing_w13_gm_chosen">'Management Domain Sizing'!$L$48</definedName>
    <definedName name="sizing_w13_nsxt_appliance_size">'Management Domain Sizing'!$I$48</definedName>
    <definedName name="sizing_w13_nsxt_gm_appliance_size">'Management Domain Sizing'!$M$48</definedName>
    <definedName name="sizing_w13_nsxt_model">'Management Domain Sizing'!$H$48</definedName>
    <definedName name="sizing_w13_spr_chosen">'Management Domain Sizing'!$P$48</definedName>
    <definedName name="sizing_w13_ssp_chosen">'Management Domain Sizing'!$V$48</definedName>
    <definedName name="sizing_w13_vcenter_appliance_size">'Management Domain Sizing'!$D$48</definedName>
    <definedName name="sizing_w13_vcenter_storage_size">'Management Domain Sizing'!$F$48</definedName>
    <definedName name="sizing_w14_avi_appliance_size">'Management Domain Sizing'!$S$49</definedName>
    <definedName name="sizing_w14_chosen">'Management Domain Sizing'!$C$49</definedName>
    <definedName name="sizing_w14_gm_chosen">'Management Domain Sizing'!$L$49</definedName>
    <definedName name="sizing_w14_nsxt_appliance_size">'Management Domain Sizing'!$I$49</definedName>
    <definedName name="sizing_w14_nsxt_gm_appliance_size">'Management Domain Sizing'!$M$49</definedName>
    <definedName name="sizing_w14_nsxt_model">'Management Domain Sizing'!$H$49</definedName>
    <definedName name="sizing_w14_spr_chosen">'Management Domain Sizing'!$P$49</definedName>
    <definedName name="sizing_w14_ssp_chosen">'Management Domain Sizing'!$V$49</definedName>
    <definedName name="sizing_w14_vcenter_appliance_size">'Management Domain Sizing'!$D$49</definedName>
    <definedName name="sizing_w14_vcenter_storage_size">'Management Domain Sizing'!$F$49</definedName>
    <definedName name="sizing_w15_avi_appliance_size">'Management Domain Sizing'!$S$50</definedName>
    <definedName name="sizing_w15_chosen">'Management Domain Sizing'!$C$50</definedName>
    <definedName name="sizing_w15_gm_chosen">'Management Domain Sizing'!$L$50</definedName>
    <definedName name="sizing_w15_nsxt_appliance_size">'Management Domain Sizing'!$I$50</definedName>
    <definedName name="sizing_w15_nsxt_gm_appliance_size">'Management Domain Sizing'!$M$50</definedName>
    <definedName name="sizing_w15_nsxt_model">'Management Domain Sizing'!$H$50</definedName>
    <definedName name="sizing_w15_spr_chosen">'Management Domain Sizing'!$P$50</definedName>
    <definedName name="sizing_w15_ssp_chosen">'Management Domain Sizing'!$V$50</definedName>
    <definedName name="sizing_w15_vcenter_appliance_size">'Management Domain Sizing'!$D$50</definedName>
    <definedName name="sizing_w15_vcenter_storage_size">'Management Domain Sizing'!$F$50</definedName>
    <definedName name="sizing_w16_avi_appliance_size">'Management Domain Sizing'!$S$51</definedName>
    <definedName name="sizing_w16_chosen">'Management Domain Sizing'!$C$51</definedName>
    <definedName name="sizing_w16_gm_chosen">'Management Domain Sizing'!$L$51</definedName>
    <definedName name="sizing_w16_nsxt_appliance_size">'Management Domain Sizing'!$I$51</definedName>
    <definedName name="sizing_w16_nsxt_gm_appliance_size">'Management Domain Sizing'!$M$51</definedName>
    <definedName name="sizing_w16_nsxt_model">'Management Domain Sizing'!$H$51</definedName>
    <definedName name="sizing_w16_spr_chosen">'Management Domain Sizing'!$P$51</definedName>
    <definedName name="sizing_w16_ssp_chosen">'Management Domain Sizing'!$V$51</definedName>
    <definedName name="sizing_w16_vcenter_appliance_size">'Management Domain Sizing'!$D$51</definedName>
    <definedName name="sizing_w16_vcenter_storage_size">'Management Domain Sizing'!$F$51</definedName>
    <definedName name="sizing_w17_avi_appliance_size">'Management Domain Sizing'!$S$52</definedName>
    <definedName name="sizing_w17_chosen">'Management Domain Sizing'!$C$52</definedName>
    <definedName name="sizing_w17_gm_chosen">'Management Domain Sizing'!$L$52</definedName>
    <definedName name="sizing_w17_nsxt_appliance_size">'Management Domain Sizing'!$I$52</definedName>
    <definedName name="sizing_w17_nsxt_gm_appliance_size">'Management Domain Sizing'!$M$52</definedName>
    <definedName name="sizing_w17_nsxt_model">'Management Domain Sizing'!$H$52</definedName>
    <definedName name="sizing_w17_spr_chosen">'Management Domain Sizing'!$P$52</definedName>
    <definedName name="sizing_w17_ssp_chosen">'Management Domain Sizing'!$V$52</definedName>
    <definedName name="sizing_w17_vcenter_appliance_size">'Management Domain Sizing'!$D$52</definedName>
    <definedName name="sizing_w17_vcenter_storage_size">'Management Domain Sizing'!$F$52</definedName>
    <definedName name="sizing_w18_avi_appliance_size">'Management Domain Sizing'!$S$53</definedName>
    <definedName name="sizing_w18_chosen">'Management Domain Sizing'!$C$53</definedName>
    <definedName name="sizing_w18_gm_chosen">'Management Domain Sizing'!$L$53</definedName>
    <definedName name="sizing_w18_nsxt_appliance_size">'Management Domain Sizing'!$I$53</definedName>
    <definedName name="sizing_w18_nsxt_gm_appliance_size">'Management Domain Sizing'!$M$53</definedName>
    <definedName name="sizing_w18_nsxt_model">'Management Domain Sizing'!$H$53</definedName>
    <definedName name="sizing_w18_spr_chosen">'Management Domain Sizing'!$P$53</definedName>
    <definedName name="sizing_w18_ssp_chosen">'Management Domain Sizing'!$V$53</definedName>
    <definedName name="sizing_w18_vcenter_appliance_size">'Management Domain Sizing'!$D$53</definedName>
    <definedName name="sizing_w18_vcenter_storage_size">'Management Domain Sizing'!$F$53</definedName>
    <definedName name="sizing_w19_avi_appliance_size">'Management Domain Sizing'!$S$54</definedName>
    <definedName name="sizing_w19_chosen">'Management Domain Sizing'!$C$54</definedName>
    <definedName name="sizing_w19_gm_chosen">'Management Domain Sizing'!$L$54</definedName>
    <definedName name="sizing_w19_nsxt_appliance_size">'Management Domain Sizing'!$I$54</definedName>
    <definedName name="sizing_w19_nsxt_gm_appliance_size">'Management Domain Sizing'!$M$54</definedName>
    <definedName name="sizing_w19_nsxt_model">'Management Domain Sizing'!$H$54</definedName>
    <definedName name="sizing_w19_spr_chosen">'Management Domain Sizing'!$P$54</definedName>
    <definedName name="sizing_w19_ssp_chosen">'Management Domain Sizing'!$V$54</definedName>
    <definedName name="sizing_w19_vcenter_appliance_size">'Management Domain Sizing'!$D$54</definedName>
    <definedName name="sizing_w19_vcenter_storage_size">'Management Domain Sizing'!$F$54</definedName>
    <definedName name="sizing_w20_avi_appliance_size">'Management Domain Sizing'!$S$55</definedName>
    <definedName name="sizing_w20_chosen">'Management Domain Sizing'!$C$55</definedName>
    <definedName name="sizing_w20_gm_chosen">'Management Domain Sizing'!$L$55</definedName>
    <definedName name="sizing_w20_nsxt_appliance_size">'Management Domain Sizing'!$I$55</definedName>
    <definedName name="sizing_w20_nsxt_gm_appliance_size">'Management Domain Sizing'!$M$55</definedName>
    <definedName name="sizing_w20_nsxt_model">'Management Domain Sizing'!$H$55</definedName>
    <definedName name="sizing_w20_spr_chosen">'Management Domain Sizing'!$P$55</definedName>
    <definedName name="sizing_w20_ssp_chosen">'Management Domain Sizing'!$V$55</definedName>
    <definedName name="sizing_w20_vcenter_appliance_size">'Management Domain Sizing'!$D$55</definedName>
    <definedName name="sizing_w20_vcenter_storage_size">'Management Domain Sizing'!$F$55</definedName>
    <definedName name="sizing_w21_avi_appliance_size">'Management Domain Sizing'!$S$56</definedName>
    <definedName name="sizing_w21_chosen">'Management Domain Sizing'!$C$56</definedName>
    <definedName name="sizing_w21_gm_chosen">'Management Domain Sizing'!$L$56</definedName>
    <definedName name="sizing_w21_nsxt_appliance_size">'Management Domain Sizing'!$I$56</definedName>
    <definedName name="sizing_w21_nsxt_gm_appliance_size">'Management Domain Sizing'!$M$56</definedName>
    <definedName name="sizing_w21_nsxt_model">'Management Domain Sizing'!$H$56</definedName>
    <definedName name="sizing_w21_spr_chosen">'Management Domain Sizing'!$P$56</definedName>
    <definedName name="sizing_w21_ssp_chosen">'Management Domain Sizing'!$V$56</definedName>
    <definedName name="sizing_w21_vcenter_appliance_size">'Management Domain Sizing'!$D$56</definedName>
    <definedName name="sizing_w21_vcenter_storage_size">'Management Domain Sizing'!$F$56</definedName>
    <definedName name="sizing_w22_avi_appliance_size">'Management Domain Sizing'!$S$57</definedName>
    <definedName name="sizing_w22_chosen">'Management Domain Sizing'!$C$57</definedName>
    <definedName name="sizing_w22_gm_chosen">'Management Domain Sizing'!$L$57</definedName>
    <definedName name="sizing_w22_nsxt_appliance_size">'Management Domain Sizing'!$I$57</definedName>
    <definedName name="sizing_w22_nsxt_gm_appliance_size">'Management Domain Sizing'!$M$57</definedName>
    <definedName name="sizing_w22_nsxt_model">'Management Domain Sizing'!$H$57</definedName>
    <definedName name="sizing_w22_spr_chosen">'Management Domain Sizing'!$P$57</definedName>
    <definedName name="sizing_w22_ssp_chosen">'Management Domain Sizing'!$V$57</definedName>
    <definedName name="sizing_w22_vcenter_appliance_size">'Management Domain Sizing'!$D$57</definedName>
    <definedName name="sizing_w22_vcenter_storage_size">'Management Domain Sizing'!$F$57</definedName>
    <definedName name="sizing_w23_avi_appliance_size">'Management Domain Sizing'!$S$58</definedName>
    <definedName name="sizing_w23_chosen">'Management Domain Sizing'!$C$58</definedName>
    <definedName name="sizing_w23_gm_chosen">'Management Domain Sizing'!$L$58</definedName>
    <definedName name="sizing_w23_nsxt_appliance_size">'Management Domain Sizing'!$I$58</definedName>
    <definedName name="sizing_w23_nsxt_gm_appliance_size">'Management Domain Sizing'!$M$58</definedName>
    <definedName name="sizing_w23_nsxt_model">'Management Domain Sizing'!$H$58</definedName>
    <definedName name="sizing_w23_spr_chosen">'Management Domain Sizing'!$P$58</definedName>
    <definedName name="sizing_w23_ssp_chosen">'Management Domain Sizing'!$V$58</definedName>
    <definedName name="sizing_w23_vcenter_appliance_size">'Management Domain Sizing'!$D$58</definedName>
    <definedName name="sizing_w23_vcenter_storage_size">'Management Domain Sizing'!$F$58</definedName>
    <definedName name="sizing_w24_avi_appliance_size">'Management Domain Sizing'!$S$59</definedName>
    <definedName name="sizing_w24_chosen">'Management Domain Sizing'!$C$59</definedName>
    <definedName name="sizing_w24_gm_chosen">'Management Domain Sizing'!$L$59</definedName>
    <definedName name="sizing_w24_nsxt_appliance_size">'Management Domain Sizing'!$I$59</definedName>
    <definedName name="sizing_w24_nsxt_gm_appliance_size">'Management Domain Sizing'!$M$59</definedName>
    <definedName name="sizing_w24_nsxt_model">'Management Domain Sizing'!$H$59</definedName>
    <definedName name="sizing_w24_spr_chosen">'Management Domain Sizing'!$P$59</definedName>
    <definedName name="sizing_w24_ssp_chosen">'Management Domain Sizing'!$V$59</definedName>
    <definedName name="sizing_w24_vcenter_appliance_size">'Management Domain Sizing'!$D$59</definedName>
    <definedName name="sizing_w24_vcenter_storage_size">'Management Domain Sizing'!$F$59</definedName>
    <definedName name="sizing_wld_avilb_cluster_formfactor_chosen">'Configure Workload Domain'!$D$153</definedName>
    <definedName name="sizing_wld_nsxt_gm_appliance_size_chosen">'Configure Workload Domain'!$D$364</definedName>
    <definedName name="smtp_server">'Value Reference Tables'!$L$61</definedName>
    <definedName name="smtp_server_port">'Value Reference Tables'!$L$62</definedName>
    <definedName name="spr_chosen">'Management Domain Sizing'!$B$63</definedName>
    <definedName name="spr_mo_result">'Value Reference Tables'!$AA$94</definedName>
    <definedName name="spr_mw_result">'Value Reference Tables'!$AA$96</definedName>
    <definedName name="spr_result">'Management Domain Sizing'!$I$63</definedName>
    <definedName name="spr_wo_result">'Value Reference Tables'!$AA$95</definedName>
    <definedName name="srm_appliance_size">'Value Reference Tables'!$U$56</definedName>
    <definedName name="sso_default_admin">'Value Reference Tables'!$O$52</definedName>
    <definedName name="storage_autopolicy">'Static Reference Tables'!$B$379</definedName>
    <definedName name="storage_ftt">'Static Reference Tables'!$B$376:$B$378</definedName>
    <definedName name="svc_cbr_vcdr_vsphere_password">'Value Reference Tables'!$U$129</definedName>
    <definedName name="svc_cbr_vcdr_vsphere_user">'Value Reference Tables'!$U$128</definedName>
    <definedName name="svc_my_vmware_password">'Value Reference Tables'!$L$30</definedName>
    <definedName name="svc_vcf_bck_password">'Value Reference Tables'!$L$33</definedName>
    <definedName name="svc_vra_nsx_password">'Value Reference Tables'!$L$119</definedName>
    <definedName name="svc_vra_vcf_password">'Value Reference Tables'!$L$120</definedName>
    <definedName name="svc_vra_vrops_password">'Value Reference Tables'!$L$121</definedName>
    <definedName name="svc_vra_vsphere_password">'Value Reference Tables'!$L$118</definedName>
    <definedName name="svc_vrli_vrops_password">'Value Reference Tables'!$L$117</definedName>
    <definedName name="svc_vro_vsphere_password">'Value Reference Tables'!$L$122</definedName>
    <definedName name="svc_vrops_nsx_password">'Value Reference Tables'!$L$115</definedName>
    <definedName name="svc_vrops_vra_password">'Value Reference Tables'!$L$116</definedName>
    <definedName name="svc_vrops_vsan_password">'Value Reference Tables'!$L$114</definedName>
    <definedName name="svc_vrops_vsphere_password">'Value Reference Tables'!$L$113</definedName>
    <definedName name="table_avi_lb_cpu">'Static Reference Tables'!$B$244:$C$246</definedName>
    <definedName name="table_avi_lb_disk">'Static Reference Tables'!$B$252:$C$254</definedName>
    <definedName name="table_avi_lb_ram">'Static Reference Tables'!$B$248:$C$250</definedName>
    <definedName name="table_cidr_to_mask">'Static Reference Tables'!$B$269:$C$301</definedName>
    <definedName name="table_mask_to_cidr">'Static Reference Tables'!$C$251:$D$295</definedName>
    <definedName name="table_masks">'Static Reference Tables'!$C$269:$C$292</definedName>
    <definedName name="table_nsxt_deployment_model">'Static Reference Tables'!$C$303:$C$305</definedName>
    <definedName name="table_nsxt_deployment_model_dedicated">'Static Reference Tables'!$C$304</definedName>
    <definedName name="table_nsxt_edge_cpu">'Static Reference Tables'!$B$80:$C$83</definedName>
    <definedName name="table_nsxt_edge_disk_gb">'Static Reference Tables'!$B$92:$C$95</definedName>
    <definedName name="table_nsxt_edge_ram">'Static Reference Tables'!$B$86:$C$89</definedName>
    <definedName name="table_nsxt_manager_cpu">'Static Reference Tables'!$B$62:$C$66</definedName>
    <definedName name="table_nsxt_manager_disk_gb">'Static Reference Tables'!$B$74:$C$78</definedName>
    <definedName name="table_nsxt_manager_ram">'Static Reference Tables'!$B$68:$C$72</definedName>
    <definedName name="table_srm_cpu">'Static Reference Tables'!$B$187:$C$188</definedName>
    <definedName name="table_srm_disk">'Static Reference Tables'!$B$193:$C$194</definedName>
    <definedName name="table_srm_ram">'Static Reference Tables'!$B$190:$C$191</definedName>
    <definedName name="table_ssp_cpu">'Static Reference Tables'!$B$257:$C$259</definedName>
    <definedName name="table_ssp_disk">'Static Reference Tables'!$B$265:$C$267</definedName>
    <definedName name="table_ssp_ram">'Static Reference Tables'!$B$261:$C$263</definedName>
    <definedName name="table_ssp_sizes">'Static Reference Tables'!$B$256:$B$259</definedName>
    <definedName name="table_vcenter_appliance_cpu">'Static Reference Tables'!$B$34:$C$38</definedName>
    <definedName name="table_vcenter_appliance_ram">'Static Reference Tables'!$B$40:$C$44</definedName>
    <definedName name="table_vcenter_disk_gb">'Static Reference Tables'!$B$46:$C$60</definedName>
    <definedName name="table_vcf_version5x_mgmt_vlcm_image">'Static Reference Tables'!$B$345</definedName>
    <definedName name="table_vcf_version5x_mgmt_vlcm_type">'Static Reference Tables'!$B$342:$B$343</definedName>
    <definedName name="table_vcf_version5x_mgmt_vsan_type">'Static Reference Tables'!$B$332:$B$333</definedName>
    <definedName name="table_vcf_version5x_wld_storage_type">'Static Reference Tables'!$B$335:$B$339</definedName>
    <definedName name="table_vcf_version9x_cluster_storage_type">'Static Reference Tables'!$C$335:$C$340</definedName>
    <definedName name="table_vcfa_appliance_cpu">'Static Reference Tables'!$B$127:$C$129</definedName>
    <definedName name="table_vcfa_appliance_disk">'Static Reference Tables'!$B$135:$C$137</definedName>
    <definedName name="table_vcfa_appliance_ram">'Static Reference Tables'!$B$131:$C$133</definedName>
    <definedName name="table_vcfo_appliance_cpu">'Static Reference Tables'!$B$153:$C$155</definedName>
    <definedName name="table_vcfo_appliance_disk">'Static Reference Tables'!$B$165:$C$167</definedName>
    <definedName name="table_vcfo_appliance_ram">'Static Reference Tables'!$B$159:$C$161</definedName>
    <definedName name="table_vcfo_p_cpu">'Static Reference Tables'!$B$169:$C$170</definedName>
    <definedName name="table_vcfo_p_disk">'Static Reference Tables'!$B$175:$C$176</definedName>
    <definedName name="table_vcfo_p_ram">'Static Reference Tables'!$B$172:$C$173</definedName>
    <definedName name="table_vcfops_appliance_cpu">'Static Reference Tables'!$B$151:$C$155</definedName>
    <definedName name="table_vcfops_appliance_disk">'Static Reference Tables'!$B$163:$C$167</definedName>
    <definedName name="table_vcfops_appliance_ram">'Static Reference Tables'!$B$157:$C$161</definedName>
    <definedName name="table_vcfopsnet_appliance_cpu">'Static Reference Tables'!$B$200:$C$204</definedName>
    <definedName name="table_vcfopsnet_appliance_disk">'Static Reference Tables'!$B$212:$C$216</definedName>
    <definedName name="table_vcfopsnet_appliance_ram">'Static Reference Tables'!$B$206:$C$210</definedName>
    <definedName name="table_vcfopsnet_collector_cpu">'Static Reference Tables'!$B$218:$C$222</definedName>
    <definedName name="table_vcfopsnet_collector_disk">'Static Reference Tables'!$B$230:$C$234</definedName>
    <definedName name="table_vcfopsnet_collector_ram">'Static Reference Tables'!$B$224:$C$228</definedName>
    <definedName name="table_vrli_appliance_cpu">'Static Reference Tables'!$B$139:$C$141</definedName>
    <definedName name="table_vrli_appliance_disk">'Static Reference Tables'!$B$147:$C$149</definedName>
    <definedName name="table_vrli_appliance_ram">'Static Reference Tables'!$B$143:$C$145</definedName>
    <definedName name="table_vrms_cpu">'Static Reference Tables'!$B$178:$C$179</definedName>
    <definedName name="table_vrms_disk">'Static Reference Tables'!$B$184:$C$185</definedName>
    <definedName name="table_vrms_ram">'Static Reference Tables'!$B$181:$C$182</definedName>
    <definedName name="table_wsa_appliance_cpu">'Static Reference Tables'!$B$106:$C$111</definedName>
    <definedName name="table_wsa_appliance_disk">'Static Reference Tables'!$B$120:$C$125</definedName>
    <definedName name="table_wsa_appliance_ram">'Static Reference Tables'!$B$113:$C$118</definedName>
    <definedName name="this_instance">'Value Reference Tables'!$AA$59</definedName>
    <definedName name="user_svc_vcf_bck">'Value Reference Tables'!$O$48</definedName>
    <definedName name="user_svc_vcf_ca_vcf">'Value Reference Tables'!$O$10</definedName>
    <definedName name="user_svc_vra_nsx">'Value Reference Tables'!$L$104</definedName>
    <definedName name="user_svc_vra_vcf">'Value Reference Tables'!$L$105</definedName>
    <definedName name="user_svc_vra_vrops">'Value Reference Tables'!$L$107</definedName>
    <definedName name="user_svc_vra_vsphere">'Value Reference Tables'!$L$103</definedName>
    <definedName name="user_svc_vrli_vrops">'Value Reference Tables'!$L$102</definedName>
    <definedName name="user_svc_vrli_wsa">'Value Reference Tables'!$L$101</definedName>
    <definedName name="user_svc_vro_vsphere">'Value Reference Tables'!$L$106</definedName>
    <definedName name="user_svc_vrops_nsx">'Value Reference Tables'!$L$99</definedName>
    <definedName name="user_svc_vrops_vra">'Value Reference Tables'!$L$100</definedName>
    <definedName name="user_svc_vrops_vsan">'Value Reference Tables'!$L$98</definedName>
    <definedName name="user_svc_vrops_vsphere">'Value Reference Tables'!$L$97</definedName>
    <definedName name="valuevx">42.314159</definedName>
    <definedName name="vcenter_root_password">'Value Reference Tables'!$L$15</definedName>
    <definedName name="vcenter_sizing_limits">'Static Reference Tables'!$E$26:$F$30</definedName>
    <definedName name="vcf_automation_additional_vips">'Value Reference Tables'!$L$365</definedName>
    <definedName name="vcf_automation_admin_password">'Value Reference Tables'!$L$355</definedName>
    <definedName name="vcf_automation_admin_password_alias">'Value Reference Tables'!$L$354</definedName>
    <definedName name="vcf_automation_admin_password_description">'Value Reference Tables'!$L$356</definedName>
    <definedName name="vcf_automation_admin_username">'Value Reference Tables'!$L$357</definedName>
    <definedName name="vcf_automation_cert_alias">'Value Reference Tables'!$L$334</definedName>
    <definedName name="vcf_automation_cert_common_name">'Value Reference Tables'!$L$336</definedName>
    <definedName name="vcf_automation_cert_country_code">'Value Reference Tables'!$L$339</definedName>
    <definedName name="vcf_automation_cert_file">'Value Reference Tables'!$L$335</definedName>
    <definedName name="vcf_automation_cert_key_length_chosen">'Deploy Fleet Management Day-N'!$D$76</definedName>
    <definedName name="vcf_automation_cert_locality">'Value Reference Tables'!$L$340</definedName>
    <definedName name="vcf_automation_cert_organisation">'Value Reference Tables'!$L$337</definedName>
    <definedName name="vcf_automation_cert_state">'Value Reference Tables'!$L$341</definedName>
    <definedName name="vcf_automation_cert_type_chosen">'Deploy Fleet Management Day-N'!$D$67</definedName>
    <definedName name="vcf_automation_folder">'Value Reference Tables'!$L$349</definedName>
    <definedName name="vcf_automation_gateway_ip">'Value Reference Tables'!$L$352</definedName>
    <definedName name="vcf_automation_internal_cidr_chosen">'Deploy Fleet Management Day-N'!$D$111</definedName>
    <definedName name="vcf_automation_lb_type_chosen">'Deploy Fleet Management Day-N'!$D$108</definedName>
    <definedName name="vcf_automation_mask">'Value Reference Tables'!$L$351</definedName>
    <definedName name="vcf_automation_node_prefix_chosen">'Deploy Fleet Management Day-N'!$D$109</definedName>
    <definedName name="vcf_automation_nodea_ip">'Value Reference Tables'!$L$345</definedName>
    <definedName name="vcf_automation_nodeb_ip">'Value Reference Tables'!$L$346</definedName>
    <definedName name="vcf_automation_nodec_ip">'Value Reference Tables'!$L$347</definedName>
    <definedName name="vcf_automation_noded_ip">'Value Reference Tables'!$L$348</definedName>
    <definedName name="vcf_automation_nodee_ip">Arkham!$R$14</definedName>
    <definedName name="vcf_automation_nodef_ip">Arkham!$R$15</definedName>
    <definedName name="vcf_automation_ou_cert">'Value Reference Tables'!$L$338</definedName>
    <definedName name="vcf_automation_portgroup">'Value Reference Tables'!$L$353</definedName>
    <definedName name="vcf_automation_resource_pool">'Value Reference Tables'!$L$350</definedName>
    <definedName name="vcf_automation_root_password">'Value Reference Tables'!$L$359</definedName>
    <definedName name="vcf_automation_root_password_alias">'Value Reference Tables'!$L$358</definedName>
    <definedName name="vcf_automation_root_password_description">'Value Reference Tables'!$L$360</definedName>
    <definedName name="vcf_automation_root_username">'Value Reference Tables'!$L$361</definedName>
    <definedName name="vcf_automation_size_chosen">'Deploy Fleet Management Day-N'!$D$65</definedName>
    <definedName name="vcf_automation_time_sync_mode_chosen">'Deploy Fleet Management Day-N'!$D$91</definedName>
    <definedName name="vcf_automation_type_chosen">'Deploy Fleet Management Day-N'!$D$63</definedName>
    <definedName name="vcf_automation_version">'Value Reference Tables'!$L$331</definedName>
    <definedName name="vcf_automation_vip_fqdn">'Value Reference Tables'!$L$343</definedName>
    <definedName name="vcf_automation_vip_ip">'Value Reference Tables'!$L$344</definedName>
    <definedName name="vcf_granular_option_chosen">'VCF &amp; VVF Planning'!$J$19</definedName>
    <definedName name="vcf_granular_option_result">'VCF &amp; VVF Planning'!$L$19</definedName>
    <definedName name="vcf_installer_fqdn">'Value Reference Tables'!$C$53</definedName>
    <definedName name="vcf_installer_hostname">'Value Reference Tables'!$C$37</definedName>
    <definedName name="vcf_installer_ip">'Value Reference Tables'!$C$14</definedName>
    <definedName name="vcf_instance_name">'Value Reference Tables'!$C$86</definedName>
    <definedName name="vcf_pnp_option_no">'Static Reference Tables'!$E$12</definedName>
    <definedName name="vcf_pnp_option_yes">'Static Reference Tables'!$E$11:$E$12</definedName>
    <definedName name="vcf_pnp_result_exclude">'Static Reference Tables'!$E$8</definedName>
    <definedName name="vcf_pnp_result_excluded">'Static Reference Tables'!$F$8</definedName>
    <definedName name="vcf_pnp_result_include">'Static Reference Tables'!$E$7:$E$8</definedName>
    <definedName name="vcf_version">'VCF &amp; VVF Planning'!$J$11</definedName>
    <definedName name="vcf_version_chosen">'VCF &amp; VVF Planning'!$J$16</definedName>
    <definedName name="vcf_version_result">'VCF &amp; VVF Planning'!$L$16</definedName>
    <definedName name="vcf_vi_isolated_domain_count">'Value Reference Tables'!$AA$106</definedName>
    <definedName name="vcf_vi_wld_domain_count">'Value Reference Tables'!$AA$105</definedName>
    <definedName name="vi_only_viable">'Value Reference Tables'!$AA$104</definedName>
    <definedName name="VMware_Cloud_Foundation">'Static Reference Tables'!$F$11:$F$12</definedName>
    <definedName name="VMware_vSphere_Foundation">'Static Reference Tables'!$I$11</definedName>
    <definedName name="vrms_appliance_size">'Value Reference Tables'!$U$55</definedName>
    <definedName name="vrslcm_admin_password">'Value Reference Tables'!$C$228</definedName>
    <definedName name="vrslcm_root_password">'Value Reference Tables'!$C$229</definedName>
    <definedName name="vrslcm_xreg_content_library">'Value Reference Tables'!$AA$30</definedName>
    <definedName name="vrslcm_xreg_vm_folder">'Dumping Ground'!$D$104</definedName>
    <definedName name="vs_dr_site_pair">'Site Protection &amp; DR'!$D$235</definedName>
    <definedName name="vsphere_8u1_evc_table">'Static Reference Tables'!$B$307:$B$330</definedName>
    <definedName name="vvf_mgmt_cl01_vds_standard_preconfigured_profiles">'Static Reference Tables'!$G$44:$G$46</definedName>
    <definedName name="vvs_dr_dns1_ip">'Value Reference Tables'!$O$94</definedName>
    <definedName name="vvs_dr_dns2_ip">'Value Reference Tables'!$O$95</definedName>
    <definedName name="vvs_dr_flt_auto_fqdn">'Value Reference Tables'!$O$107</definedName>
    <definedName name="vvs_dr_flt_fleet_manager_fqdn">'Value Reference Tables'!$O$97</definedName>
    <definedName name="vvs_dr_flt_fleet_manager_hostname">'Value Reference Tables'!$O$112</definedName>
    <definedName name="vvs_dr_flt_logs_nodea_fqdn">'Value Reference Tables'!$O$101</definedName>
    <definedName name="vvs_dr_flt_logs_nodea_hostname">'Value Reference Tables'!$O$116</definedName>
    <definedName name="vvs_dr_flt_logs_nodeb_fqdn">'Value Reference Tables'!$O$102</definedName>
    <definedName name="vvs_dr_flt_logs_nodeb_hostname">'Value Reference Tables'!$O$117</definedName>
    <definedName name="vvs_dr_flt_logs_nodec_fqdn">'Value Reference Tables'!$O$103</definedName>
    <definedName name="vvs_dr_flt_logs_nodec_hostname">'Value Reference Tables'!$O$118</definedName>
    <definedName name="vvs_dr_flt_net_nodea_fqdn">'Value Reference Tables'!$O$104</definedName>
    <definedName name="vvs_dr_flt_net_nodea_hostname">'Value Reference Tables'!$O$119</definedName>
    <definedName name="vvs_dr_flt_net_nodeb_fqdn">'Value Reference Tables'!$O$105</definedName>
    <definedName name="vvs_dr_flt_net_nodeb_hostname">'Value Reference Tables'!$O$120</definedName>
    <definedName name="vvs_dr_flt_net_nodec_fqdn">'Value Reference Tables'!$O$106</definedName>
    <definedName name="vvs_dr_flt_net_nodec_hostname">'Value Reference Tables'!$O$121</definedName>
    <definedName name="vvs_dr_flt_ops_nodea_fqdn">'Value Reference Tables'!$O$98</definedName>
    <definedName name="vvs_dr_flt_ops_nodea_hostname">'Value Reference Tables'!$O$113</definedName>
    <definedName name="vvs_dr_flt_ops_nodeb_fqdn">'Value Reference Tables'!$O$99</definedName>
    <definedName name="vvs_dr_flt_ops_nodeb_hostname">'Value Reference Tables'!$O$114</definedName>
    <definedName name="vvs_dr_flt_ops_nodec_fqdn">'Value Reference Tables'!$O$100</definedName>
    <definedName name="vvs_dr_flt_ops_nodec_hostname">'Value Reference Tables'!$O$115</definedName>
    <definedName name="vvs_dr_mgmt_cl01_cluster">'Value Reference Tables'!$O$109</definedName>
    <definedName name="vvs_dr_mgmt_cl01_datastore">'Value Reference Tables'!$O$122</definedName>
    <definedName name="vvs_dr_mgmt_vc_fqdn">'Value Reference Tables'!$O$108</definedName>
    <definedName name="vvs_dr_ntp1_server">'Value Reference Tables'!$O$93</definedName>
    <definedName name="vvs_dr_parent_dns_zone">'Value Reference Tables'!$O$96</definedName>
    <definedName name="vvs_dr_sso_domain">'Value Reference Tables'!$O$111</definedName>
    <definedName name="vvs_dr_vr_password">'Value Reference Tables'!$O$130</definedName>
    <definedName name="vvs_dr_vr_username">'Value Reference Tables'!$O$129</definedName>
    <definedName name="vvs_mgmt_dr_vlr_fqdn">'Value Reference Tables'!$O$110</definedName>
    <definedName name="vvs_mgmt_dr_vlr_hostname">'Value Reference Tables'!$R$115</definedName>
    <definedName name="witness_dns_zone">'Value Reference Tables'!$L$68</definedName>
    <definedName name="witness_dns1_ip">'Value Reference Tables'!$L$55</definedName>
    <definedName name="witness_dns2_ip">'Value Reference Tables'!$L$56</definedName>
    <definedName name="witness_ntp1_server">'Value Reference Tables'!$L$49</definedName>
    <definedName name="witness_ntp2_server">'Value Reference Tables'!$L$50</definedName>
    <definedName name="wld_administrator_vsphere_local_password">'Value Reference Tables'!$C$230</definedName>
    <definedName name="wld_avi_loadbalancer_chosen">'Configure Workload Domain'!$B$13</definedName>
    <definedName name="wld_avi_loadbalancer_result">'Configure Workload Domain'!$D$13</definedName>
    <definedName name="wld_avilb_cluster_name">'Value Reference Tables'!$O$73</definedName>
    <definedName name="wld_avilb_cluster_version">'Value Reference Tables'!$O$74</definedName>
    <definedName name="wld_avilb_fqdn">'Value Reference Tables'!$F$54</definedName>
    <definedName name="wld_avilb_hostname">'Value Reference Tables'!$F$39</definedName>
    <definedName name="wld_avilb_ip">'Value Reference Tables'!$F$23</definedName>
    <definedName name="wld_avilb_mgra_ip">'Value Reference Tables'!$F$24</definedName>
    <definedName name="wld_avilb_mgrb_ip">'Value Reference Tables'!$F$25</definedName>
    <definedName name="wld_avilb_mgrc_ip">'Value Reference Tables'!$F$26</definedName>
    <definedName name="wld_az1_ec01_password_creation_chosen">'Configure Workload Domain'!$D$91</definedName>
    <definedName name="wld_az1_edge_overlay_cidr">'Value Reference Tables - MR'!$I$32</definedName>
    <definedName name="wld_az1_edge_overlay_gateway_ip">'Value Reference Tables - MR'!$I$94</definedName>
    <definedName name="wld_az1_edge_overlay_mask">'Value Reference Tables - MR'!$I$62</definedName>
    <definedName name="wld_az1_edge_overlay_mtu">'Value Reference Tables - MR'!$I$78</definedName>
    <definedName name="wld_az1_edge_overlay_network">'Value Reference Tables - MR'!$I$47</definedName>
    <definedName name="wld_az1_edge_overlay_network_pool_name">'Value Reference Tables - MR'!$I$172</definedName>
    <definedName name="wld_az1_edge_overlay_pg">'Value Reference Tables - MR'!$I$118</definedName>
    <definedName name="wld_az1_edge_overlay_pool_end_ip">'Value Reference Tables - MR'!$I$160</definedName>
    <definedName name="wld_az1_edge_overlay_pool_start_ip">'Value Reference Tables - MR'!$I$159</definedName>
    <definedName name="wld_az1_edge_overlay_vlan">'Value Reference Tables - MR'!$I$17</definedName>
    <definedName name="wld_az1_en1_edge_overlay_interface_ip_1_ip">'Value Reference Tables - MR'!$I$261</definedName>
    <definedName name="wld_az1_en1_edge_overlay_interface_ip_2_ip">'Value Reference Tables - MR'!$I$262</definedName>
    <definedName name="wld_az1_en1_edge_overlay_network_ip_allocation_chosen">'Configure Workload Domain'!$D$59</definedName>
    <definedName name="wld_az1_en1_eth0_uplink0">'Value Reference Tables'!$C$253</definedName>
    <definedName name="wld_az1_en1_eth0_uplink1">'Value Reference Tables'!$C$254</definedName>
    <definedName name="wld_az1_en1_eth1_uplink0">'Value Reference Tables'!$C$255</definedName>
    <definedName name="wld_az1_en1_eth1_uplink1">'Value Reference Tables'!$C$256</definedName>
    <definedName name="wld_az1_en1_fqdn">'Value Reference Tables'!$F$52</definedName>
    <definedName name="wld_az1_en1_hostname">'Value Reference Tables - MR'!$I$255</definedName>
    <definedName name="wld_az1_en1_ip_allocation_chosen">'Configure Workload Domain'!$D$48</definedName>
    <definedName name="wld_az1_en1_mgmt_cidr">'Value Reference Tables - MR'!$I$258</definedName>
    <definedName name="wld_az1_en1_mgmt_ip">Arkham!$R$19</definedName>
    <definedName name="wld_az1_en1_uplink01_interface_cidr">'Value Reference Tables - MR'!$I$259</definedName>
    <definedName name="wld_az1_en1_uplink02_interface_cidr">'Value Reference Tables - MR'!$I$260</definedName>
    <definedName name="wld_az1_en2_edge_overlay_interface_ip_1_ip">'Value Reference Tables - MR'!$I$272</definedName>
    <definedName name="wld_az1_en2_edge_overlay_interface_ip_2_ip">'Value Reference Tables - MR'!$I$273</definedName>
    <definedName name="wld_az1_en2_eth0_uplink0">'Value Reference Tables'!$C$257</definedName>
    <definedName name="wld_az1_en2_eth0_uplink1">'Value Reference Tables'!$C$258</definedName>
    <definedName name="wld_az1_en2_eth1_uplink0">'Value Reference Tables'!$C$259</definedName>
    <definedName name="wld_az1_en2_eth1_uplink1">'Value Reference Tables'!$C$260</definedName>
    <definedName name="wld_az1_en2_fqdn">'Value Reference Tables'!$F$53</definedName>
    <definedName name="wld_az1_en2_hostname">'Value Reference Tables - MR'!$I$266</definedName>
    <definedName name="wld_az1_en2_ip_allocation_chosen">'Configure Workload Domain'!$D$74</definedName>
    <definedName name="wld_az1_en2_mgmt_cidr">'Value Reference Tables - MR'!$I$269</definedName>
    <definedName name="wld_az1_en2_mgmt_ip">Arkham!$R$20</definedName>
    <definedName name="wld_az1_en2_uplink01_interface_cidr">'Value Reference Tables - MR'!$I$270</definedName>
    <definedName name="wld_az1_en2_uplink02_interface_cidr">'Value Reference Tables - MR'!$I$271</definedName>
    <definedName name="wld_az1_host_fqdns">'Value Reference Tables - MR'!$I$237:$I$252</definedName>
    <definedName name="wld_az1_host_hostnames">'Value Reference Tables - MR'!$I$218:$I$233</definedName>
    <definedName name="wld_az1_host_mgmt_ips">'Value Reference Tables - MR'!$I$183:$I$198</definedName>
    <definedName name="wld_az1_host_overlay_cidr">'Value Reference Tables - MR'!$I$27</definedName>
    <definedName name="wld_az1_host_overlay_gateway_ip">'Value Reference Tables - MR'!$I$89</definedName>
    <definedName name="wld_az1_host_overlay_mask">'Value Reference Tables - MR'!$I$57</definedName>
    <definedName name="wld_az1_host_overlay_mtu">'Value Reference Tables - MR'!$I$73</definedName>
    <definedName name="wld_az1_host_overlay_network">'Value Reference Tables - MR'!$I$42</definedName>
    <definedName name="wld_az1_host_overlay_network_pool_description">'Value Reference Tables - MR'!$I$168</definedName>
    <definedName name="wld_az1_host_overlay_network_pool_name">'Value Reference Tables - MR'!$I$169</definedName>
    <definedName name="wld_az1_host_overlay_network_profile_name">'Value Reference Tables - MR'!$I$167</definedName>
    <definedName name="wld_az1_host_overlay_new_pool_chosen">'Deploy Workload Domain'!$D$305</definedName>
    <definedName name="wld_az1_host_overlay_pg">'Value Reference Tables - MR'!$I$114</definedName>
    <definedName name="wld_az1_host_overlay_pool_end_ip">'Value Reference Tables - MR'!$I$154</definedName>
    <definedName name="wld_az1_host_overlay_pool_start_ip">'Value Reference Tables - MR'!$I$153</definedName>
    <definedName name="wld_az1_host_overlay_transport_zone">'Value Reference Tables - MR'!$I$170</definedName>
    <definedName name="wld_az1_host_overlay_uplink_profile_name">'Value Reference Tables - MR'!$I$171</definedName>
    <definedName name="wld_az1_host_overlay_vlan">'Value Reference Tables - MR'!$I$12</definedName>
    <definedName name="wld_az1_host1_fqdn">'Value Reference Tables - MR'!$I$237</definedName>
    <definedName name="wld_az1_host1_hostname">'Value Reference Tables - MR'!$I$218</definedName>
    <definedName name="wld_az1_host1_mgmt_ip">'Value Reference Tables - MR'!$I$183</definedName>
    <definedName name="wld_az1_host1_vrms_ip">'Value Reference Tables - MR'!$I$199</definedName>
    <definedName name="wld_az1_host10_fqdn">'Value Reference Tables - MR'!$I$246</definedName>
    <definedName name="wld_az1_host10_hostname">'Value Reference Tables - MR'!$I$227</definedName>
    <definedName name="wld_az1_host10_mgmt_ip">'Value Reference Tables - MR'!$I$192</definedName>
    <definedName name="wld_az1_host10_vrms_ip">'Value Reference Tables - MR'!$I$208</definedName>
    <definedName name="wld_az1_host11_fqdn">'Value Reference Tables - MR'!$I$247</definedName>
    <definedName name="wld_az1_host11_hostname">'Value Reference Tables - MR'!$I$228</definedName>
    <definedName name="wld_az1_host11_mgmt_ip">'Value Reference Tables - MR'!$I$193</definedName>
    <definedName name="wld_az1_host11_vrms_ip">'Value Reference Tables - MR'!$I$209</definedName>
    <definedName name="wld_az1_host12_fqdn">'Value Reference Tables - MR'!$I$248</definedName>
    <definedName name="wld_az1_host12_hostname">'Value Reference Tables - MR'!$I$229</definedName>
    <definedName name="wld_az1_host12_mgmt_ip">'Value Reference Tables - MR'!$I$194</definedName>
    <definedName name="wld_az1_host12_vrms_ip">'Value Reference Tables - MR'!$I$210</definedName>
    <definedName name="wld_az1_host13_fqdn">'Value Reference Tables - MR'!$I$249</definedName>
    <definedName name="wld_az1_host13_hostname">'Value Reference Tables - MR'!$I$230</definedName>
    <definedName name="wld_az1_host13_mgmt_ip">'Value Reference Tables - MR'!$I$195</definedName>
    <definedName name="wld_az1_host13_vrms_ip">'Value Reference Tables - MR'!$I$211</definedName>
    <definedName name="wld_az1_host14_fqdn">'Value Reference Tables - MR'!$I$250</definedName>
    <definedName name="wld_az1_host14_hostname">'Value Reference Tables - MR'!$I$231</definedName>
    <definedName name="wld_az1_host14_mgmt_ip">'Value Reference Tables - MR'!$I$196</definedName>
    <definedName name="wld_az1_host14_vrms_ip">'Value Reference Tables - MR'!$I$212</definedName>
    <definedName name="wld_az1_host15_fqdn">'Value Reference Tables - MR'!$I$251</definedName>
    <definedName name="wld_az1_host15_hostname">'Value Reference Tables - MR'!$I$232</definedName>
    <definedName name="wld_az1_host15_mgmt_ip">'Value Reference Tables - MR'!$I$197</definedName>
    <definedName name="wld_az1_host15_vrms_ip">'Value Reference Tables - MR'!$I$213</definedName>
    <definedName name="wld_az1_host16_fqdn">'Value Reference Tables - MR'!$I$252</definedName>
    <definedName name="wld_az1_host16_hostname">'Value Reference Tables - MR'!$I$233</definedName>
    <definedName name="wld_az1_host16_mgmt_ip">'Value Reference Tables - MR'!$I$198</definedName>
    <definedName name="wld_az1_host16_vrms_ip">'Value Reference Tables - MR'!$I$214</definedName>
    <definedName name="wld_az1_host2_fqdn">'Value Reference Tables - MR'!$I$238</definedName>
    <definedName name="wld_az1_host2_hostname">'Value Reference Tables - MR'!$I$219</definedName>
    <definedName name="wld_az1_host2_mgmt_ip">'Value Reference Tables - MR'!$I$184</definedName>
    <definedName name="wld_az1_host2_vrms_ip">'Value Reference Tables - MR'!$I$200</definedName>
    <definedName name="wld_az1_host3_fqdn">'Value Reference Tables - MR'!$I$239</definedName>
    <definedName name="wld_az1_host3_hostname">'Value Reference Tables - MR'!$I$220</definedName>
    <definedName name="wld_az1_host3_mgmt_ip">'Value Reference Tables - MR'!$I$185</definedName>
    <definedName name="wld_az1_host3_vrms_ip">'Value Reference Tables - MR'!$I$201</definedName>
    <definedName name="wld_az1_host4_fqdn">'Value Reference Tables - MR'!$I$240</definedName>
    <definedName name="wld_az1_host4_hostname">'Value Reference Tables - MR'!$I$221</definedName>
    <definedName name="wld_az1_host4_mgmt_ip">'Value Reference Tables - MR'!$I$186</definedName>
    <definedName name="wld_az1_host4_vrms_ip">'Value Reference Tables - MR'!$I$202</definedName>
    <definedName name="wld_az1_host5_fqdn">'Value Reference Tables - MR'!$I$241</definedName>
    <definedName name="wld_az1_host5_hostname">'Value Reference Tables - MR'!$I$222</definedName>
    <definedName name="wld_az1_host5_mgmt_ip">'Value Reference Tables - MR'!$I$187</definedName>
    <definedName name="wld_az1_host5_vrms_ip">'Value Reference Tables - MR'!$I$203</definedName>
    <definedName name="wld_az1_host6_fqdn">'Value Reference Tables - MR'!$I$242</definedName>
    <definedName name="wld_az1_host6_hostname">'Value Reference Tables - MR'!$I$223</definedName>
    <definedName name="wld_az1_host6_mgmt_ip">'Value Reference Tables - MR'!$I$188</definedName>
    <definedName name="wld_az1_host6_vrms_ip">'Value Reference Tables - MR'!$I$204</definedName>
    <definedName name="wld_az1_host7_fqdn">'Value Reference Tables - MR'!$I$243</definedName>
    <definedName name="wld_az1_host7_hostname">'Value Reference Tables - MR'!$I$224</definedName>
    <definedName name="wld_az1_host7_mgmt_ip">'Value Reference Tables - MR'!$I$189</definedName>
    <definedName name="wld_az1_host7_vrms_ip">'Value Reference Tables - MR'!$I$205</definedName>
    <definedName name="wld_az1_host8_fqdn">'Value Reference Tables - MR'!$I$244</definedName>
    <definedName name="wld_az1_host8_hostname">'Value Reference Tables - MR'!$I$225</definedName>
    <definedName name="wld_az1_host8_mgmt_ip">'Value Reference Tables - MR'!$I$190</definedName>
    <definedName name="wld_az1_host8_vrms_ip">'Value Reference Tables - MR'!$I$206</definedName>
    <definedName name="wld_az1_host9_fqdn">'Value Reference Tables - MR'!$I$245</definedName>
    <definedName name="wld_az1_host9_hostname">'Value Reference Tables - MR'!$I$226</definedName>
    <definedName name="wld_az1_host9_mgmt_ip">'Value Reference Tables - MR'!$I$191</definedName>
    <definedName name="wld_az1_host9_vrms_ip">'Value Reference Tables - MR'!$I$207</definedName>
    <definedName name="wld_az1_mgmt_cidr">'Value Reference Tables - MR'!$I$24</definedName>
    <definedName name="wld_az1_mgmt_gateway_ip">'Value Reference Tables - MR'!$I$86</definedName>
    <definedName name="wld_az1_mgmt_mask">'Value Reference Tables - MR'!$I$54</definedName>
    <definedName name="wld_az1_mgmt_mtu">'Value Reference Tables - MR'!$I$70</definedName>
    <definedName name="wld_az1_mgmt_network">'Value Reference Tables - MR'!$I$39</definedName>
    <definedName name="wld_az1_mgmt_vlan">'Value Reference Tables - MR'!$I$9</definedName>
    <definedName name="wld_az1_mgmt_vm_cidr">'Value Reference Tables - MR'!$I$23</definedName>
    <definedName name="wld_az1_mgmt_vm_gateway_ip">'Value Reference Tables - MR'!$I$85</definedName>
    <definedName name="wld_az1_mgmt_vm_mask">'Value Reference Tables - MR'!$I$53</definedName>
    <definedName name="wld_az1_mgmt_vm_mtu">'Value Reference Tables - MR'!$I$69</definedName>
    <definedName name="wld_az1_mgmt_vm_network">'Value Reference Tables - MR'!$I$38</definedName>
    <definedName name="wld_az1_mgmt_vm_vlan">'Value Reference Tables - MR'!$I$8</definedName>
    <definedName name="wld_az1_nsx_uplink1_active_chosen">'Deploy Workload Domain'!$D$320</definedName>
    <definedName name="wld_az1_nsx_uplink2_active_chosen">'Deploy Workload Domain'!$D$321</definedName>
    <definedName name="wld_az1_pool_name">'Value Reference Tables - MR'!$I$166</definedName>
    <definedName name="wld_az1_principal_storage_cidr">'Value Reference Tables - MR'!$I$26</definedName>
    <definedName name="wld_az1_principal_storage_gateway_ip">'Value Reference Tables - MR'!$I$88</definedName>
    <definedName name="wld_az1_principal_storage_mask">'Value Reference Tables - MR'!$I$56</definedName>
    <definedName name="wld_az1_principal_storage_mtu">'Value Reference Tables - MR'!$I$72</definedName>
    <definedName name="wld_az1_principal_storage_network">'Value Reference Tables - MR'!$I$41</definedName>
    <definedName name="wld_az1_principal_storage_pool_end_ip">'Value Reference Tables - MR'!$I$152</definedName>
    <definedName name="wld_az1_principal_storage_pool_start_ip">'Value Reference Tables - MR'!$I$151</definedName>
    <definedName name="wld_az1_principal_storage_vlan">'Value Reference Tables - MR'!$I$11</definedName>
    <definedName name="wld_az1_rack2_child_dns_zone">'Value Reference Tables - MR'!#REF!</definedName>
    <definedName name="wld_az1_rack2_edge_overlay_cidr">'Value Reference Tables - MR'!$L$32</definedName>
    <definedName name="wld_az1_rack2_edge_overlay_gateway_ip">'Value Reference Tables - MR'!$L$94</definedName>
    <definedName name="wld_az1_rack2_edge_overlay_mask">'Value Reference Tables - MR'!$L$62</definedName>
    <definedName name="wld_az1_rack2_edge_overlay_mtu">'Value Reference Tables - MR'!$L$78</definedName>
    <definedName name="wld_az1_rack2_edge_overlay_network">'Value Reference Tables - MR'!$L$47</definedName>
    <definedName name="wld_az1_rack2_edge_overlay_network_pool_name">'Value Reference Tables - MR'!$L$172</definedName>
    <definedName name="wld_az1_rack2_edge_overlay_pool_end_ip">'Value Reference Tables - MR'!$L$160</definedName>
    <definedName name="wld_az1_rack2_edge_overlay_pool_start_ip">'Value Reference Tables - MR'!$L$159</definedName>
    <definedName name="wld_az1_rack2_edge_overlay_vlan">'Value Reference Tables - MR'!$L$17</definedName>
    <definedName name="wld_az1_rack2_en1_edge_overlay_interface_ip_1_ip">'Value Reference Tables - MR'!$L$244</definedName>
    <definedName name="wld_az1_rack2_en1_edge_overlay_interface_ip_2_ip">'Value Reference Tables - MR'!$L$245</definedName>
    <definedName name="wld_az1_rack2_en1_fqdn">'Value Reference Tables - MR'!$L$240</definedName>
    <definedName name="wld_az1_rack2_en1_hostname">'Value Reference Tables - MR'!$L$239</definedName>
    <definedName name="wld_az1_rack2_en1_mgmt_ip">'Value Reference Tables - MR'!$L$241</definedName>
    <definedName name="wld_az1_rack2_en1_uplink01_interface_ip">'Value Reference Tables - MR'!$L$242</definedName>
    <definedName name="wld_az1_rack2_en1_uplink02_interface_ip">'Value Reference Tables - MR'!$L$243</definedName>
    <definedName name="wld_az1_rack2_en2_fqdn">'Value Reference Tables - MR'!$L$250</definedName>
    <definedName name="wld_az1_rack2_en2_hostname">'Value Reference Tables - MR'!$L$249</definedName>
    <definedName name="wld_az1_rack2_en2_mgmt_ip">'Value Reference Tables - MR'!$L$251</definedName>
    <definedName name="wld_az1_rack2_en2_uplink01_interface_ip">'Value Reference Tables - MR'!$L$252</definedName>
    <definedName name="wld_az1_rack2_en2_uplink02_interface_ip">'Value Reference Tables - MR'!$L$253</definedName>
    <definedName name="wld_az1_rack2_host_fqdns">'Value Reference Tables - MR'!$L$221:$L$236</definedName>
    <definedName name="wld_az1_rack2_host_hostnames">'Value Reference Tables - MR'!$L$202:$L$217</definedName>
    <definedName name="wld_az1_rack2_host_mgmt_ips">'Value Reference Tables - MR'!$L$183:$L$198</definedName>
    <definedName name="wld_az1_rack2_host_overlay_cidr">'Value Reference Tables - MR'!$L$27</definedName>
    <definedName name="wld_az1_rack2_host_overlay_gateway_ip">'Value Reference Tables - MR'!$L$89</definedName>
    <definedName name="wld_az1_rack2_host_overlay_mask">'Value Reference Tables - MR'!$L$57</definedName>
    <definedName name="wld_az1_rack2_host_overlay_mtu">'Value Reference Tables - MR'!$L$73</definedName>
    <definedName name="wld_az1_rack2_host_overlay_network">'Value Reference Tables - MR'!$L$42</definedName>
    <definedName name="wld_az1_rack2_host_overlay_network_pool_name">'Value Reference Tables - MR'!$L$169</definedName>
    <definedName name="wld_az1_rack2_host_overlay_network_profile_name">'Value Reference Tables - MR'!$L$167</definedName>
    <definedName name="wld_az1_rack2_host_overlay_new_pool_chosen">'Additional Racks'!$D$79</definedName>
    <definedName name="wld_az1_rack2_host_overlay_pool_end_ip">'Value Reference Tables - MR'!$L$154</definedName>
    <definedName name="wld_az1_rack2_host_overlay_pool_start_ip">'Value Reference Tables - MR'!$L$153</definedName>
    <definedName name="wld_az1_rack2_host_overlay_uplink_profile_name">'Value Reference Tables - MR'!$L$171</definedName>
    <definedName name="wld_az1_rack2_host_overlay_vlan">'Value Reference Tables - MR'!$L$12</definedName>
    <definedName name="wld_az1_rack2_host1_fqdn">'Value Reference Tables - MR'!$L$221</definedName>
    <definedName name="wld_az1_rack2_host1_hostname">'Value Reference Tables - MR'!$L$202</definedName>
    <definedName name="wld_az1_rack2_host1_mgmt_ip">'Value Reference Tables - MR'!$L$183</definedName>
    <definedName name="wld_az1_rack2_host10_fqdn">'Value Reference Tables - MR'!$L$230</definedName>
    <definedName name="wld_az1_rack2_host10_hostname">'Value Reference Tables - MR'!$L$211</definedName>
    <definedName name="wld_az1_rack2_host10_mgmt_ip">'Value Reference Tables - MR'!$L$192</definedName>
    <definedName name="wld_az1_rack2_host11_fqdn">'Value Reference Tables - MR'!$L$231</definedName>
    <definedName name="wld_az1_rack2_host11_hostname">'Value Reference Tables - MR'!$L$212</definedName>
    <definedName name="wld_az1_rack2_host11_mgmt_ip">'Value Reference Tables - MR'!$L$193</definedName>
    <definedName name="wld_az1_rack2_host12_fqdn">'Value Reference Tables - MR'!$L$232</definedName>
    <definedName name="wld_az1_rack2_host12_hostname">'Value Reference Tables - MR'!$L$213</definedName>
    <definedName name="wld_az1_rack2_host12_mgmt_ip">'Value Reference Tables - MR'!$L$194</definedName>
    <definedName name="wld_az1_rack2_host13_fqdn">'Value Reference Tables - MR'!$L$233</definedName>
    <definedName name="wld_az1_rack2_host13_hostname">'Value Reference Tables - MR'!$L$214</definedName>
    <definedName name="wld_az1_rack2_host13_mgmt_ip">'Value Reference Tables - MR'!$L$195</definedName>
    <definedName name="wld_az1_rack2_host14_fqdn">'Value Reference Tables - MR'!$L$234</definedName>
    <definedName name="wld_az1_rack2_host14_hostname">'Value Reference Tables - MR'!$L$215</definedName>
    <definedName name="wld_az1_rack2_host14_mgmt_ip">'Value Reference Tables - MR'!$L$196</definedName>
    <definedName name="wld_az1_rack2_host15_fqdn">'Value Reference Tables - MR'!$L$235</definedName>
    <definedName name="wld_az1_rack2_host15_hostname">'Value Reference Tables - MR'!$L$216</definedName>
    <definedName name="wld_az1_rack2_host15_mgmt_ip">'Value Reference Tables - MR'!$L$197</definedName>
    <definedName name="wld_az1_rack2_host16_fqdn">'Value Reference Tables - MR'!$L$236</definedName>
    <definedName name="wld_az1_rack2_host16_hostname">'Value Reference Tables - MR'!$L$217</definedName>
    <definedName name="wld_az1_rack2_host16_mgmt_ip">'Value Reference Tables - MR'!$L$198</definedName>
    <definedName name="wld_az1_rack2_host2_fqdn">'Value Reference Tables - MR'!$L$222</definedName>
    <definedName name="wld_az1_rack2_host2_hostname">'Value Reference Tables - MR'!$L$203</definedName>
    <definedName name="wld_az1_rack2_host2_mgmt_ip">'Value Reference Tables - MR'!$L$184</definedName>
    <definedName name="wld_az1_rack2_host3_fqdn">'Value Reference Tables - MR'!$L$223</definedName>
    <definedName name="wld_az1_rack2_host3_hostname">'Value Reference Tables - MR'!$L$204</definedName>
    <definedName name="wld_az1_rack2_host3_mgmt_ip">'Value Reference Tables - MR'!$L$185</definedName>
    <definedName name="wld_az1_rack2_host4_fqdn">'Value Reference Tables - MR'!$L$224</definedName>
    <definedName name="wld_az1_rack2_host4_hostname">'Value Reference Tables - MR'!$L$205</definedName>
    <definedName name="wld_az1_rack2_host4_mgmt_ip">'Value Reference Tables - MR'!$L$186</definedName>
    <definedName name="wld_az1_rack2_host5_fqdn">'Value Reference Tables - MR'!$L$225</definedName>
    <definedName name="wld_az1_rack2_host5_hostname">'Value Reference Tables - MR'!$L$206</definedName>
    <definedName name="wld_az1_rack2_host5_mgmt_ip">'Value Reference Tables - MR'!$L$187</definedName>
    <definedName name="wld_az1_rack2_host6_fqdn">'Value Reference Tables - MR'!$L$226</definedName>
    <definedName name="wld_az1_rack2_host6_hostname">'Value Reference Tables - MR'!$L$207</definedName>
    <definedName name="wld_az1_rack2_host6_mgmt_ip">'Value Reference Tables - MR'!$L$188</definedName>
    <definedName name="wld_az1_rack2_host7_fqdn">'Value Reference Tables - MR'!$L$227</definedName>
    <definedName name="wld_az1_rack2_host7_hostname">'Value Reference Tables - MR'!$L$208</definedName>
    <definedName name="wld_az1_rack2_host7_mgmt_ip">'Value Reference Tables - MR'!$L$189</definedName>
    <definedName name="wld_az1_rack2_host8_fqdn">'Value Reference Tables - MR'!$L$228</definedName>
    <definedName name="wld_az1_rack2_host8_hostname">'Value Reference Tables - MR'!$L$209</definedName>
    <definedName name="wld_az1_rack2_host8_mgmt_ip">'Value Reference Tables - MR'!$L$190</definedName>
    <definedName name="wld_az1_rack2_host9_fqdn">'Value Reference Tables - MR'!$L$229</definedName>
    <definedName name="wld_az1_rack2_host9_hostname">'Value Reference Tables - MR'!$L$210</definedName>
    <definedName name="wld_az1_rack2_host9_mgmt_ip">'Value Reference Tables - MR'!$L$191</definedName>
    <definedName name="wld_az1_rack2_mgmt_cidr">'Value Reference Tables - MR'!$L$24</definedName>
    <definedName name="wld_az1_rack2_mgmt_gateway_ip">'Value Reference Tables - MR'!$L$86</definedName>
    <definedName name="wld_az1_rack2_mgmt_mask">'Value Reference Tables - MR'!$L$179</definedName>
    <definedName name="wld_az1_rack2_mgmt_mtu">'Value Reference Tables - MR'!$L$70</definedName>
    <definedName name="wld_az1_rack2_mgmt_network">'Value Reference Tables - MR'!$L$39</definedName>
    <definedName name="wld_az1_rack2_mgmt_pg">'Value Reference Tables - MR'!$L$111</definedName>
    <definedName name="wld_az1_rack2_mgmt_vlan">'Value Reference Tables - MR'!$L$9</definedName>
    <definedName name="wld_az1_rack2_mgmt_vm_cidr">'Value Reference Tables - MR'!$L$23</definedName>
    <definedName name="wld_az1_rack2_mgmt_vm_gateway_ip">'Value Reference Tables - MR'!$L$85</definedName>
    <definedName name="wld_az1_rack2_mgmt_vm_mask">'Value Reference Tables - MR'!$L$178</definedName>
    <definedName name="wld_az1_rack2_mgmt_vm_mtu">'Value Reference Tables - MR'!$L$69</definedName>
    <definedName name="wld_az1_rack2_mgmt_vm_pg">'Value Reference Tables - MR'!$L$110</definedName>
    <definedName name="wld_az1_rack2_mgmt_vm_vlan">'Value Reference Tables - MR'!$L$8</definedName>
    <definedName name="wld_az1_rack2_pool_name">'Value Reference Tables - MR'!$L$166</definedName>
    <definedName name="wld_az1_rack2_principal_storage_cidr">'Value Reference Tables - MR'!$L$26</definedName>
    <definedName name="wld_az1_rack2_principal_storage_gateway_ip">'Value Reference Tables - MR'!$L$88</definedName>
    <definedName name="wld_az1_rack2_principal_storage_mask">'Value Reference Tables - MR'!$L$56</definedName>
    <definedName name="wld_az1_rack2_principal_storage_mtu">'Value Reference Tables - MR'!$L$72</definedName>
    <definedName name="wld_az1_rack2_principal_storage_network">'Value Reference Tables - MR'!$L$41</definedName>
    <definedName name="wld_az1_rack2_principal_storage_pg">'Value Reference Tables - MR'!$L$113</definedName>
    <definedName name="wld_az1_rack2_principal_storage_pool_end_ip">'Value Reference Tables - MR'!$L$152</definedName>
    <definedName name="wld_az1_rack2_principal_storage_pool_start_ip">'Value Reference Tables - MR'!$L$151</definedName>
    <definedName name="wld_az1_rack2_principal_storage_vlan">'Value Reference Tables - MR'!$L$11</definedName>
    <definedName name="wld_az1_rack2_reuse_vcf_networkpool_chosen">'Additional Racks'!$D$33</definedName>
    <definedName name="wld_az1_rack2_rtep_ip_pool_name">'Value Reference Tables - MR'!$L$173</definedName>
    <definedName name="wld_az1_rack2_rtep_overlay_cidr">'Value Reference Tables - MR'!$L$33</definedName>
    <definedName name="wld_az1_rack2_rtep_overlay_gateway_ip">'Value Reference Tables - MR'!$L$95</definedName>
    <definedName name="wld_az1_rack2_rtep_overlay_mtu">'Value Reference Tables - MR'!$L$79</definedName>
    <definedName name="wld_az1_rack2_rtep_overlay_pool_end_ip">'Value Reference Tables - MR'!$L$162</definedName>
    <definedName name="wld_az1_rack2_rtep_overlay_pool_start_ip">'Value Reference Tables - MR'!$L$161</definedName>
    <definedName name="wld_az1_rack2_rtep_overlay_vlan">'Value Reference Tables - MR'!$L$18</definedName>
    <definedName name="wld_az1_rack2_secondary_storage_cidr">'Value Reference Tables - MR'!$L$28</definedName>
    <definedName name="wld_az1_rack2_secondary_storage_gateway_ip">'Value Reference Tables - MR'!$L$90</definedName>
    <definedName name="wld_az1_rack2_secondary_storage_mask">'Value Reference Tables - MR'!$L$58</definedName>
    <definedName name="wld_az1_rack2_secondary_storage_mtu">'Value Reference Tables - MR'!$L$74</definedName>
    <definedName name="wld_az1_rack2_secondary_storage_network">'Value Reference Tables - MR'!$L$44</definedName>
    <definedName name="wld_az1_rack2_secondary_storage_pool_end_ip">'Value Reference Tables - MR'!$L$156</definedName>
    <definedName name="wld_az1_rack2_secondary_storage_pool_start_ip">'Value Reference Tables - MR'!$L$155</definedName>
    <definedName name="wld_az1_rack2_secondary_storage_vlan">'Value Reference Tables - MR'!$L$13</definedName>
    <definedName name="wld_az1_rack2_tor1_peer_asn">'Value Reference Tables - MR'!$L$102</definedName>
    <definedName name="wld_az1_rack2_tor1_peer_bgp_password">'Value Reference Tables - MR'!$L$103</definedName>
    <definedName name="wld_az1_rack2_tor1_peer_ip">'Value Reference Tables - MR'!$L$101</definedName>
    <definedName name="wld_az1_rack2_tor2_peer_asn">'Value Reference Tables - MR'!$L$105</definedName>
    <definedName name="wld_az1_rack2_tor2_peer_bgp_password">'Value Reference Tables - MR'!$L$106</definedName>
    <definedName name="wld_az1_rack2_tor2_peer_ip">'Value Reference Tables - MR'!$L$104</definedName>
    <definedName name="wld_az1_rack2_uplink01_cidr">'Value Reference Tables - MR'!$L$30</definedName>
    <definedName name="wld_az1_rack2_uplink01_gateway_ip">'Value Reference Tables - MR'!$L$92</definedName>
    <definedName name="wld_az1_rack2_uplink01_mask">'Value Reference Tables - MR'!$L$60</definedName>
    <definedName name="wld_az1_rack2_uplink01_mtu">'Value Reference Tables - MR'!$L$76</definedName>
    <definedName name="wld_az1_rack2_uplink01_network">'Value Reference Tables - MR'!$L$45</definedName>
    <definedName name="wld_az1_rack2_uplink01_pg">'Value Reference Tables - MR'!$L$114</definedName>
    <definedName name="wld_az1_rack2_uplink01_vlan">'Value Reference Tables - MR'!$L$15</definedName>
    <definedName name="wld_az1_rack2_uplink02_cidr">'Value Reference Tables - MR'!$L$31</definedName>
    <definedName name="wld_az1_rack2_uplink02_gateway_ip">'Value Reference Tables - MR'!$L$93</definedName>
    <definedName name="wld_az1_rack2_uplink02_mask">'Value Reference Tables - MR'!$L$61</definedName>
    <definedName name="wld_az1_rack2_uplink02_mtu">'Value Reference Tables - MR'!$L$77</definedName>
    <definedName name="wld_az1_rack2_uplink02_network">'Value Reference Tables - MR'!$L$46</definedName>
    <definedName name="wld_az1_rack2_uplink02_pg">'Value Reference Tables - MR'!$L$115</definedName>
    <definedName name="wld_az1_rack2_uplink02_vlan">'Value Reference Tables - MR'!$L$16</definedName>
    <definedName name="wld_az1_rack2_vmotion_cidr">'Value Reference Tables - MR'!$L$25</definedName>
    <definedName name="wld_az1_rack2_vmotion_gateway_ip">'Value Reference Tables - MR'!$L$87</definedName>
    <definedName name="wld_az1_rack2_vmotion_mask">'Value Reference Tables - MR'!$L$55</definedName>
    <definedName name="wld_az1_rack2_vmotion_mtu">'Value Reference Tables - MR'!$L$71</definedName>
    <definedName name="wld_az1_rack2_vmotion_network">'Value Reference Tables - MR'!$L$40</definedName>
    <definedName name="wld_az1_rack2_vmotion_pg">'Value Reference Tables - MR'!$L$112</definedName>
    <definedName name="wld_az1_rack2_vmotion_pool_end_ip">'Value Reference Tables - MR'!$L$150</definedName>
    <definedName name="wld_az1_rack2_vmotion_pool_start_ip">'Value Reference Tables - MR'!$L$149</definedName>
    <definedName name="wld_az1_rack2_vmotion_vlan">'Value Reference Tables - MR'!$L$10</definedName>
    <definedName name="wld_az1_rack2_vrms_cidr">'Value Reference Tables - MR'!$L$34</definedName>
    <definedName name="wld_az1_rack2_vrms_gateway_ip">'Value Reference Tables - MR'!$L$96</definedName>
    <definedName name="wld_az1_rack2_vrms_mtu">'Value Reference Tables - MR'!$L$80</definedName>
    <definedName name="wld_az1_rack2_vrms_vlan">'Value Reference Tables - MR'!$L$19</definedName>
    <definedName name="wld_az1_rack2_vsan_fault_domain">'Value Reference Tables - MR'!$L$174</definedName>
    <definedName name="wld_az1_rack3_child_dns_zone">'Value Reference Tables - MR'!#REF!</definedName>
    <definedName name="wld_az1_rack3_edge_overlay_cidr">'Value Reference Tables - MR'!$O$32</definedName>
    <definedName name="wld_az1_rack3_edge_overlay_gateway_ip">'Value Reference Tables - MR'!$O$94</definedName>
    <definedName name="wld_az1_rack3_edge_overlay_mask">'Value Reference Tables - MR'!$O$62</definedName>
    <definedName name="wld_az1_rack3_edge_overlay_mtu">'Value Reference Tables - MR'!$O$78</definedName>
    <definedName name="wld_az1_rack3_edge_overlay_network">'Value Reference Tables - MR'!$O$47</definedName>
    <definedName name="wld_az1_rack3_edge_overlay_network_pool_name">'Value Reference Tables - MR'!$O$172</definedName>
    <definedName name="wld_az1_rack3_edge_overlay_pool_end_ip">'Value Reference Tables - MR'!$O$160</definedName>
    <definedName name="wld_az1_rack3_edge_overlay_pool_start_ip">'Value Reference Tables - MR'!$O$159</definedName>
    <definedName name="wld_az1_rack3_edge_overlay_vlan">'Value Reference Tables - MR'!$O$17</definedName>
    <definedName name="wld_az1_rack3_en1_edge_overlay_interface_ip_1_ip">'Value Reference Tables - MR'!$O$244</definedName>
    <definedName name="wld_az1_rack3_en1_edge_overlay_interface_ip_2_ip">'Value Reference Tables - MR'!$O$245</definedName>
    <definedName name="wld_az1_rack3_en1_fqdn">'Value Reference Tables - MR'!$O$240</definedName>
    <definedName name="wld_az1_rack3_en1_hostname">'Value Reference Tables - MR'!$O$239</definedName>
    <definedName name="wld_az1_rack3_en1_mgmt_ip">'Value Reference Tables - MR'!$O$241</definedName>
    <definedName name="wld_az1_rack3_en1_uplink01_interface_ip">'Value Reference Tables - MR'!$O$242</definedName>
    <definedName name="wld_az1_rack3_en1_uplink02_interface_ip">'Value Reference Tables - MR'!$O$243</definedName>
    <definedName name="wld_az1_rack3_en2_fqdn">'Value Reference Tables - MR'!$O$250</definedName>
    <definedName name="wld_az1_rack3_en2_hostname">'Value Reference Tables - MR'!$O$249</definedName>
    <definedName name="wld_az1_rack3_en2_mgmt_ip">'Value Reference Tables - MR'!$O$251</definedName>
    <definedName name="wld_az1_rack3_en2_uplink01_interface_ip">'Value Reference Tables - MR'!$O$252</definedName>
    <definedName name="wld_az1_rack3_en2_uplink02_interface_ip">'Value Reference Tables - MR'!$O$253</definedName>
    <definedName name="wld_az1_rack3_host_fqdns">'Value Reference Tables - MR'!$O$221:$O$236</definedName>
    <definedName name="wld_az1_rack3_host_hostnames">'Value Reference Tables - MR'!$O$202:$O$217</definedName>
    <definedName name="wld_az1_rack3_host_mgmt_ips">'Value Reference Tables - MR'!$O$183:$O$198</definedName>
    <definedName name="wld_az1_rack3_host_overlay_cidr">'Value Reference Tables - MR'!$O$27</definedName>
    <definedName name="wld_az1_rack3_host_overlay_gateway_ip">'Value Reference Tables - MR'!$O$89</definedName>
    <definedName name="wld_az1_rack3_host_overlay_mask">'Value Reference Tables - MR'!$O$57</definedName>
    <definedName name="wld_az1_rack3_host_overlay_mtu">'Value Reference Tables - MR'!$O$73</definedName>
    <definedName name="wld_az1_rack3_host_overlay_network">'Value Reference Tables - MR'!$O$42</definedName>
    <definedName name="wld_az1_rack3_host_overlay_network_pool_name">'Value Reference Tables - MR'!$O$169</definedName>
    <definedName name="wld_az1_rack3_host_overlay_network_profile_name">'Value Reference Tables - MR'!$O$167</definedName>
    <definedName name="wld_az1_rack3_host_overlay_new_pool_chosen">'Additional Racks'!$D$172</definedName>
    <definedName name="wld_az1_rack3_host_overlay_pool_end_ip">'Value Reference Tables - MR'!$O$154</definedName>
    <definedName name="wld_az1_rack3_host_overlay_pool_start_ip">'Value Reference Tables - MR'!$O$153</definedName>
    <definedName name="wld_az1_rack3_host_overlay_uplink_profile_name">'Value Reference Tables - MR'!$O$171</definedName>
    <definedName name="wld_az1_rack3_host_overlay_vlan">'Value Reference Tables - MR'!$O$12</definedName>
    <definedName name="wld_az1_rack3_host1_fqdn">'Value Reference Tables - MR'!$O$221</definedName>
    <definedName name="wld_az1_rack3_host1_hostname">'Value Reference Tables - MR'!$O$202</definedName>
    <definedName name="wld_az1_rack3_host1_mgmt_ip">'Value Reference Tables - MR'!$O$183</definedName>
    <definedName name="wld_az1_rack3_host10_fqdn">'Value Reference Tables - MR'!$O$230</definedName>
    <definedName name="wld_az1_rack3_host10_hostname">'Value Reference Tables - MR'!$O$211</definedName>
    <definedName name="wld_az1_rack3_host10_mgmt_ip">'Value Reference Tables - MR'!$O$192</definedName>
    <definedName name="wld_az1_rack3_host11_fqdn">'Value Reference Tables - MR'!$O$231</definedName>
    <definedName name="wld_az1_rack3_host11_hostname">'Value Reference Tables - MR'!$O$212</definedName>
    <definedName name="wld_az1_rack3_host11_mgmt_ip">'Value Reference Tables - MR'!$O$193</definedName>
    <definedName name="wld_az1_rack3_host12_fqdn">'Value Reference Tables - MR'!$O$232</definedName>
    <definedName name="wld_az1_rack3_host12_hostname">'Value Reference Tables - MR'!$O$213</definedName>
    <definedName name="wld_az1_rack3_host12_mgmt_ip">'Value Reference Tables - MR'!$O$194</definedName>
    <definedName name="wld_az1_rack3_host13_fqdn">'Value Reference Tables - MR'!$O$233</definedName>
    <definedName name="wld_az1_rack3_host13_hostname">'Value Reference Tables - MR'!$O$214</definedName>
    <definedName name="wld_az1_rack3_host13_mgmt_ip">'Value Reference Tables - MR'!$O$195</definedName>
    <definedName name="wld_az1_rack3_host14_fqdn">'Value Reference Tables - MR'!$O$234</definedName>
    <definedName name="wld_az1_rack3_host14_hostname">'Value Reference Tables - MR'!$O$215</definedName>
    <definedName name="wld_az1_rack3_host14_mgmt_ip">'Value Reference Tables - MR'!$O$196</definedName>
    <definedName name="wld_az1_rack3_host15_fqdn">'Value Reference Tables - MR'!$O$235</definedName>
    <definedName name="wld_az1_rack3_host15_hostname">'Value Reference Tables - MR'!$O$216</definedName>
    <definedName name="wld_az1_rack3_host15_mgmt_ip">'Value Reference Tables - MR'!$O$197</definedName>
    <definedName name="wld_az1_rack3_host16_fqdn">'Value Reference Tables - MR'!$O$236</definedName>
    <definedName name="wld_az1_rack3_host16_hostname">'Value Reference Tables - MR'!$O$217</definedName>
    <definedName name="wld_az1_rack3_host16_mgmt_ip">'Value Reference Tables - MR'!$O$198</definedName>
    <definedName name="wld_az1_rack3_host2_fqdn">'Value Reference Tables - MR'!$O$222</definedName>
    <definedName name="wld_az1_rack3_host2_hostname">'Value Reference Tables - MR'!$O$203</definedName>
    <definedName name="wld_az1_rack3_host2_mgmt_ip">'Value Reference Tables - MR'!$O$184</definedName>
    <definedName name="wld_az1_rack3_host3_fqdn">'Value Reference Tables - MR'!$O$223</definedName>
    <definedName name="wld_az1_rack3_host3_hostname">'Value Reference Tables - MR'!$O$204</definedName>
    <definedName name="wld_az1_rack3_host3_mgmt_ip">'Value Reference Tables - MR'!$O$185</definedName>
    <definedName name="wld_az1_rack3_host4_fqdn">'Value Reference Tables - MR'!$O$224</definedName>
    <definedName name="wld_az1_rack3_host4_hostname">'Value Reference Tables - MR'!$O$205</definedName>
    <definedName name="wld_az1_rack3_host4_mgmt_ip">'Value Reference Tables - MR'!$O$186</definedName>
    <definedName name="wld_az1_rack3_host5_fqdn">'Value Reference Tables - MR'!$O$225</definedName>
    <definedName name="wld_az1_rack3_host5_hostname">'Value Reference Tables - MR'!$O$206</definedName>
    <definedName name="wld_az1_rack3_host5_mgmt_ip">'Value Reference Tables - MR'!$O$187</definedName>
    <definedName name="wld_az1_rack3_host6_fqdn">'Value Reference Tables - MR'!$O$226</definedName>
    <definedName name="wld_az1_rack3_host6_hostname">'Value Reference Tables - MR'!$O$207</definedName>
    <definedName name="wld_az1_rack3_host6_mgmt_ip">'Value Reference Tables - MR'!$O$188</definedName>
    <definedName name="wld_az1_rack3_host7_fqdn">'Value Reference Tables - MR'!$O$227</definedName>
    <definedName name="wld_az1_rack3_host7_hostname">'Value Reference Tables - MR'!$O$208</definedName>
    <definedName name="wld_az1_rack3_host7_mgmt_ip">'Value Reference Tables - MR'!$O$189</definedName>
    <definedName name="wld_az1_rack3_host8_fqdn">'Value Reference Tables - MR'!$O$228</definedName>
    <definedName name="wld_az1_rack3_host8_hostname">'Value Reference Tables - MR'!$O$209</definedName>
    <definedName name="wld_az1_rack3_host8_mgmt_ip">'Value Reference Tables - MR'!$O$190</definedName>
    <definedName name="wld_az1_rack3_host9_fqdn">'Value Reference Tables - MR'!$O$229</definedName>
    <definedName name="wld_az1_rack3_host9_hostname">'Value Reference Tables - MR'!$O$210</definedName>
    <definedName name="wld_az1_rack3_host9_mgmt_ip">'Value Reference Tables - MR'!$O$191</definedName>
    <definedName name="wld_az1_rack3_mgmt_cidr">'Value Reference Tables - MR'!$O$24</definedName>
    <definedName name="wld_az1_rack3_mgmt_gateway_ip">'Value Reference Tables - MR'!$O$86</definedName>
    <definedName name="wld_az1_rack3_mgmt_mask">'Value Reference Tables - MR'!$O$179</definedName>
    <definedName name="wld_az1_rack3_mgmt_mtu">'Value Reference Tables - MR'!$O$70</definedName>
    <definedName name="wld_az1_rack3_mgmt_network">'Value Reference Tables - MR'!$O$39</definedName>
    <definedName name="wld_az1_rack3_mgmt_pg">'Value Reference Tables - MR'!$O$111</definedName>
    <definedName name="wld_az1_rack3_mgmt_vlan">'Value Reference Tables - MR'!$O$9</definedName>
    <definedName name="wld_az1_rack3_mgmt_vm_cidr">'Value Reference Tables - MR'!$O$23</definedName>
    <definedName name="wld_az1_rack3_mgmt_vm_gateway_ip">'Value Reference Tables - MR'!$O$85</definedName>
    <definedName name="wld_az1_rack3_mgmt_vm_mask">'Value Reference Tables - MR'!$O$178</definedName>
    <definedName name="wld_az1_rack3_mgmt_vm_mtu">'Value Reference Tables - MR'!$O$69</definedName>
    <definedName name="wld_az1_rack3_mgmt_vm_pg">'Value Reference Tables - MR'!$O$110</definedName>
    <definedName name="wld_az1_rack3_mgmt_vm_vlan">'Value Reference Tables - MR'!$O$8</definedName>
    <definedName name="wld_az1_rack3_pool_name">'Value Reference Tables - MR'!$O$166</definedName>
    <definedName name="wld_az1_rack3_principal_storage_cidr">'Value Reference Tables - MR'!$O$26</definedName>
    <definedName name="wld_az1_rack3_principal_storage_gateway_ip">'Value Reference Tables - MR'!$O$88</definedName>
    <definedName name="wld_az1_rack3_principal_storage_mask">'Value Reference Tables - MR'!$O$56</definedName>
    <definedName name="wld_az1_rack3_principal_storage_mtu">'Value Reference Tables - MR'!$O$72</definedName>
    <definedName name="wld_az1_rack3_principal_storage_network">'Value Reference Tables - MR'!$O$41</definedName>
    <definedName name="wld_az1_rack3_principal_storage_pool_end_ip">'Value Reference Tables - MR'!$O$152</definedName>
    <definedName name="wld_az1_rack3_principal_storage_pool_start_ip">'Value Reference Tables - MR'!$O$151</definedName>
    <definedName name="wld_az1_rack3_principal_storage_vlan">'Value Reference Tables - MR'!$O$11</definedName>
    <definedName name="wld_az1_rack3_reuse_vcf_networkpool_chosen">'Additional Racks'!$D$126</definedName>
    <definedName name="wld_az1_rack3_rtep_ip_pool_name">'Value Reference Tables - MR'!$O$173</definedName>
    <definedName name="wld_az1_rack3_rtep_overlay_cidr">'Value Reference Tables - MR'!$O$33</definedName>
    <definedName name="wld_az1_rack3_rtep_overlay_gateway_ip">'Value Reference Tables - MR'!$O$95</definedName>
    <definedName name="wld_az1_rack3_rtep_overlay_mtu">'Value Reference Tables - MR'!$O$79</definedName>
    <definedName name="wld_az1_rack3_rtep_overlay_pool_end_ip">'Value Reference Tables - MR'!$O$162</definedName>
    <definedName name="wld_az1_rack3_rtep_overlay_pool_start_ip">'Value Reference Tables - MR'!$O$161</definedName>
    <definedName name="wld_az1_rack3_rtep_overlay_vlan">'Value Reference Tables - MR'!$O$18</definedName>
    <definedName name="wld_az1_rack3_secondary_storage_cidr">'Value Reference Tables - MR'!$O$28</definedName>
    <definedName name="wld_az1_rack3_secondary_storage_gateway_ip">'Value Reference Tables - MR'!$O$90</definedName>
    <definedName name="wld_az1_rack3_secondary_storage_mask">'Value Reference Tables - MR'!$O$58</definedName>
    <definedName name="wld_az1_rack3_secondary_storage_mtu">'Value Reference Tables - MR'!$O$74</definedName>
    <definedName name="wld_az1_rack3_secondary_storage_network">'Value Reference Tables - MR'!$O$44</definedName>
    <definedName name="wld_az1_rack3_secondary_storage_pool_end_ip">'Value Reference Tables - MR'!$O$156</definedName>
    <definedName name="wld_az1_rack3_secondary_storage_pool_start_ip">'Value Reference Tables - MR'!$O$155</definedName>
    <definedName name="wld_az1_rack3_secondary_storage_vlan">'Value Reference Tables - MR'!$O$13</definedName>
    <definedName name="wld_az1_rack3_tor1_peer_asn">'Value Reference Tables - MR'!$O$102</definedName>
    <definedName name="wld_az1_rack3_tor1_peer_bgp_password">'Value Reference Tables - MR'!$O$103</definedName>
    <definedName name="wld_az1_rack3_tor1_peer_ip">'Value Reference Tables - MR'!$O$101</definedName>
    <definedName name="wld_az1_rack3_tor2_peer_asn">'Value Reference Tables - MR'!$O$105</definedName>
    <definedName name="wld_az1_rack3_tor2_peer_bgp_password">'Value Reference Tables - MR'!$O$106</definedName>
    <definedName name="wld_az1_rack3_tor2_peer_ip">'Value Reference Tables - MR'!$O$104</definedName>
    <definedName name="wld_az1_rack3_uplink01_cidr">'Value Reference Tables - MR'!$O$30</definedName>
    <definedName name="wld_az1_rack3_uplink01_gateway_ip">'Value Reference Tables - MR'!$O$92</definedName>
    <definedName name="wld_az1_rack3_uplink01_mask">'Value Reference Tables - MR'!$O$60</definedName>
    <definedName name="wld_az1_rack3_uplink01_mtu">'Value Reference Tables - MR'!$O$76</definedName>
    <definedName name="wld_az1_rack3_uplink01_network">'Value Reference Tables - MR'!$O$45</definedName>
    <definedName name="wld_az1_rack3_uplink01_pg">'Value Reference Tables - MR'!$O$114</definedName>
    <definedName name="wld_az1_rack3_uplink01_vlan">'Value Reference Tables - MR'!$O$15</definedName>
    <definedName name="wld_az1_rack3_uplink02_cidr">'Value Reference Tables - MR'!$O$31</definedName>
    <definedName name="wld_az1_rack3_uplink02_gateway_ip">'Value Reference Tables - MR'!$O$93</definedName>
    <definedName name="wld_az1_rack3_uplink02_mask">'Value Reference Tables - MR'!$O$61</definedName>
    <definedName name="wld_az1_rack3_uplink02_mtu">'Value Reference Tables - MR'!$O$77</definedName>
    <definedName name="wld_az1_rack3_uplink02_network">'Value Reference Tables - MR'!$O$46</definedName>
    <definedName name="wld_az1_rack3_uplink02_pg">'Value Reference Tables - MR'!$O$115</definedName>
    <definedName name="wld_az1_rack3_uplink02_vlan">'Value Reference Tables - MR'!$O$16</definedName>
    <definedName name="wld_az1_rack3_vmotion_cidr">'Value Reference Tables - MR'!$O$25</definedName>
    <definedName name="wld_az1_rack3_vmotion_gateway_ip">'Value Reference Tables - MR'!$O$87</definedName>
    <definedName name="wld_az1_rack3_vmotion_mask">'Value Reference Tables - MR'!$O$55</definedName>
    <definedName name="wld_az1_rack3_vmotion_mtu">'Value Reference Tables - MR'!$O$71</definedName>
    <definedName name="wld_az1_rack3_vmotion_network">'Value Reference Tables - MR'!$O$40</definedName>
    <definedName name="wld_az1_rack3_vmotion_pg">'Value Reference Tables - MR'!$O$112</definedName>
    <definedName name="wld_az1_rack3_vmotion_pool_end_ip">'Value Reference Tables - MR'!$O$150</definedName>
    <definedName name="wld_az1_rack3_vmotion_pool_start_ip">'Value Reference Tables - MR'!$O$149</definedName>
    <definedName name="wld_az1_rack3_vmotion_vlan">'Value Reference Tables - MR'!$O$10</definedName>
    <definedName name="wld_az1_rack3_vrms_cidr">'Value Reference Tables - MR'!$O$34</definedName>
    <definedName name="wld_az1_rack3_vrms_gateway_ip">'Value Reference Tables - MR'!$O$96</definedName>
    <definedName name="wld_az1_rack3_vrms_mtu">'Value Reference Tables - MR'!$O$80</definedName>
    <definedName name="wld_az1_rack3_vrms_vlan">'Value Reference Tables - MR'!$O$19</definedName>
    <definedName name="wld_az1_rack3_vsan_fault_domain">'Value Reference Tables - MR'!$O$174</definedName>
    <definedName name="wld_az1_rack4_child_dns_zone">'Value Reference Tables - MR'!#REF!</definedName>
    <definedName name="wld_az1_rack4_edge_overlay_cidr">'Value Reference Tables - MR'!$R$32</definedName>
    <definedName name="wld_az1_rack4_edge_overlay_gateway_ip">'Value Reference Tables - MR'!$R$94</definedName>
    <definedName name="wld_az1_rack4_edge_overlay_mask">'Value Reference Tables - MR'!$R$62</definedName>
    <definedName name="wld_az1_rack4_edge_overlay_mtu">'Value Reference Tables - MR'!$R$78</definedName>
    <definedName name="wld_az1_rack4_edge_overlay_network">'Value Reference Tables - MR'!$R$47</definedName>
    <definedName name="wld_az1_rack4_edge_overlay_network_pool_name">'Value Reference Tables - MR'!$R$172</definedName>
    <definedName name="wld_az1_rack4_edge_overlay_pool_end_ip">'Value Reference Tables - MR'!$R$160</definedName>
    <definedName name="wld_az1_rack4_edge_overlay_pool_start_ip">'Value Reference Tables - MR'!$R$159</definedName>
    <definedName name="wld_az1_rack4_edge_overlay_vlan">'Value Reference Tables - MR'!$R$17</definedName>
    <definedName name="wld_az1_rack4_en1_edge_overlay_interface_ip_1_ip">'Value Reference Tables - MR'!$R$244</definedName>
    <definedName name="wld_az1_rack4_en1_edge_overlay_interface_ip_2_ip">'Value Reference Tables - MR'!$R$245</definedName>
    <definedName name="wld_az1_rack4_en1_fqdn">'Value Reference Tables - MR'!$R$240</definedName>
    <definedName name="wld_az1_rack4_en1_hostname">'Value Reference Tables - MR'!$R$239</definedName>
    <definedName name="wld_az1_rack4_en1_mgmt_ip">'Value Reference Tables - MR'!$R$241</definedName>
    <definedName name="wld_az1_rack4_en1_uplink01_interface_ip">'Value Reference Tables - MR'!$R$242</definedName>
    <definedName name="wld_az1_rack4_en1_uplink02_interface_ip">'Value Reference Tables - MR'!$R$243</definedName>
    <definedName name="wld_az1_rack4_en2_fqdn">'Value Reference Tables - MR'!$R$250</definedName>
    <definedName name="wld_az1_rack4_en2_hostname">'Value Reference Tables - MR'!$R$249</definedName>
    <definedName name="wld_az1_rack4_en2_mgmt_ip">'Value Reference Tables - MR'!$R$251</definedName>
    <definedName name="wld_az1_rack4_en2_uplink01_interface_ip">'Value Reference Tables - MR'!$R$252</definedName>
    <definedName name="wld_az1_rack4_en2_uplink02_interface_ip">'Value Reference Tables - MR'!$R$253</definedName>
    <definedName name="wld_az1_rack4_host_fqdns">'Value Reference Tables - MR'!$R$221:$R$236</definedName>
    <definedName name="wld_az1_rack4_host_hostnames">'Value Reference Tables - MR'!$R$202:$R$217</definedName>
    <definedName name="wld_az1_rack4_host_mgmt_ips">'Value Reference Tables - MR'!$R$183:$R$198</definedName>
    <definedName name="wld_az1_rack4_host_overlay_cidr">'Value Reference Tables - MR'!$R$27</definedName>
    <definedName name="wld_az1_rack4_host_overlay_gateway_ip">'Value Reference Tables - MR'!$R$89</definedName>
    <definedName name="wld_az1_rack4_host_overlay_mask">'Value Reference Tables - MR'!$R$57</definedName>
    <definedName name="wld_az1_rack4_host_overlay_mtu">'Value Reference Tables - MR'!$R$73</definedName>
    <definedName name="wld_az1_rack4_host_overlay_network">'Value Reference Tables - MR'!$R$42</definedName>
    <definedName name="wld_az1_rack4_host_overlay_network_pool_name">'Value Reference Tables - MR'!$R$169</definedName>
    <definedName name="wld_az1_rack4_host_overlay_network_profile_name">'Value Reference Tables - MR'!$R$167</definedName>
    <definedName name="wld_az1_rack4_host_overlay_new_pool_chosen">'Additional Racks'!$D$265</definedName>
    <definedName name="wld_az1_rack4_host_overlay_pool_end_ip">'Value Reference Tables - MR'!$R$154</definedName>
    <definedName name="wld_az1_rack4_host_overlay_pool_start_ip">'Value Reference Tables - MR'!$R$153</definedName>
    <definedName name="wld_az1_rack4_host_overlay_uplink_profile_name">'Value Reference Tables - MR'!$R$171</definedName>
    <definedName name="wld_az1_rack4_host_overlay_vlan">'Value Reference Tables - MR'!$R$12</definedName>
    <definedName name="wld_az1_rack4_host1_fqdn">'Value Reference Tables - MR'!$R$221</definedName>
    <definedName name="wld_az1_rack4_host1_hostname">'Value Reference Tables - MR'!$R$202</definedName>
    <definedName name="wld_az1_rack4_host1_mgmt_ip">'Value Reference Tables - MR'!$R$183</definedName>
    <definedName name="wld_az1_rack4_host10_fqdn">'Value Reference Tables - MR'!$R$230</definedName>
    <definedName name="wld_az1_rack4_host10_hostname">'Value Reference Tables - MR'!$R$211</definedName>
    <definedName name="wld_az1_rack4_host10_mgmt_ip">'Value Reference Tables - MR'!$R$192</definedName>
    <definedName name="wld_az1_rack4_host11_fqdn">'Value Reference Tables - MR'!$R$231</definedName>
    <definedName name="wld_az1_rack4_host11_hostname">'Value Reference Tables - MR'!$R$212</definedName>
    <definedName name="wld_az1_rack4_host11_mgmt_ip">'Value Reference Tables - MR'!$R$193</definedName>
    <definedName name="wld_az1_rack4_host12_fqdn">'Value Reference Tables - MR'!$R$232</definedName>
    <definedName name="wld_az1_rack4_host12_hostname">'Value Reference Tables - MR'!$R$213</definedName>
    <definedName name="wld_az1_rack4_host12_mgmt_ip">'Value Reference Tables - MR'!$R$194</definedName>
    <definedName name="wld_az1_rack4_host13_fqdn">'Value Reference Tables - MR'!$R$233</definedName>
    <definedName name="wld_az1_rack4_host13_hostname">'Value Reference Tables - MR'!$R$214</definedName>
    <definedName name="wld_az1_rack4_host13_mgmt_ip">'Value Reference Tables - MR'!$R$195</definedName>
    <definedName name="wld_az1_rack4_host14_fqdn">'Value Reference Tables - MR'!$R$234</definedName>
    <definedName name="wld_az1_rack4_host14_hostname">'Value Reference Tables - MR'!$R$215</definedName>
    <definedName name="wld_az1_rack4_host14_mgmt_ip">'Value Reference Tables - MR'!$R$196</definedName>
    <definedName name="wld_az1_rack4_host15_fqdn">'Value Reference Tables - MR'!$R$235</definedName>
    <definedName name="wld_az1_rack4_host15_hostname">'Value Reference Tables - MR'!$R$216</definedName>
    <definedName name="wld_az1_rack4_host15_mgmt_ip">'Value Reference Tables - MR'!$R$197</definedName>
    <definedName name="wld_az1_rack4_host16_fqdn">'Value Reference Tables - MR'!$R$236</definedName>
    <definedName name="wld_az1_rack4_host16_hostname">'Value Reference Tables - MR'!$R$217</definedName>
    <definedName name="wld_az1_rack4_host16_mgmt_ip">'Value Reference Tables - MR'!$R$198</definedName>
    <definedName name="wld_az1_rack4_host2_fqdn">'Value Reference Tables - MR'!$R$222</definedName>
    <definedName name="wld_az1_rack4_host2_hostname">'Value Reference Tables - MR'!$R$203</definedName>
    <definedName name="wld_az1_rack4_host2_mgmt_ip">'Value Reference Tables - MR'!$R$184</definedName>
    <definedName name="wld_az1_rack4_host3_fqdn">'Value Reference Tables - MR'!$R$223</definedName>
    <definedName name="wld_az1_rack4_host3_hostname">'Value Reference Tables - MR'!$R$204</definedName>
    <definedName name="wld_az1_rack4_host3_mgmt_ip">'Value Reference Tables - MR'!$R$185</definedName>
    <definedName name="wld_az1_rack4_host4_fqdn">'Value Reference Tables - MR'!$R$224</definedName>
    <definedName name="wld_az1_rack4_host4_hostname">'Value Reference Tables - MR'!$R$205</definedName>
    <definedName name="wld_az1_rack4_host4_mgmt_ip">'Value Reference Tables - MR'!$R$186</definedName>
    <definedName name="wld_az1_rack4_host5_fqdn">'Value Reference Tables - MR'!$R$225</definedName>
    <definedName name="wld_az1_rack4_host5_hostname">'Value Reference Tables - MR'!$R$206</definedName>
    <definedName name="wld_az1_rack4_host5_mgmt_ip">'Value Reference Tables - MR'!$R$187</definedName>
    <definedName name="wld_az1_rack4_host6_fqdn">'Value Reference Tables - MR'!$R$226</definedName>
    <definedName name="wld_az1_rack4_host6_hostname">'Value Reference Tables - MR'!$R$207</definedName>
    <definedName name="wld_az1_rack4_host6_mgmt_ip">'Value Reference Tables - MR'!$R$188</definedName>
    <definedName name="wld_az1_rack4_host7_fqdn">'Value Reference Tables - MR'!$R$227</definedName>
    <definedName name="wld_az1_rack4_host7_hostname">'Value Reference Tables - MR'!$R$208</definedName>
    <definedName name="wld_az1_rack4_host7_mgmt_ip">'Value Reference Tables - MR'!$R$189</definedName>
    <definedName name="wld_az1_rack4_host8_fqdn">'Value Reference Tables - MR'!$R$228</definedName>
    <definedName name="wld_az1_rack4_host8_hostname">'Value Reference Tables - MR'!$R$209</definedName>
    <definedName name="wld_az1_rack4_host8_mgmt_ip">'Value Reference Tables - MR'!$R$190</definedName>
    <definedName name="wld_az1_rack4_host9_fqdn">'Value Reference Tables - MR'!$R$229</definedName>
    <definedName name="wld_az1_rack4_host9_hostname">'Value Reference Tables - MR'!$R$210</definedName>
    <definedName name="wld_az1_rack4_host9_mgmt_ip">'Value Reference Tables - MR'!$R$191</definedName>
    <definedName name="wld_az1_rack4_mgmt_cidr">'Value Reference Tables - MR'!$R$24</definedName>
    <definedName name="wld_az1_rack4_mgmt_gateway_ip">'Value Reference Tables - MR'!$R$86</definedName>
    <definedName name="wld_az1_rack4_mgmt_mask">'Value Reference Tables - MR'!$R$179</definedName>
    <definedName name="wld_az1_rack4_mgmt_mtu">'Value Reference Tables - MR'!$R$70</definedName>
    <definedName name="wld_az1_rack4_mgmt_network">'Value Reference Tables - MR'!$R$39</definedName>
    <definedName name="wld_az1_rack4_mgmt_pg">'Value Reference Tables - MR'!$R$111</definedName>
    <definedName name="wld_az1_rack4_mgmt_vlan">'Value Reference Tables - MR'!$R$9</definedName>
    <definedName name="wld_az1_rack4_mgmt_vm_cidr">'Value Reference Tables - MR'!$R$23</definedName>
    <definedName name="wld_az1_rack4_mgmt_vm_gateway_ip">'Value Reference Tables - MR'!$R$85</definedName>
    <definedName name="wld_az1_rack4_mgmt_vm_mask">'Value Reference Tables - MR'!$R$178</definedName>
    <definedName name="wld_az1_rack4_mgmt_vm_mtu">'Value Reference Tables - MR'!$R$69</definedName>
    <definedName name="wld_az1_rack4_mgmt_vm_pg">'Value Reference Tables - MR'!$R$110</definedName>
    <definedName name="wld_az1_rack4_mgmt_vm_vlan">'Value Reference Tables - MR'!$R$8</definedName>
    <definedName name="wld_az1_rack4_pool_name">'Value Reference Tables - MR'!$R$166</definedName>
    <definedName name="wld_az1_rack4_principal_storage_cidr">'Value Reference Tables - MR'!$R$26</definedName>
    <definedName name="wld_az1_rack4_principal_storage_gateway_ip">'Value Reference Tables - MR'!$R$88</definedName>
    <definedName name="wld_az1_rack4_principal_storage_mask">'Value Reference Tables - MR'!$R$56</definedName>
    <definedName name="wld_az1_rack4_principal_storage_mtu">'Value Reference Tables - MR'!$R$72</definedName>
    <definedName name="wld_az1_rack4_principal_storage_network">'Value Reference Tables - MR'!$R$41</definedName>
    <definedName name="wld_az1_rack4_principal_storage_pg">'Value Reference Tables - MR'!$R$113</definedName>
    <definedName name="wld_az1_rack4_principal_storage_pool_end_ip">'Value Reference Tables - MR'!$R$152</definedName>
    <definedName name="wld_az1_rack4_principal_storage_pool_start_ip">'Value Reference Tables - MR'!$R$151</definedName>
    <definedName name="wld_az1_rack4_principal_storage_vlan">'Value Reference Tables - MR'!$R$11</definedName>
    <definedName name="wld_az1_rack4_reuse_vcf_networkpool_chosen">'Additional Racks'!$D$219</definedName>
    <definedName name="wld_az1_rack4_rtep_ip_pool_name">'Value Reference Tables - MR'!$R$173</definedName>
    <definedName name="wld_az1_rack4_rtep_overlay_cidr">'Value Reference Tables - MR'!$R$33</definedName>
    <definedName name="wld_az1_rack4_rtep_overlay_gateway_ip">'Value Reference Tables - MR'!$R$95</definedName>
    <definedName name="wld_az1_rack4_rtep_overlay_mtu">'Value Reference Tables - MR'!$R$79</definedName>
    <definedName name="wld_az1_rack4_rtep_overlay_pool_end_ip">'Value Reference Tables - MR'!$R$162</definedName>
    <definedName name="wld_az1_rack4_rtep_overlay_pool_start_ip">'Value Reference Tables - MR'!$R$161</definedName>
    <definedName name="wld_az1_rack4_rtep_overlay_vlan">'Value Reference Tables - MR'!$R$18</definedName>
    <definedName name="wld_az1_rack4_secondary_storage_cidr">'Value Reference Tables - MR'!$R$28</definedName>
    <definedName name="wld_az1_rack4_secondary_storage_gateway_ip">'Value Reference Tables - MR'!$R$90</definedName>
    <definedName name="wld_az1_rack4_secondary_storage_mask">'Value Reference Tables - MR'!$R$58</definedName>
    <definedName name="wld_az1_rack4_secondary_storage_mtu">'Value Reference Tables - MR'!$R$74</definedName>
    <definedName name="wld_az1_rack4_secondary_storage_network">'Value Reference Tables - MR'!$R$44</definedName>
    <definedName name="wld_az1_rack4_secondary_storage_pool_end_ip">'Value Reference Tables - MR'!$R$156</definedName>
    <definedName name="wld_az1_rack4_secondary_storage_pool_start_ip">'Value Reference Tables - MR'!$R$155</definedName>
    <definedName name="wld_az1_rack4_secondary_storage_vlan">'Value Reference Tables - MR'!$R$13</definedName>
    <definedName name="wld_az1_rack4_tor1_peer_asn">'Value Reference Tables - MR'!$R$102</definedName>
    <definedName name="wld_az1_rack4_tor1_peer_bgp_password">'Value Reference Tables - MR'!$R$103</definedName>
    <definedName name="wld_az1_rack4_tor1_peer_ip">'Value Reference Tables - MR'!$R$101</definedName>
    <definedName name="wld_az1_rack4_tor2_peer_asn">'Value Reference Tables - MR'!$R$105</definedName>
    <definedName name="wld_az1_rack4_tor2_peer_bgp_password">'Value Reference Tables - MR'!$R$106</definedName>
    <definedName name="wld_az1_rack4_tor2_peer_ip">'Value Reference Tables - MR'!$R$104</definedName>
    <definedName name="wld_az1_rack4_uplink01_cidr">'Value Reference Tables - MR'!$R$30</definedName>
    <definedName name="wld_az1_rack4_uplink01_gateway_ip">'Value Reference Tables - MR'!$R$92</definedName>
    <definedName name="wld_az1_rack4_uplink01_mask">'Value Reference Tables - MR'!$R$60</definedName>
    <definedName name="wld_az1_rack4_uplink01_mtu">'Value Reference Tables - MR'!$R$76</definedName>
    <definedName name="wld_az1_rack4_uplink01_network">'Value Reference Tables - MR'!$R$45</definedName>
    <definedName name="wld_az1_rack4_uplink01_pg">'Value Reference Tables - MR'!$R$114</definedName>
    <definedName name="wld_az1_rack4_uplink01_vlan">'Value Reference Tables - MR'!$R$15</definedName>
    <definedName name="wld_az1_rack4_uplink02_cidr">'Value Reference Tables - MR'!$R$31</definedName>
    <definedName name="wld_az1_rack4_uplink02_gateway_ip">'Value Reference Tables - MR'!$R$93</definedName>
    <definedName name="wld_az1_rack4_uplink02_mask">'Value Reference Tables - MR'!$R$61</definedName>
    <definedName name="wld_az1_rack4_uplink02_mtu">'Value Reference Tables - MR'!$R$77</definedName>
    <definedName name="wld_az1_rack4_uplink02_network">'Value Reference Tables - MR'!$R$46</definedName>
    <definedName name="wld_az1_rack4_uplink02_pg">'Value Reference Tables - MR'!$R$115</definedName>
    <definedName name="wld_az1_rack4_uplink02_vlan">'Value Reference Tables - MR'!$R$16</definedName>
    <definedName name="wld_az1_rack4_vmotion_cidr">'Value Reference Tables - MR'!$R$25</definedName>
    <definedName name="wld_az1_rack4_vmotion_gateway_ip">'Value Reference Tables - MR'!$R$87</definedName>
    <definedName name="wld_az1_rack4_vmotion_mask">'Value Reference Tables - MR'!$R$55</definedName>
    <definedName name="wld_az1_rack4_vmotion_mtu">'Value Reference Tables - MR'!$R$71</definedName>
    <definedName name="wld_az1_rack4_vmotion_network">'Value Reference Tables - MR'!$R$40</definedName>
    <definedName name="wld_az1_rack4_vmotion_pg">'Value Reference Tables - MR'!$R$112</definedName>
    <definedName name="wld_az1_rack4_vmotion_pool_end_ip">'Value Reference Tables - MR'!$R$150</definedName>
    <definedName name="wld_az1_rack4_vmotion_pool_start_ip">'Value Reference Tables - MR'!$R$149</definedName>
    <definedName name="wld_az1_rack4_vmotion_vlan">'Value Reference Tables - MR'!$R$10</definedName>
    <definedName name="wld_az1_rack4_vrms_cidr">'Value Reference Tables - MR'!$R$34</definedName>
    <definedName name="wld_az1_rack4_vrms_gateway_ip">'Value Reference Tables - MR'!$R$96</definedName>
    <definedName name="wld_az1_rack4_vrms_mtu">'Value Reference Tables - MR'!$R$80</definedName>
    <definedName name="wld_az1_rack4_vrms_vlan">'Value Reference Tables - MR'!$R$19</definedName>
    <definedName name="wld_az1_rack4_vsan_fault_domain">'Value Reference Tables - MR'!$R$174</definedName>
    <definedName name="wld_az1_rack5_child_dns_zone">'Value Reference Tables - MR'!#REF!</definedName>
    <definedName name="wld_az1_rack5_edge_overlay_cidr">'Value Reference Tables - MR'!$U$32</definedName>
    <definedName name="wld_az1_rack5_edge_overlay_gateway_ip">'Value Reference Tables - MR'!$U$94</definedName>
    <definedName name="wld_az1_rack5_edge_overlay_mask">'Value Reference Tables - MR'!$U$62</definedName>
    <definedName name="wld_az1_rack5_edge_overlay_mtu">'Value Reference Tables - MR'!$U$78</definedName>
    <definedName name="wld_az1_rack5_edge_overlay_network">'Value Reference Tables - MR'!$U$47</definedName>
    <definedName name="wld_az1_rack5_edge_overlay_network_pool_name">'Value Reference Tables - MR'!$U$172</definedName>
    <definedName name="wld_az1_rack5_edge_overlay_pool_end_ip">'Value Reference Tables - MR'!$U$160</definedName>
    <definedName name="wld_az1_rack5_edge_overlay_pool_start_ip">'Value Reference Tables - MR'!$U$159</definedName>
    <definedName name="wld_az1_rack5_edge_overlay_vlan">'Value Reference Tables - MR'!$U$17</definedName>
    <definedName name="wld_az1_rack5_en1_edge_overlay_interface_ip_1_ip">'Value Reference Tables - MR'!$U$244</definedName>
    <definedName name="wld_az1_rack5_en1_edge_overlay_interface_ip_2_ip">'Value Reference Tables - MR'!$U$245</definedName>
    <definedName name="wld_az1_rack5_en1_fqdn">'Value Reference Tables - MR'!$U$240</definedName>
    <definedName name="wld_az1_rack5_en1_hostname">'Value Reference Tables - MR'!$U$239</definedName>
    <definedName name="wld_az1_rack5_en1_mgmt_ip">'Value Reference Tables - MR'!$U$241</definedName>
    <definedName name="wld_az1_rack5_en1_uplink01_interface_ip">'Value Reference Tables - MR'!$U$242</definedName>
    <definedName name="wld_az1_rack5_en1_uplink02_interface_ip">'Value Reference Tables - MR'!$U$243</definedName>
    <definedName name="wld_az1_rack5_en2_fqdn">'Value Reference Tables - MR'!$U$250</definedName>
    <definedName name="wld_az1_rack5_en2_hostname">'Value Reference Tables - MR'!$U$249</definedName>
    <definedName name="wld_az1_rack5_en2_mgmt_ip">'Value Reference Tables - MR'!$U$251</definedName>
    <definedName name="wld_az1_rack5_en2_uplink01_interface_ip">'Value Reference Tables - MR'!$U$252</definedName>
    <definedName name="wld_az1_rack5_en2_uplink02_interface_ip">'Value Reference Tables - MR'!$U$253</definedName>
    <definedName name="wld_az1_rack5_host_fqdns">'Value Reference Tables - MR'!$U$221:$U$236</definedName>
    <definedName name="wld_az1_rack5_host_hostnames">'Value Reference Tables - MR'!$U$202:$U$217</definedName>
    <definedName name="wld_az1_rack5_host_mgmt_ips">'Value Reference Tables - MR'!$U$183:$U$198</definedName>
    <definedName name="wld_az1_rack5_host_overlay_cidr">'Value Reference Tables - MR'!$U$27</definedName>
    <definedName name="wld_az1_rack5_host_overlay_gateway_ip">'Value Reference Tables - MR'!$U$89</definedName>
    <definedName name="wld_az1_rack5_host_overlay_mask">'Value Reference Tables - MR'!$U$57</definedName>
    <definedName name="wld_az1_rack5_host_overlay_mtu">'Value Reference Tables - MR'!$U$73</definedName>
    <definedName name="wld_az1_rack5_host_overlay_network">'Value Reference Tables - MR'!$U$42</definedName>
    <definedName name="wld_az1_rack5_host_overlay_network_pool_name">'Value Reference Tables - MR'!$U$169</definedName>
    <definedName name="wld_az1_rack5_host_overlay_network_profile_name">'Value Reference Tables - MR'!$U$167</definedName>
    <definedName name="wld_az1_rack5_host_overlay_new_pool_chosen">'Additional Racks'!$D$358</definedName>
    <definedName name="wld_az1_rack5_host_overlay_pool_end_ip">'Value Reference Tables - MR'!$U$154</definedName>
    <definedName name="wld_az1_rack5_host_overlay_pool_start_ip">'Value Reference Tables - MR'!$U$153</definedName>
    <definedName name="wld_az1_rack5_host_overlay_uplink_profile_name">'Value Reference Tables - MR'!$U$171</definedName>
    <definedName name="wld_az1_rack5_host_overlay_vlan">'Value Reference Tables - MR'!$U$12</definedName>
    <definedName name="wld_az1_rack5_host1_fqdn">'Value Reference Tables - MR'!$U$221</definedName>
    <definedName name="wld_az1_rack5_host1_hostname">'Value Reference Tables - MR'!$U$202</definedName>
    <definedName name="wld_az1_rack5_host1_mgmt_ip">'Value Reference Tables - MR'!$U$183</definedName>
    <definedName name="wld_az1_rack5_host10_fqdn">'Value Reference Tables - MR'!$U$230</definedName>
    <definedName name="wld_az1_rack5_host10_hostname">'Value Reference Tables - MR'!$U$211</definedName>
    <definedName name="wld_az1_rack5_host10_mgmt_ip">'Value Reference Tables - MR'!$U$192</definedName>
    <definedName name="wld_az1_rack5_host11_fqdn">'Value Reference Tables - MR'!$U$231</definedName>
    <definedName name="wld_az1_rack5_host11_hostname">'Value Reference Tables - MR'!$U$212</definedName>
    <definedName name="wld_az1_rack5_host11_mgmt_ip">'Value Reference Tables - MR'!$U$193</definedName>
    <definedName name="wld_az1_rack5_host12_fqdn">'Value Reference Tables - MR'!$U$232</definedName>
    <definedName name="wld_az1_rack5_host12_hostname">'Value Reference Tables - MR'!$U$213</definedName>
    <definedName name="wld_az1_rack5_host12_mgmt_ip">'Value Reference Tables - MR'!$U$194</definedName>
    <definedName name="wld_az1_rack5_host13_fqdn">'Value Reference Tables - MR'!$U$233</definedName>
    <definedName name="wld_az1_rack5_host13_hostname">'Value Reference Tables - MR'!$U$214</definedName>
    <definedName name="wld_az1_rack5_host13_mgmt_ip">'Value Reference Tables - MR'!$U$195</definedName>
    <definedName name="wld_az1_rack5_host14_fqdn">'Value Reference Tables - MR'!$U$234</definedName>
    <definedName name="wld_az1_rack5_host14_hostname">'Value Reference Tables - MR'!$U$215</definedName>
    <definedName name="wld_az1_rack5_host14_mgmt_ip">'Value Reference Tables - MR'!$U$196</definedName>
    <definedName name="wld_az1_rack5_host15_fqdn">'Value Reference Tables - MR'!$U$235</definedName>
    <definedName name="wld_az1_rack5_host15_hostname">'Value Reference Tables - MR'!$U$216</definedName>
    <definedName name="wld_az1_rack5_host15_mgmt_ip">'Value Reference Tables - MR'!$U$197</definedName>
    <definedName name="wld_az1_rack5_host16_fqdn">'Value Reference Tables - MR'!$U$236</definedName>
    <definedName name="wld_az1_rack5_host16_hostname">'Value Reference Tables - MR'!$U$217</definedName>
    <definedName name="wld_az1_rack5_host16_mgmt_ip">'Value Reference Tables - MR'!$U$198</definedName>
    <definedName name="wld_az1_rack5_host2_fqdn">'Value Reference Tables - MR'!$U$222</definedName>
    <definedName name="wld_az1_rack5_host2_hostname">'Value Reference Tables - MR'!$U$203</definedName>
    <definedName name="wld_az1_rack5_host2_mgmt_ip">'Value Reference Tables - MR'!$U$184</definedName>
    <definedName name="wld_az1_rack5_host3_fqdn">'Value Reference Tables - MR'!$U$223</definedName>
    <definedName name="wld_az1_rack5_host3_hostname">'Value Reference Tables - MR'!$U$204</definedName>
    <definedName name="wld_az1_rack5_host3_mgmt_ip">'Value Reference Tables - MR'!$U$185</definedName>
    <definedName name="wld_az1_rack5_host4_fqdn">'Value Reference Tables - MR'!$U$224</definedName>
    <definedName name="wld_az1_rack5_host4_hostname">'Value Reference Tables - MR'!$U$205</definedName>
    <definedName name="wld_az1_rack5_host4_mgmt_ip">'Value Reference Tables - MR'!$U$186</definedName>
    <definedName name="wld_az1_rack5_host5_fqdn">'Value Reference Tables - MR'!$U$225</definedName>
    <definedName name="wld_az1_rack5_host5_hostname">'Value Reference Tables - MR'!$U$206</definedName>
    <definedName name="wld_az1_rack5_host5_mgmt_ip">'Value Reference Tables - MR'!$U$187</definedName>
    <definedName name="wld_az1_rack5_host6_fqdn">'Value Reference Tables - MR'!$U$226</definedName>
    <definedName name="wld_az1_rack5_host6_hostname">'Value Reference Tables - MR'!$U$207</definedName>
    <definedName name="wld_az1_rack5_host6_mgmt_ip">'Value Reference Tables - MR'!$U$188</definedName>
    <definedName name="wld_az1_rack5_host7_fqdn">'Value Reference Tables - MR'!$U$227</definedName>
    <definedName name="wld_az1_rack5_host7_hostname">'Value Reference Tables - MR'!$U$208</definedName>
    <definedName name="wld_az1_rack5_host7_mgmt_ip">'Value Reference Tables - MR'!$U$189</definedName>
    <definedName name="wld_az1_rack5_host8_fqdn">'Value Reference Tables - MR'!$U$228</definedName>
    <definedName name="wld_az1_rack5_host8_hostname">'Value Reference Tables - MR'!$U$209</definedName>
    <definedName name="wld_az1_rack5_host8_mgmt_ip">'Value Reference Tables - MR'!$U$190</definedName>
    <definedName name="wld_az1_rack5_host9_fqdn">'Value Reference Tables - MR'!$U$229</definedName>
    <definedName name="wld_az1_rack5_host9_hostname">'Value Reference Tables - MR'!$U$210</definedName>
    <definedName name="wld_az1_rack5_host9_mgmt_ip">'Value Reference Tables - MR'!$U$191</definedName>
    <definedName name="wld_az1_rack5_mgmt_cidr">'Value Reference Tables - MR'!$U$24</definedName>
    <definedName name="wld_az1_rack5_mgmt_gateway_ip">'Value Reference Tables - MR'!$U$86</definedName>
    <definedName name="wld_az1_rack5_mgmt_mask">'Value Reference Tables - MR'!$U$179</definedName>
    <definedName name="wld_az1_rack5_mgmt_mtu">'Value Reference Tables - MR'!$U$70</definedName>
    <definedName name="wld_az1_rack5_mgmt_network">'Value Reference Tables - MR'!$U$39</definedName>
    <definedName name="wld_az1_rack5_mgmt_pg">'Value Reference Tables - MR'!$U$111</definedName>
    <definedName name="wld_az1_rack5_mgmt_vlan">'Value Reference Tables - MR'!$U$9</definedName>
    <definedName name="wld_az1_rack5_mgmt_vm_cidr">'Value Reference Tables - MR'!$U$23</definedName>
    <definedName name="wld_az1_rack5_mgmt_vm_gateway_ip">'Value Reference Tables - MR'!$U$85</definedName>
    <definedName name="wld_az1_rack5_mgmt_vm_mask">'Value Reference Tables - MR'!$U$178</definedName>
    <definedName name="wld_az1_rack5_mgmt_vm_mtu">'Value Reference Tables - MR'!$U$69</definedName>
    <definedName name="wld_az1_rack5_mgmt_vm_pg">'Value Reference Tables - MR'!$U$110</definedName>
    <definedName name="wld_az1_rack5_mgmt_vm_vlan">'Value Reference Tables - MR'!$U$8</definedName>
    <definedName name="wld_az1_rack5_pool_name">'Value Reference Tables - MR'!$U$166</definedName>
    <definedName name="wld_az1_rack5_principal_storage_cidr">'Value Reference Tables - MR'!$U$26</definedName>
    <definedName name="wld_az1_rack5_principal_storage_gateway_ip">'Value Reference Tables - MR'!$U$88</definedName>
    <definedName name="wld_az1_rack5_principal_storage_mask">'Value Reference Tables - MR'!$U$56</definedName>
    <definedName name="wld_az1_rack5_principal_storage_mtu">'Value Reference Tables - MR'!$U$72</definedName>
    <definedName name="wld_az1_rack5_principal_storage_network">'Value Reference Tables - MR'!$U$41</definedName>
    <definedName name="wld_az1_rack5_principal_storage_pg">'Value Reference Tables - MR'!$U$113</definedName>
    <definedName name="wld_az1_rack5_principal_storage_pool_end_ip">'Value Reference Tables - MR'!$U$152</definedName>
    <definedName name="wld_az1_rack5_principal_storage_pool_start_ip">'Value Reference Tables - MR'!$U$151</definedName>
    <definedName name="wld_az1_rack5_principal_storage_vlan">'Value Reference Tables - MR'!$U$11</definedName>
    <definedName name="wld_az1_rack5_reuse_vcf_networkpool_chosen">'Additional Racks'!$D$312</definedName>
    <definedName name="wld_az1_rack5_rtep_ip_pool_name">'Value Reference Tables - MR'!$U$173</definedName>
    <definedName name="wld_az1_rack5_rtep_overlay_cidr">'Value Reference Tables - MR'!$U$33</definedName>
    <definedName name="wld_az1_rack5_rtep_overlay_gateway_ip">'Value Reference Tables - MR'!$U$95</definedName>
    <definedName name="wld_az1_rack5_rtep_overlay_mtu">'Value Reference Tables - MR'!$U$79</definedName>
    <definedName name="wld_az1_rack5_rtep_overlay_pool_end_ip">'Value Reference Tables - MR'!$U$162</definedName>
    <definedName name="wld_az1_rack5_rtep_overlay_pool_start_ip">'Value Reference Tables - MR'!$U$161</definedName>
    <definedName name="wld_az1_rack5_rtep_overlay_vlan">'Value Reference Tables - MR'!$U$18</definedName>
    <definedName name="wld_az1_rack5_secondary_storage_cidr">'Value Reference Tables - MR'!$U$28</definedName>
    <definedName name="wld_az1_rack5_secondary_storage_gateway_ip">'Value Reference Tables - MR'!$U$90</definedName>
    <definedName name="wld_az1_rack5_secondary_storage_mask">'Value Reference Tables - MR'!$U$58</definedName>
    <definedName name="wld_az1_rack5_secondary_storage_mtu">'Value Reference Tables - MR'!$U$74</definedName>
    <definedName name="wld_az1_rack5_secondary_storage_network">'Value Reference Tables - MR'!$U$44</definedName>
    <definedName name="wld_az1_rack5_secondary_storage_pool_end_ip">'Value Reference Tables - MR'!$U$156</definedName>
    <definedName name="wld_az1_rack5_secondary_storage_pool_start_ip">'Value Reference Tables - MR'!$U$155</definedName>
    <definedName name="wld_az1_rack5_secondary_storage_vlan">'Value Reference Tables - MR'!$U$13</definedName>
    <definedName name="wld_az1_rack5_tor1_peer_asn">'Value Reference Tables - MR'!$U$102</definedName>
    <definedName name="wld_az1_rack5_tor1_peer_bgp_password">'Value Reference Tables - MR'!$U$103</definedName>
    <definedName name="wld_az1_rack5_tor1_peer_ip">'Value Reference Tables - MR'!$U$101</definedName>
    <definedName name="wld_az1_rack5_tor2_peer_asn">'Value Reference Tables - MR'!$U$105</definedName>
    <definedName name="wld_az1_rack5_tor2_peer_bgp_password">'Value Reference Tables - MR'!$U$106</definedName>
    <definedName name="wld_az1_rack5_tor2_peer_ip">'Value Reference Tables - MR'!$U$104</definedName>
    <definedName name="wld_az1_rack5_uplink01_cidr">'Value Reference Tables - MR'!$U$30</definedName>
    <definedName name="wld_az1_rack5_uplink01_gateway_ip">'Value Reference Tables - MR'!$U$92</definedName>
    <definedName name="wld_az1_rack5_uplink01_mask">'Value Reference Tables - MR'!$U$60</definedName>
    <definedName name="wld_az1_rack5_uplink01_mtu">'Value Reference Tables - MR'!$U$76</definedName>
    <definedName name="wld_az1_rack5_uplink01_network">'Value Reference Tables - MR'!$U$45</definedName>
    <definedName name="wld_az1_rack5_uplink01_pg">'Value Reference Tables - MR'!$U$114</definedName>
    <definedName name="wld_az1_rack5_uplink01_vlan">'Value Reference Tables - MR'!$U$15</definedName>
    <definedName name="wld_az1_rack5_uplink02_cidr">'Value Reference Tables - MR'!$U$31</definedName>
    <definedName name="wld_az1_rack5_uplink02_gateway_ip">'Value Reference Tables - MR'!$U$93</definedName>
    <definedName name="wld_az1_rack5_uplink02_mask">'Value Reference Tables - MR'!$U$61</definedName>
    <definedName name="wld_az1_rack5_uplink02_mtu">'Value Reference Tables - MR'!$U$77</definedName>
    <definedName name="wld_az1_rack5_uplink02_network">'Value Reference Tables - MR'!$U$46</definedName>
    <definedName name="wld_az1_rack5_uplink02_pg">'Value Reference Tables - MR'!$U$115</definedName>
    <definedName name="wld_az1_rack5_uplink02_vlan">'Value Reference Tables - MR'!$U$16</definedName>
    <definedName name="wld_az1_rack5_vmotion_cidr">'Value Reference Tables - MR'!$U$25</definedName>
    <definedName name="wld_az1_rack5_vmotion_gateway_ip">'Value Reference Tables - MR'!$U$87</definedName>
    <definedName name="wld_az1_rack5_vmotion_mask">'Value Reference Tables - MR'!$U$55</definedName>
    <definedName name="wld_az1_rack5_vmotion_mtu">'Value Reference Tables - MR'!$U$71</definedName>
    <definedName name="wld_az1_rack5_vmotion_network">'Value Reference Tables - MR'!$U$40</definedName>
    <definedName name="wld_az1_rack5_vmotion_pg">'Value Reference Tables - MR'!$U$112</definedName>
    <definedName name="wld_az1_rack5_vmotion_pool_end_ip">'Value Reference Tables - MR'!$U$150</definedName>
    <definedName name="wld_az1_rack5_vmotion_pool_start_ip">'Value Reference Tables - MR'!$U$149</definedName>
    <definedName name="wld_az1_rack5_vmotion_vlan">'Value Reference Tables - MR'!$U$10</definedName>
    <definedName name="wld_az1_rack5_vrms_cidr">'Value Reference Tables - MR'!$U$34</definedName>
    <definedName name="wld_az1_rack5_vrms_gateway_ip">'Value Reference Tables - MR'!$U$96</definedName>
    <definedName name="wld_az1_rack5_vrms_mtu">'Value Reference Tables - MR'!$U$80</definedName>
    <definedName name="wld_az1_rack5_vrms_vlan">'Value Reference Tables - MR'!$U$19</definedName>
    <definedName name="wld_az1_rack5_vsan_fault_domain">'Value Reference Tables - MR'!$U$174</definedName>
    <definedName name="wld_az1_rack6_child_dns_zone">'Value Reference Tables - MR'!#REF!</definedName>
    <definedName name="wld_az1_rack6_edge_overlay_cidr">'Value Reference Tables - MR'!$X$32</definedName>
    <definedName name="wld_az1_rack6_edge_overlay_gateway_ip">'Value Reference Tables - MR'!$X$94</definedName>
    <definedName name="wld_az1_rack6_edge_overlay_mask">'Value Reference Tables - MR'!$X$62</definedName>
    <definedName name="wld_az1_rack6_edge_overlay_mtu">'Value Reference Tables - MR'!$X$78</definedName>
    <definedName name="wld_az1_rack6_edge_overlay_network">'Value Reference Tables - MR'!$X$47</definedName>
    <definedName name="wld_az1_rack6_edge_overlay_network_pool_name">'Value Reference Tables - MR'!$X$172</definedName>
    <definedName name="wld_az1_rack6_edge_overlay_pool_end_ip">'Value Reference Tables - MR'!$X$160</definedName>
    <definedName name="wld_az1_rack6_edge_overlay_pool_start_ip">'Value Reference Tables - MR'!$X$159</definedName>
    <definedName name="wld_az1_rack6_edge_overlay_vlan">'Value Reference Tables - MR'!$X$17</definedName>
    <definedName name="wld_az1_rack6_en1_edge_overlay_interface_ip_1_ip">'Value Reference Tables - MR'!$X$244</definedName>
    <definedName name="wld_az1_rack6_en1_edge_overlay_interface_ip_2_ip">'Value Reference Tables - MR'!$X$245</definedName>
    <definedName name="wld_az1_rack6_en1_fqdn">'Value Reference Tables - MR'!$X$240</definedName>
    <definedName name="wld_az1_rack6_en1_hostname">'Value Reference Tables - MR'!$X$239</definedName>
    <definedName name="wld_az1_rack6_en1_mgmt_ip">'Value Reference Tables - MR'!$X$241</definedName>
    <definedName name="wld_az1_rack6_en1_uplink01_interface_ip">'Value Reference Tables - MR'!$X$242</definedName>
    <definedName name="wld_az1_rack6_en1_uplink02_interface_ip">'Value Reference Tables - MR'!$X$243</definedName>
    <definedName name="wld_az1_rack6_en2_fqdn">'Value Reference Tables - MR'!$X$250</definedName>
    <definedName name="wld_az1_rack6_en2_hostname">'Value Reference Tables - MR'!$X$249</definedName>
    <definedName name="wld_az1_rack6_en2_mgmt_ip">'Value Reference Tables - MR'!$X$251</definedName>
    <definedName name="wld_az1_rack6_en2_uplink01_interface_ip">'Value Reference Tables - MR'!$X$252</definedName>
    <definedName name="wld_az1_rack6_en2_uplink02_interface_ip">'Value Reference Tables - MR'!$X$253</definedName>
    <definedName name="wld_az1_rack6_host_fqdns">'Value Reference Tables - MR'!$X$221:$X$236</definedName>
    <definedName name="wld_az1_rack6_host_hostnames">'Value Reference Tables - MR'!$X$202:$X$217</definedName>
    <definedName name="wld_az1_rack6_host_mgmt_ips">'Value Reference Tables - MR'!$X$183:$X$198</definedName>
    <definedName name="wld_az1_rack6_host_overlay_cidr">'Value Reference Tables - MR'!$X$27</definedName>
    <definedName name="wld_az1_rack6_host_overlay_gateway_ip">'Value Reference Tables - MR'!$X$89</definedName>
    <definedName name="wld_az1_rack6_host_overlay_mask">'Value Reference Tables - MR'!$X$57</definedName>
    <definedName name="wld_az1_rack6_host_overlay_mtu">'Value Reference Tables - MR'!$X$73</definedName>
    <definedName name="wld_az1_rack6_host_overlay_network">'Value Reference Tables - MR'!$X$42</definedName>
    <definedName name="wld_az1_rack6_host_overlay_network_pool_name">'Value Reference Tables - MR'!$X$169</definedName>
    <definedName name="wld_az1_rack6_host_overlay_network_profile_name">'Value Reference Tables - MR'!$X$167</definedName>
    <definedName name="wld_az1_rack6_host_overlay_new_pool_chosen">'Additional Racks'!$D$451</definedName>
    <definedName name="wld_az1_rack6_host_overlay_pool_end_ip">'Value Reference Tables - MR'!$X$154</definedName>
    <definedName name="wld_az1_rack6_host_overlay_pool_start_ip">'Value Reference Tables - MR'!$X$153</definedName>
    <definedName name="wld_az1_rack6_host_overlay_uplink_profile_name">'Value Reference Tables - MR'!$X$171</definedName>
    <definedName name="wld_az1_rack6_host_overlay_vlan">'Value Reference Tables - MR'!$X$12</definedName>
    <definedName name="wld_az1_rack6_host1_fqdn">'Value Reference Tables - MR'!$X$221</definedName>
    <definedName name="wld_az1_rack6_host1_hostname">'Value Reference Tables - MR'!$X$202</definedName>
    <definedName name="wld_az1_rack6_host1_mgmt_ip">'Value Reference Tables - MR'!$X$183</definedName>
    <definedName name="wld_az1_rack6_host10_fqdn">'Value Reference Tables - MR'!$X$230</definedName>
    <definedName name="wld_az1_rack6_host10_hostname">'Value Reference Tables - MR'!$X$211</definedName>
    <definedName name="wld_az1_rack6_host10_mgmt_ip">'Value Reference Tables - MR'!$X$192</definedName>
    <definedName name="wld_az1_rack6_host11_fqdn">'Value Reference Tables - MR'!$X$231</definedName>
    <definedName name="wld_az1_rack6_host11_hostname">'Value Reference Tables - MR'!$X$212</definedName>
    <definedName name="wld_az1_rack6_host11_mgmt_ip">'Value Reference Tables - MR'!$X$193</definedName>
    <definedName name="wld_az1_rack6_host12_fqdn">'Value Reference Tables - MR'!$X$232</definedName>
    <definedName name="wld_az1_rack6_host12_hostname">'Value Reference Tables - MR'!$X$213</definedName>
    <definedName name="wld_az1_rack6_host12_mgmt_ip">'Value Reference Tables - MR'!$X$194</definedName>
    <definedName name="wld_az1_rack6_host13_fqdn">'Value Reference Tables - MR'!$X$233</definedName>
    <definedName name="wld_az1_rack6_host13_hostname">'Value Reference Tables - MR'!$X$214</definedName>
    <definedName name="wld_az1_rack6_host13_mgmt_ip">'Value Reference Tables - MR'!$X$195</definedName>
    <definedName name="wld_az1_rack6_host14_fqdn">'Value Reference Tables - MR'!$X$234</definedName>
    <definedName name="wld_az1_rack6_host14_hostname">'Value Reference Tables - MR'!$X$215</definedName>
    <definedName name="wld_az1_rack6_host14_mgmt_ip">'Value Reference Tables - MR'!$X$196</definedName>
    <definedName name="wld_az1_rack6_host15_fqdn">'Value Reference Tables - MR'!$X$235</definedName>
    <definedName name="wld_az1_rack6_host15_hostname">'Value Reference Tables - MR'!$X$216</definedName>
    <definedName name="wld_az1_rack6_host15_mgmt_ip">'Value Reference Tables - MR'!$X$197</definedName>
    <definedName name="wld_az1_rack6_host16_fqdn">'Value Reference Tables - MR'!$X$236</definedName>
    <definedName name="wld_az1_rack6_host16_hostname">'Value Reference Tables - MR'!$X$217</definedName>
    <definedName name="wld_az1_rack6_host16_mgmt_ip">'Value Reference Tables - MR'!$X$198</definedName>
    <definedName name="wld_az1_rack6_host2_fqdn">'Value Reference Tables - MR'!$X$222</definedName>
    <definedName name="wld_az1_rack6_host2_hostname">'Value Reference Tables - MR'!$X$203</definedName>
    <definedName name="wld_az1_rack6_host2_mgmt_ip">'Value Reference Tables - MR'!$X$184</definedName>
    <definedName name="wld_az1_rack6_host3_fqdn">'Value Reference Tables - MR'!$X$223</definedName>
    <definedName name="wld_az1_rack6_host3_hostname">'Value Reference Tables - MR'!$X$204</definedName>
    <definedName name="wld_az1_rack6_host3_mgmt_ip">'Value Reference Tables - MR'!$X$185</definedName>
    <definedName name="wld_az1_rack6_host4_fqdn">'Value Reference Tables - MR'!$X$224</definedName>
    <definedName name="wld_az1_rack6_host4_hostname">'Value Reference Tables - MR'!$X$205</definedName>
    <definedName name="wld_az1_rack6_host4_mgmt_ip">'Value Reference Tables - MR'!$X$186</definedName>
    <definedName name="wld_az1_rack6_host5_fqdn">'Value Reference Tables - MR'!$X$225</definedName>
    <definedName name="wld_az1_rack6_host5_hostname">'Value Reference Tables - MR'!$X$206</definedName>
    <definedName name="wld_az1_rack6_host5_mgmt_ip">'Value Reference Tables - MR'!$X$187</definedName>
    <definedName name="wld_az1_rack6_host6_fqdn">'Value Reference Tables - MR'!$X$226</definedName>
    <definedName name="wld_az1_rack6_host6_hostname">'Value Reference Tables - MR'!$X$207</definedName>
    <definedName name="wld_az1_rack6_host6_mgmt_ip">'Value Reference Tables - MR'!$X$188</definedName>
    <definedName name="wld_az1_rack6_host7_fqdn">'Value Reference Tables - MR'!$X$227</definedName>
    <definedName name="wld_az1_rack6_host7_hostname">'Value Reference Tables - MR'!$X$208</definedName>
    <definedName name="wld_az1_rack6_host7_mgmt_ip">'Value Reference Tables - MR'!$X$189</definedName>
    <definedName name="wld_az1_rack6_host8_fqdn">'Value Reference Tables - MR'!$X$228</definedName>
    <definedName name="wld_az1_rack6_host8_hostname">'Value Reference Tables - MR'!$X$209</definedName>
    <definedName name="wld_az1_rack6_host8_mgmt_ip">'Value Reference Tables - MR'!$X$190</definedName>
    <definedName name="wld_az1_rack6_host9_fqdn">'Value Reference Tables - MR'!$X$229</definedName>
    <definedName name="wld_az1_rack6_host9_hostname">'Value Reference Tables - MR'!$X$210</definedName>
    <definedName name="wld_az1_rack6_host9_mgmt_ip">'Value Reference Tables - MR'!$X$191</definedName>
    <definedName name="wld_az1_rack6_mgmt_cidr">'Value Reference Tables - MR'!$X$24</definedName>
    <definedName name="wld_az1_rack6_mgmt_gateway_ip">'Value Reference Tables - MR'!$X$86</definedName>
    <definedName name="wld_az1_rack6_mgmt_mask">'Value Reference Tables - MR'!$X$179</definedName>
    <definedName name="wld_az1_rack6_mgmt_mtu">'Value Reference Tables - MR'!$X$70</definedName>
    <definedName name="wld_az1_rack6_mgmt_network">'Value Reference Tables - MR'!$X$39</definedName>
    <definedName name="wld_az1_rack6_mgmt_pg">'Value Reference Tables - MR'!$X$111</definedName>
    <definedName name="wld_az1_rack6_mgmt_vlan">'Value Reference Tables - MR'!$X$9</definedName>
    <definedName name="wld_az1_rack6_mgmt_vm_cidr">'Value Reference Tables - MR'!$X$23</definedName>
    <definedName name="wld_az1_rack6_mgmt_vm_gateway_ip">'Value Reference Tables - MR'!$X$85</definedName>
    <definedName name="wld_az1_rack6_mgmt_vm_mask">'Value Reference Tables - MR'!$X$178</definedName>
    <definedName name="wld_az1_rack6_mgmt_vm_mtu">'Value Reference Tables - MR'!$X$69</definedName>
    <definedName name="wld_az1_rack6_mgmt_vm_pg">'Value Reference Tables - MR'!$X$110</definedName>
    <definedName name="wld_az1_rack6_mgmt_vm_vlan">'Value Reference Tables - MR'!$X$8</definedName>
    <definedName name="wld_az1_rack6_pool_name">'Value Reference Tables - MR'!$X$166</definedName>
    <definedName name="wld_az1_rack6_principal_storage_cidr">'Value Reference Tables - MR'!$X$26</definedName>
    <definedName name="wld_az1_rack6_principal_storage_gateway_ip">'Value Reference Tables - MR'!$X$88</definedName>
    <definedName name="wld_az1_rack6_principal_storage_mask">'Value Reference Tables - MR'!$X$56</definedName>
    <definedName name="wld_az1_rack6_principal_storage_mtu">'Value Reference Tables - MR'!$X$72</definedName>
    <definedName name="wld_az1_rack6_principal_storage_network">'Value Reference Tables - MR'!$X$41</definedName>
    <definedName name="wld_az1_rack6_principal_storage_pg">'Value Reference Tables - MR'!$X$113</definedName>
    <definedName name="wld_az1_rack6_principal_storage_pool_end_ip">'Value Reference Tables - MR'!$X$152</definedName>
    <definedName name="wld_az1_rack6_principal_storage_pool_start_ip">'Value Reference Tables - MR'!$X$151</definedName>
    <definedName name="wld_az1_rack6_principal_storage_vlan">'Value Reference Tables - MR'!$X$11</definedName>
    <definedName name="wld_az1_rack6_reuse_vcf_networkpool_chosen">'Additional Racks'!$D$405</definedName>
    <definedName name="wld_az1_rack6_rtep_ip_pool_name">'Value Reference Tables - MR'!$X$173</definedName>
    <definedName name="wld_az1_rack6_rtep_overlay_cidr">'Value Reference Tables - MR'!$X$33</definedName>
    <definedName name="wld_az1_rack6_rtep_overlay_gateway_ip">'Value Reference Tables - MR'!$X$95</definedName>
    <definedName name="wld_az1_rack6_rtep_overlay_mtu">'Value Reference Tables - MR'!$X$79</definedName>
    <definedName name="wld_az1_rack6_rtep_overlay_pool_end_ip">'Value Reference Tables - MR'!$X$162</definedName>
    <definedName name="wld_az1_rack6_rtep_overlay_pool_start_ip">'Value Reference Tables - MR'!$X$161</definedName>
    <definedName name="wld_az1_rack6_rtep_overlay_vlan">'Value Reference Tables - MR'!$X$18</definedName>
    <definedName name="wld_az1_rack6_secondary_storage_cidr">'Value Reference Tables - MR'!$X$28</definedName>
    <definedName name="wld_az1_rack6_secondary_storage_gateway_ip">'Value Reference Tables - MR'!$X$90</definedName>
    <definedName name="wld_az1_rack6_secondary_storage_mask">'Value Reference Tables - MR'!$X$58</definedName>
    <definedName name="wld_az1_rack6_secondary_storage_mtu">'Value Reference Tables - MR'!$X$74</definedName>
    <definedName name="wld_az1_rack6_secondary_storage_network">'Value Reference Tables - MR'!$X$44</definedName>
    <definedName name="wld_az1_rack6_secondary_storage_pool_end_ip">'Value Reference Tables - MR'!$X$156</definedName>
    <definedName name="wld_az1_rack6_secondary_storage_pool_start_ip">'Value Reference Tables - MR'!$X$155</definedName>
    <definedName name="wld_az1_rack6_secondary_storage_vlan">'Value Reference Tables - MR'!$X$13</definedName>
    <definedName name="wld_az1_rack6_tor1_peer_asn">'Value Reference Tables - MR'!$X$102</definedName>
    <definedName name="wld_az1_rack6_tor1_peer_bgp_password">'Value Reference Tables - MR'!$X$103</definedName>
    <definedName name="wld_az1_rack6_tor1_peer_ip">'Value Reference Tables - MR'!$X$101</definedName>
    <definedName name="wld_az1_rack6_tor2_peer_asn">'Value Reference Tables - MR'!$X$105</definedName>
    <definedName name="wld_az1_rack6_tor2_peer_bgp_password">'Value Reference Tables - MR'!$X$106</definedName>
    <definedName name="wld_az1_rack6_tor2_peer_ip">'Value Reference Tables - MR'!$X$104</definedName>
    <definedName name="wld_az1_rack6_uplink01_cidr">'Value Reference Tables - MR'!$X$30</definedName>
    <definedName name="wld_az1_rack6_uplink01_gateway_ip">'Value Reference Tables - MR'!$X$92</definedName>
    <definedName name="wld_az1_rack6_uplink01_mask">'Value Reference Tables - MR'!$X$60</definedName>
    <definedName name="wld_az1_rack6_uplink01_mtu">'Value Reference Tables - MR'!$X$76</definedName>
    <definedName name="wld_az1_rack6_uplink01_network">'Value Reference Tables - MR'!$X$45</definedName>
    <definedName name="wld_az1_rack6_uplink01_pg">'Value Reference Tables - MR'!$X$114</definedName>
    <definedName name="wld_az1_rack6_uplink01_vlan">'Value Reference Tables - MR'!$X$15</definedName>
    <definedName name="wld_az1_rack6_uplink02_cidr">'Value Reference Tables - MR'!$X$31</definedName>
    <definedName name="wld_az1_rack6_uplink02_gateway_ip">'Value Reference Tables - MR'!$X$93</definedName>
    <definedName name="wld_az1_rack6_uplink02_mask">'Value Reference Tables - MR'!$X$61</definedName>
    <definedName name="wld_az1_rack6_uplink02_mtu">'Value Reference Tables - MR'!$X$77</definedName>
    <definedName name="wld_az1_rack6_uplink02_network">'Value Reference Tables - MR'!$X$46</definedName>
    <definedName name="wld_az1_rack6_uplink02_pg">'Value Reference Tables - MR'!$X$115</definedName>
    <definedName name="wld_az1_rack6_uplink02_vlan">'Value Reference Tables - MR'!$X$16</definedName>
    <definedName name="wld_az1_rack6_vmotion_cidr">'Value Reference Tables - MR'!$X$25</definedName>
    <definedName name="wld_az1_rack6_vmotion_gateway_ip">'Value Reference Tables - MR'!$X$87</definedName>
    <definedName name="wld_az1_rack6_vmotion_mask">'Value Reference Tables - MR'!$X$55</definedName>
    <definedName name="wld_az1_rack6_vmotion_mtu">'Value Reference Tables - MR'!$X$71</definedName>
    <definedName name="wld_az1_rack6_vmotion_network">'Value Reference Tables - MR'!$X$40</definedName>
    <definedName name="wld_az1_rack6_vmotion_pg">'Value Reference Tables - MR'!$X$112</definedName>
    <definedName name="wld_az1_rack6_vmotion_pool_end_ip">'Value Reference Tables - MR'!$X$150</definedName>
    <definedName name="wld_az1_rack6_vmotion_pool_start_ip">'Value Reference Tables - MR'!$X$149</definedName>
    <definedName name="wld_az1_rack6_vmotion_vlan">'Value Reference Tables - MR'!$X$10</definedName>
    <definedName name="wld_az1_rack6_vrms_cidr">'Value Reference Tables - MR'!$X$34</definedName>
    <definedName name="wld_az1_rack6_vrms_gateway_ip">'Value Reference Tables - MR'!$X$96</definedName>
    <definedName name="wld_az1_rack6_vrms_mtu">'Value Reference Tables - MR'!$X$80</definedName>
    <definedName name="wld_az1_rack6_vrms_vlan">'Value Reference Tables - MR'!$X$19</definedName>
    <definedName name="wld_az1_rack6_vsan_fault_domain">'Value Reference Tables - MR'!$X$174</definedName>
    <definedName name="wld_az1_rack7_child_dns_zone">'Value Reference Tables - MR'!#REF!</definedName>
    <definedName name="wld_az1_rack7_edge_overlay_cidr">'Value Reference Tables - MR'!$AA$32</definedName>
    <definedName name="wld_az1_rack7_edge_overlay_gateway_ip">'Value Reference Tables - MR'!$AA$94</definedName>
    <definedName name="wld_az1_rack7_edge_overlay_mask">'Value Reference Tables - MR'!$AA$62</definedName>
    <definedName name="wld_az1_rack7_edge_overlay_mtu">'Value Reference Tables - MR'!$AA$78</definedName>
    <definedName name="wld_az1_rack7_edge_overlay_network">'Value Reference Tables - MR'!$AA$47</definedName>
    <definedName name="wld_az1_rack7_edge_overlay_network_pool_name">'Value Reference Tables - MR'!$AA$172</definedName>
    <definedName name="wld_az1_rack7_edge_overlay_pool_end_ip">'Value Reference Tables - MR'!$AA$160</definedName>
    <definedName name="wld_az1_rack7_edge_overlay_pool_start_ip">'Value Reference Tables - MR'!$AA$159</definedName>
    <definedName name="wld_az1_rack7_edge_overlay_vlan">'Value Reference Tables - MR'!$AA$17</definedName>
    <definedName name="wld_az1_rack7_en1_edge_overlay_interface_ip_1_ip">'Value Reference Tables - MR'!$AA$244</definedName>
    <definedName name="wld_az1_rack7_en1_edge_overlay_interface_ip_2_ip">'Value Reference Tables - MR'!$AA$245</definedName>
    <definedName name="wld_az1_rack7_en1_fqdn">'Value Reference Tables - MR'!$AA$240</definedName>
    <definedName name="wld_az1_rack7_en1_hostname">'Value Reference Tables - MR'!$AA$239</definedName>
    <definedName name="wld_az1_rack7_en1_mgmt_ip">'Value Reference Tables - MR'!$AA$241</definedName>
    <definedName name="wld_az1_rack7_en1_uplink01_interface_ip">'Value Reference Tables - MR'!$AA$242</definedName>
    <definedName name="wld_az1_rack7_en1_uplink02_interface_ip">'Value Reference Tables - MR'!$AA$243</definedName>
    <definedName name="wld_az1_rack7_en2_fqdn">'Value Reference Tables - MR'!$AA$250</definedName>
    <definedName name="wld_az1_rack7_en2_hostname">'Value Reference Tables - MR'!$AA$249</definedName>
    <definedName name="wld_az1_rack7_en2_mgmt_ip">'Value Reference Tables - MR'!$AA$251</definedName>
    <definedName name="wld_az1_rack7_en2_uplink01_interface_ip">'Value Reference Tables - MR'!$AA$252</definedName>
    <definedName name="wld_az1_rack7_en2_uplink02_interface_ip">'Value Reference Tables - MR'!$AA$253</definedName>
    <definedName name="wld_az1_rack7_host_fqdns">'Value Reference Tables - MR'!$AA$221:$AA$236</definedName>
    <definedName name="wld_az1_rack7_host_hostnames">'Value Reference Tables - MR'!$AA$202:$AA$217</definedName>
    <definedName name="wld_az1_rack7_host_mgmt_ips">'Value Reference Tables - MR'!$AA$183:$AA$198</definedName>
    <definedName name="wld_az1_rack7_host_overlay_cidr">'Value Reference Tables - MR'!$AA$27</definedName>
    <definedName name="wld_az1_rack7_host_overlay_gateway_ip">'Value Reference Tables - MR'!$AA$89</definedName>
    <definedName name="wld_az1_rack7_host_overlay_mask">'Value Reference Tables - MR'!$AA$57</definedName>
    <definedName name="wld_az1_rack7_host_overlay_mtu">'Value Reference Tables - MR'!$AA$73</definedName>
    <definedName name="wld_az1_rack7_host_overlay_network">'Value Reference Tables - MR'!$AA$42</definedName>
    <definedName name="wld_az1_rack7_host_overlay_network_pool_name">'Value Reference Tables - MR'!$AA$169</definedName>
    <definedName name="wld_az1_rack7_host_overlay_network_profile_name">'Value Reference Tables - MR'!$AA$167</definedName>
    <definedName name="wld_az1_rack7_host_overlay_new_pool_chosen">'Additional Racks'!$D$544</definedName>
    <definedName name="wld_az1_rack7_host_overlay_pool_end_ip">'Value Reference Tables - MR'!$AA$154</definedName>
    <definedName name="wld_az1_rack7_host_overlay_pool_start_ip">'Value Reference Tables - MR'!$AA$153</definedName>
    <definedName name="wld_az1_rack7_host_overlay_uplink_profile_name">'Value Reference Tables - MR'!$AA$171</definedName>
    <definedName name="wld_az1_rack7_host_overlay_vlan">'Value Reference Tables - MR'!$AA$12</definedName>
    <definedName name="wld_az1_rack7_host1_fqdn">'Value Reference Tables - MR'!$AA$221</definedName>
    <definedName name="wld_az1_rack7_host1_hostname">'Value Reference Tables - MR'!$AA$202</definedName>
    <definedName name="wld_az1_rack7_host1_mgmt_ip">'Value Reference Tables - MR'!$AA$183</definedName>
    <definedName name="wld_az1_rack7_host10_fqdn">'Value Reference Tables - MR'!$AA$230</definedName>
    <definedName name="wld_az1_rack7_host10_hostname">'Value Reference Tables - MR'!$AA$211</definedName>
    <definedName name="wld_az1_rack7_host10_mgmt_ip">'Value Reference Tables - MR'!$AA$192</definedName>
    <definedName name="wld_az1_rack7_host11_fqdn">'Value Reference Tables - MR'!$AA$231</definedName>
    <definedName name="wld_az1_rack7_host11_hostname">'Value Reference Tables - MR'!$AA$212</definedName>
    <definedName name="wld_az1_rack7_host11_mgmt_ip">'Value Reference Tables - MR'!$AA$193</definedName>
    <definedName name="wld_az1_rack7_host12_fqdn">'Value Reference Tables - MR'!$AA$232</definedName>
    <definedName name="wld_az1_rack7_host12_hostname">'Value Reference Tables - MR'!$AA$213</definedName>
    <definedName name="wld_az1_rack7_host12_mgmt_ip">'Value Reference Tables - MR'!$AA$194</definedName>
    <definedName name="wld_az1_rack7_host13_fqdn">'Value Reference Tables - MR'!$AA$233</definedName>
    <definedName name="wld_az1_rack7_host13_hostname">'Value Reference Tables - MR'!$AA$214</definedName>
    <definedName name="wld_az1_rack7_host13_mgmt_ip">'Value Reference Tables - MR'!$AA$195</definedName>
    <definedName name="wld_az1_rack7_host14_fqdn">'Value Reference Tables - MR'!$AA$234</definedName>
    <definedName name="wld_az1_rack7_host14_hostname">'Value Reference Tables - MR'!$AA$215</definedName>
    <definedName name="wld_az1_rack7_host14_mgmt_ip">'Value Reference Tables - MR'!$AA$196</definedName>
    <definedName name="wld_az1_rack7_host15_fqdn">'Value Reference Tables - MR'!$AA$235</definedName>
    <definedName name="wld_az1_rack7_host15_hostname">'Value Reference Tables - MR'!$AA$216</definedName>
    <definedName name="wld_az1_rack7_host15_mgmt_ip">'Value Reference Tables - MR'!$AA$197</definedName>
    <definedName name="wld_az1_rack7_host16_fqdn">'Value Reference Tables - MR'!$AA$236</definedName>
    <definedName name="wld_az1_rack7_host16_hostname">'Value Reference Tables - MR'!$AA$217</definedName>
    <definedName name="wld_az1_rack7_host16_mgmt_ip">'Value Reference Tables - MR'!$AA$198</definedName>
    <definedName name="wld_az1_rack7_host2_fqdn">'Value Reference Tables - MR'!$AA$222</definedName>
    <definedName name="wld_az1_rack7_host2_hostname">'Value Reference Tables - MR'!$AA$203</definedName>
    <definedName name="wld_az1_rack7_host2_mgmt_ip">'Value Reference Tables - MR'!$AA$184</definedName>
    <definedName name="wld_az1_rack7_host3_fqdn">'Value Reference Tables - MR'!$AA$223</definedName>
    <definedName name="wld_az1_rack7_host3_hostname">'Value Reference Tables - MR'!$AA$204</definedName>
    <definedName name="wld_az1_rack7_host3_mgmt_ip">'Value Reference Tables - MR'!$AA$185</definedName>
    <definedName name="wld_az1_rack7_host4_fqdn">'Value Reference Tables - MR'!$AA$224</definedName>
    <definedName name="wld_az1_rack7_host4_hostname">'Value Reference Tables - MR'!$AA$205</definedName>
    <definedName name="wld_az1_rack7_host4_mgmt_ip">'Value Reference Tables - MR'!$AA$186</definedName>
    <definedName name="wld_az1_rack7_host5_fqdn">'Value Reference Tables - MR'!$AA$225</definedName>
    <definedName name="wld_az1_rack7_host5_hostname">'Value Reference Tables - MR'!$AA$206</definedName>
    <definedName name="wld_az1_rack7_host5_mgmt_ip">'Value Reference Tables - MR'!$AA$187</definedName>
    <definedName name="wld_az1_rack7_host6_fqdn">'Value Reference Tables - MR'!$AA$226</definedName>
    <definedName name="wld_az1_rack7_host6_hostname">'Value Reference Tables - MR'!$AA$207</definedName>
    <definedName name="wld_az1_rack7_host6_mgmt_ip">'Value Reference Tables - MR'!$AA$188</definedName>
    <definedName name="wld_az1_rack7_host7_fqdn">'Value Reference Tables - MR'!$AA$227</definedName>
    <definedName name="wld_az1_rack7_host7_hostname">'Value Reference Tables - MR'!$AA$208</definedName>
    <definedName name="wld_az1_rack7_host7_mgmt_ip">'Value Reference Tables - MR'!$AA$189</definedName>
    <definedName name="wld_az1_rack7_host8_fqdn">'Value Reference Tables - MR'!$AA$228</definedName>
    <definedName name="wld_az1_rack7_host8_hostname">'Value Reference Tables - MR'!$AA$209</definedName>
    <definedName name="wld_az1_rack7_host8_mgmt_ip">'Value Reference Tables - MR'!$AA$190</definedName>
    <definedName name="wld_az1_rack7_host9_fqdn">'Value Reference Tables - MR'!$AA$229</definedName>
    <definedName name="wld_az1_rack7_host9_hostname">'Value Reference Tables - MR'!$AA$210</definedName>
    <definedName name="wld_az1_rack7_host9_mgmt_ip">'Value Reference Tables - MR'!$AA$191</definedName>
    <definedName name="wld_az1_rack7_mgmt_cidr">'Value Reference Tables - MR'!$AA$24</definedName>
    <definedName name="wld_az1_rack7_mgmt_gateway_ip">'Value Reference Tables - MR'!$AA$86</definedName>
    <definedName name="wld_az1_rack7_mgmt_mask">'Value Reference Tables - MR'!$AA$179</definedName>
    <definedName name="wld_az1_rack7_mgmt_mtu">'Value Reference Tables - MR'!$AA$70</definedName>
    <definedName name="wld_az1_rack7_mgmt_network">'Value Reference Tables - MR'!$AA$39</definedName>
    <definedName name="wld_az1_rack7_mgmt_pg">'Value Reference Tables - MR'!$AA$111</definedName>
    <definedName name="wld_az1_rack7_mgmt_vlan">'Value Reference Tables - MR'!$AA$9</definedName>
    <definedName name="wld_az1_rack7_mgmt_vm_cidr">'Value Reference Tables - MR'!$AA$23</definedName>
    <definedName name="wld_az1_rack7_mgmt_vm_gateway_ip">'Value Reference Tables - MR'!$AA$85</definedName>
    <definedName name="wld_az1_rack7_mgmt_vm_mask">'Value Reference Tables - MR'!$AA$178</definedName>
    <definedName name="wld_az1_rack7_mgmt_vm_mtu">'Value Reference Tables - MR'!$AA$69</definedName>
    <definedName name="wld_az1_rack7_mgmt_vm_pg">'Value Reference Tables - MR'!$AA$110</definedName>
    <definedName name="wld_az1_rack7_mgmt_vm_vlan">'Value Reference Tables - MR'!$AA$8</definedName>
    <definedName name="wld_az1_rack7_pool_name">'Value Reference Tables - MR'!$AA$166</definedName>
    <definedName name="wld_az1_rack7_principal_storage_cidr">'Value Reference Tables - MR'!$AA$26</definedName>
    <definedName name="wld_az1_rack7_principal_storage_gateway_ip">'Value Reference Tables - MR'!$AA$88</definedName>
    <definedName name="wld_az1_rack7_principal_storage_mask">'Value Reference Tables - MR'!$AA$56</definedName>
    <definedName name="wld_az1_rack7_principal_storage_mtu">'Value Reference Tables - MR'!$AA$72</definedName>
    <definedName name="wld_az1_rack7_principal_storage_network">'Value Reference Tables - MR'!$AA$41</definedName>
    <definedName name="wld_az1_rack7_principal_storage_pg">'Value Reference Tables - MR'!$AA$113</definedName>
    <definedName name="wld_az1_rack7_principal_storage_pool_end_ip">'Value Reference Tables - MR'!$AA$152</definedName>
    <definedName name="wld_az1_rack7_principal_storage_pool_start_ip">'Value Reference Tables - MR'!$AA$151</definedName>
    <definedName name="wld_az1_rack7_principal_storage_vlan">'Value Reference Tables - MR'!$AA$11</definedName>
    <definedName name="wld_az1_rack7_reuse_vcf_networkpool_chosen">'Additional Racks'!$D$498</definedName>
    <definedName name="wld_az1_rack7_rtep_ip_pool_name">'Value Reference Tables - MR'!$AA$173</definedName>
    <definedName name="wld_az1_rack7_rtep_overlay_cidr">'Value Reference Tables - MR'!$AA$33</definedName>
    <definedName name="wld_az1_rack7_rtep_overlay_gateway_ip">'Value Reference Tables - MR'!$AA$95</definedName>
    <definedName name="wld_az1_rack7_rtep_overlay_mtu">'Value Reference Tables - MR'!$AA$79</definedName>
    <definedName name="wld_az1_rack7_rtep_overlay_pool_end_ip">'Value Reference Tables - MR'!$AA$162</definedName>
    <definedName name="wld_az1_rack7_rtep_overlay_pool_start_ip">'Value Reference Tables - MR'!$AA$161</definedName>
    <definedName name="wld_az1_rack7_rtep_overlay_vlan">'Value Reference Tables - MR'!$AA$18</definedName>
    <definedName name="wld_az1_rack7_secondary_storage_cidr">'Value Reference Tables - MR'!$AA$28</definedName>
    <definedName name="wld_az1_rack7_secondary_storage_gateway_ip">'Value Reference Tables - MR'!$AA$90</definedName>
    <definedName name="wld_az1_rack7_secondary_storage_mask">'Value Reference Tables - MR'!$AA$58</definedName>
    <definedName name="wld_az1_rack7_secondary_storage_mtu">'Value Reference Tables - MR'!$AA$74</definedName>
    <definedName name="wld_az1_rack7_secondary_storage_network">'Value Reference Tables - MR'!$AA$44</definedName>
    <definedName name="wld_az1_rack7_secondary_storage_pool_end_ip">'Value Reference Tables - MR'!$AA$156</definedName>
    <definedName name="wld_az1_rack7_secondary_storage_pool_start_ip">'Value Reference Tables - MR'!$AA$155</definedName>
    <definedName name="wld_az1_rack7_secondary_storage_vlan">'Value Reference Tables - MR'!$AA$13</definedName>
    <definedName name="wld_az1_rack7_tor1_peer_asn">'Value Reference Tables - MR'!$AA$102</definedName>
    <definedName name="wld_az1_rack7_tor1_peer_bgp_password">'Value Reference Tables - MR'!$AA$103</definedName>
    <definedName name="wld_az1_rack7_tor1_peer_ip">'Value Reference Tables - MR'!$AA$101</definedName>
    <definedName name="wld_az1_rack7_tor2_peer_asn">'Value Reference Tables - MR'!$AA$105</definedName>
    <definedName name="wld_az1_rack7_tor2_peer_bgp_password">'Value Reference Tables - MR'!$AA$106</definedName>
    <definedName name="wld_az1_rack7_tor2_peer_ip">'Value Reference Tables - MR'!$AA$104</definedName>
    <definedName name="wld_az1_rack7_uplink01_cidr">'Value Reference Tables - MR'!$AA$30</definedName>
    <definedName name="wld_az1_rack7_uplink01_gateway_ip">'Value Reference Tables - MR'!$AA$92</definedName>
    <definedName name="wld_az1_rack7_uplink01_mask">'Value Reference Tables - MR'!$AA$60</definedName>
    <definedName name="wld_az1_rack7_uplink01_mtu">'Value Reference Tables - MR'!$AA$76</definedName>
    <definedName name="wld_az1_rack7_uplink01_network">'Value Reference Tables - MR'!$AA$45</definedName>
    <definedName name="wld_az1_rack7_uplink01_pg">'Value Reference Tables - MR'!$AA$114</definedName>
    <definedName name="wld_az1_rack7_uplink01_vlan">'Value Reference Tables - MR'!$AA$15</definedName>
    <definedName name="wld_az1_rack7_uplink02_cidr">'Value Reference Tables - MR'!$AA$31</definedName>
    <definedName name="wld_az1_rack7_uplink02_gateway_ip">'Value Reference Tables - MR'!$AA$93</definedName>
    <definedName name="wld_az1_rack7_uplink02_mask">'Value Reference Tables - MR'!$AA$61</definedName>
    <definedName name="wld_az1_rack7_uplink02_mtu">'Value Reference Tables - MR'!$AA$77</definedName>
    <definedName name="wld_az1_rack7_uplink02_network">'Value Reference Tables - MR'!$AA$46</definedName>
    <definedName name="wld_az1_rack7_uplink02_pg">'Value Reference Tables - MR'!$AA$115</definedName>
    <definedName name="wld_az1_rack7_uplink02_vlan">'Value Reference Tables - MR'!$AA$16</definedName>
    <definedName name="wld_az1_rack7_vmotion_cidr">'Value Reference Tables - MR'!$AA$25</definedName>
    <definedName name="wld_az1_rack7_vmotion_gateway_ip">'Value Reference Tables - MR'!$AA$87</definedName>
    <definedName name="wld_az1_rack7_vmotion_mask">'Value Reference Tables - MR'!$AA$55</definedName>
    <definedName name="wld_az1_rack7_vmotion_mtu">'Value Reference Tables - MR'!$AA$71</definedName>
    <definedName name="wld_az1_rack7_vmotion_network">'Value Reference Tables - MR'!$AA$40</definedName>
    <definedName name="wld_az1_rack7_vmotion_pg">'Value Reference Tables - MR'!$AA$112</definedName>
    <definedName name="wld_az1_rack7_vmotion_pool_end_ip">'Value Reference Tables - MR'!$AA$150</definedName>
    <definedName name="wld_az1_rack7_vmotion_pool_start_ip">'Value Reference Tables - MR'!$AA$149</definedName>
    <definedName name="wld_az1_rack7_vmotion_vlan">'Value Reference Tables - MR'!$AA$10</definedName>
    <definedName name="wld_az1_rack7_vrms_cidr">'Value Reference Tables - MR'!$AA$34</definedName>
    <definedName name="wld_az1_rack7_vrms_gateway_ip">'Value Reference Tables - MR'!$AA$96</definedName>
    <definedName name="wld_az1_rack7_vrms_mtu">'Value Reference Tables - MR'!$AA$80</definedName>
    <definedName name="wld_az1_rack7_vrms_vlan">'Value Reference Tables - MR'!$AA$19</definedName>
    <definedName name="wld_az1_rack7_vsan_fault_domain">'Value Reference Tables - MR'!$AA$174</definedName>
    <definedName name="wld_az1_rack8_child_dns_zone">'Value Reference Tables - MR'!#REF!</definedName>
    <definedName name="wld_az1_rack8_edge_overlay_cidr">'Value Reference Tables - MR'!$AD$32</definedName>
    <definedName name="wld_az1_rack8_edge_overlay_gateway_ip">'Value Reference Tables - MR'!$AD$94</definedName>
    <definedName name="wld_az1_rack8_edge_overlay_mask">'Value Reference Tables - MR'!$AD$62</definedName>
    <definedName name="wld_az1_rack8_edge_overlay_mtu">'Value Reference Tables - MR'!$AD$78</definedName>
    <definedName name="wld_az1_rack8_edge_overlay_network">'Value Reference Tables - MR'!$AD$47</definedName>
    <definedName name="wld_az1_rack8_edge_overlay_network_pool_name">'Value Reference Tables - MR'!$AD$172</definedName>
    <definedName name="wld_az1_rack8_edge_overlay_pool_end_ip">'Value Reference Tables - MR'!$AD$160</definedName>
    <definedName name="wld_az1_rack8_edge_overlay_pool_start_ip">'Value Reference Tables - MR'!$AD$159</definedName>
    <definedName name="wld_az1_rack8_edge_overlay_vlan">'Value Reference Tables - MR'!$AD$17</definedName>
    <definedName name="wld_az1_rack8_en1_edge_overlay_interface_ip_1_ip">'Value Reference Tables - MR'!$AD$244</definedName>
    <definedName name="wld_az1_rack8_en1_edge_overlay_interface_ip_2_ip">'Value Reference Tables - MR'!$AD$245</definedName>
    <definedName name="wld_az1_rack8_en1_fqdn">'Value Reference Tables - MR'!$AD$240</definedName>
    <definedName name="wld_az1_rack8_en1_hostname">'Value Reference Tables - MR'!$AD$239</definedName>
    <definedName name="wld_az1_rack8_en1_mgmt_ip">'Value Reference Tables - MR'!$AD$241</definedName>
    <definedName name="wld_az1_rack8_en1_uplink01_interface_ip">'Value Reference Tables - MR'!$AD$242</definedName>
    <definedName name="wld_az1_rack8_en1_uplink02_interface_ip">'Value Reference Tables - MR'!$AD$243</definedName>
    <definedName name="wld_az1_rack8_en2_fqdn">'Value Reference Tables - MR'!$AD$250</definedName>
    <definedName name="wld_az1_rack8_en2_hostname">'Value Reference Tables - MR'!$AD$249</definedName>
    <definedName name="wld_az1_rack8_en2_mgmt_ip">'Value Reference Tables - MR'!$AD$251</definedName>
    <definedName name="wld_az1_rack8_en2_uplink01_interface_ip">'Value Reference Tables - MR'!$AD$252</definedName>
    <definedName name="wld_az1_rack8_en2_uplink02_interface_ip">'Value Reference Tables - MR'!$AD$253</definedName>
    <definedName name="wld_az1_rack8_host_fqdns">'Value Reference Tables - MR'!$AD$221:$AD$236</definedName>
    <definedName name="wld_az1_rack8_host_hostnames">'Value Reference Tables - MR'!$AD$202:$AD$217</definedName>
    <definedName name="wld_az1_rack8_host_mgmt_ips">'Value Reference Tables - MR'!$AD$183:$AD$198</definedName>
    <definedName name="wld_az1_rack8_host_overlay_cidr">'Value Reference Tables - MR'!$AD$27</definedName>
    <definedName name="wld_az1_rack8_host_overlay_gateway_ip">'Value Reference Tables - MR'!$AD$89</definedName>
    <definedName name="wld_az1_rack8_host_overlay_mask">'Value Reference Tables - MR'!$AD$57</definedName>
    <definedName name="wld_az1_rack8_host_overlay_mtu">'Value Reference Tables - MR'!$AD$73</definedName>
    <definedName name="wld_az1_rack8_host_overlay_network">'Value Reference Tables - MR'!$AD$42</definedName>
    <definedName name="wld_az1_rack8_host_overlay_network_pool_name">'Value Reference Tables - MR'!$AD$169</definedName>
    <definedName name="wld_az1_rack8_host_overlay_network_profile_name">'Value Reference Tables - MR'!$AD$167</definedName>
    <definedName name="wld_az1_rack8_host_overlay_new_pool_chosen">'Additional Racks'!$D$637</definedName>
    <definedName name="wld_az1_rack8_host_overlay_pool_end_ip">'Value Reference Tables - MR'!$AD$154</definedName>
    <definedName name="wld_az1_rack8_host_overlay_pool_start_ip">'Value Reference Tables - MR'!$AD$153</definedName>
    <definedName name="wld_az1_rack8_host_overlay_uplink_profile_name">'Value Reference Tables - MR'!$AD$171</definedName>
    <definedName name="wld_az1_rack8_host_overlay_vlan">'Value Reference Tables - MR'!$AD$12</definedName>
    <definedName name="wld_az1_rack8_host1_fqdn">'Value Reference Tables - MR'!$AD$221</definedName>
    <definedName name="wld_az1_rack8_host1_hostname">'Value Reference Tables - MR'!$AD$202</definedName>
    <definedName name="wld_az1_rack8_host1_mgmt_ip">'Value Reference Tables - MR'!$AD$183</definedName>
    <definedName name="wld_az1_rack8_host10_fqdn">'Value Reference Tables - MR'!$AD$230</definedName>
    <definedName name="wld_az1_rack8_host10_hostname">'Value Reference Tables - MR'!$AD$211</definedName>
    <definedName name="wld_az1_rack8_host10_mgmt_ip">'Value Reference Tables - MR'!$AD$192</definedName>
    <definedName name="wld_az1_rack8_host11_fqdn">'Value Reference Tables - MR'!$AD$231</definedName>
    <definedName name="wld_az1_rack8_host11_hostname">'Value Reference Tables - MR'!$AD$212</definedName>
    <definedName name="wld_az1_rack8_host11_mgmt_ip">'Value Reference Tables - MR'!$AD$193</definedName>
    <definedName name="wld_az1_rack8_host12_fqdn">'Value Reference Tables - MR'!$AD$232</definedName>
    <definedName name="wld_az1_rack8_host12_hostname">'Value Reference Tables - MR'!$AD$213</definedName>
    <definedName name="wld_az1_rack8_host12_mgmt_ip">'Value Reference Tables - MR'!$AD$194</definedName>
    <definedName name="wld_az1_rack8_host13_fqdn">'Value Reference Tables - MR'!$AD$233</definedName>
    <definedName name="wld_az1_rack8_host13_hostname">'Value Reference Tables - MR'!$AD$214</definedName>
    <definedName name="wld_az1_rack8_host13_mgmt_ip">'Value Reference Tables - MR'!$AD$195</definedName>
    <definedName name="wld_az1_rack8_host14_fqdn">'Value Reference Tables - MR'!$AD$234</definedName>
    <definedName name="wld_az1_rack8_host14_hostname">'Value Reference Tables - MR'!$AD$215</definedName>
    <definedName name="wld_az1_rack8_host14_mgmt_ip">'Value Reference Tables - MR'!$AD$196</definedName>
    <definedName name="wld_az1_rack8_host15_fqdn">'Value Reference Tables - MR'!$AD$235</definedName>
    <definedName name="wld_az1_rack8_host15_hostname">'Value Reference Tables - MR'!$AD$216</definedName>
    <definedName name="wld_az1_rack8_host15_mgmt_ip">'Value Reference Tables - MR'!$AD$197</definedName>
    <definedName name="wld_az1_rack8_host16_fqdn">'Value Reference Tables - MR'!$AD$236</definedName>
    <definedName name="wld_az1_rack8_host16_hostname">'Value Reference Tables - MR'!$AD$217</definedName>
    <definedName name="wld_az1_rack8_host16_mgmt_ip">'Value Reference Tables - MR'!$AD$198</definedName>
    <definedName name="wld_az1_rack8_host2_fqdn">'Value Reference Tables - MR'!$AD$222</definedName>
    <definedName name="wld_az1_rack8_host2_hostname">'Value Reference Tables - MR'!$AD$203</definedName>
    <definedName name="wld_az1_rack8_host2_mgmt_ip">'Value Reference Tables - MR'!$AD$184</definedName>
    <definedName name="wld_az1_rack8_host3_fqdn">'Value Reference Tables - MR'!$AD$223</definedName>
    <definedName name="wld_az1_rack8_host3_hostname">'Value Reference Tables - MR'!$AD$204</definedName>
    <definedName name="wld_az1_rack8_host3_mgmt_ip">'Value Reference Tables - MR'!$AD$185</definedName>
    <definedName name="wld_az1_rack8_host4_fqdn">'Value Reference Tables - MR'!$AD$224</definedName>
    <definedName name="wld_az1_rack8_host4_hostname">'Value Reference Tables - MR'!$AD$205</definedName>
    <definedName name="wld_az1_rack8_host4_mgmt_ip">'Value Reference Tables - MR'!$AD$186</definedName>
    <definedName name="wld_az1_rack8_host5_fqdn">'Value Reference Tables - MR'!$AD$225</definedName>
    <definedName name="wld_az1_rack8_host5_hostname">'Value Reference Tables - MR'!$AD$206</definedName>
    <definedName name="wld_az1_rack8_host5_mgmt_ip">'Value Reference Tables - MR'!$AD$187</definedName>
    <definedName name="wld_az1_rack8_host6_fqdn">'Value Reference Tables - MR'!$AD$226</definedName>
    <definedName name="wld_az1_rack8_host6_hostname">'Value Reference Tables - MR'!$AD$207</definedName>
    <definedName name="wld_az1_rack8_host6_mgmt_ip">'Value Reference Tables - MR'!$AD$188</definedName>
    <definedName name="wld_az1_rack8_host7_fqdn">'Value Reference Tables - MR'!$AD$227</definedName>
    <definedName name="wld_az1_rack8_host7_hostname">'Value Reference Tables - MR'!$AD$208</definedName>
    <definedName name="wld_az1_rack8_host7_mgmt_ip">'Value Reference Tables - MR'!$AD$189</definedName>
    <definedName name="wld_az1_rack8_host8_fqdn">'Value Reference Tables - MR'!$AD$228</definedName>
    <definedName name="wld_az1_rack8_host8_hostname">'Value Reference Tables - MR'!$AD$209</definedName>
    <definedName name="wld_az1_rack8_host8_mgmt_ip">'Value Reference Tables - MR'!$AD$190</definedName>
    <definedName name="wld_az1_rack8_host9_fqdn">'Value Reference Tables - MR'!$AD$229</definedName>
    <definedName name="wld_az1_rack8_host9_hostname">'Value Reference Tables - MR'!$AD$210</definedName>
    <definedName name="wld_az1_rack8_host9_mgmt_ip">'Value Reference Tables - MR'!$AD$191</definedName>
    <definedName name="wld_az1_rack8_mgmt_cidr">'Value Reference Tables - MR'!$AD$24</definedName>
    <definedName name="wld_az1_rack8_mgmt_gateway_ip">'Value Reference Tables - MR'!$AD$86</definedName>
    <definedName name="wld_az1_rack8_mgmt_mask">'Value Reference Tables - MR'!$AD$179</definedName>
    <definedName name="wld_az1_rack8_mgmt_mtu">'Value Reference Tables - MR'!$AD$70</definedName>
    <definedName name="wld_az1_rack8_mgmt_network">'Value Reference Tables - MR'!$AD$39</definedName>
    <definedName name="wld_az1_rack8_mgmt_pg">'Value Reference Tables - MR'!$AD$111</definedName>
    <definedName name="wld_az1_rack8_mgmt_vlan">'Value Reference Tables - MR'!$AD$9</definedName>
    <definedName name="wld_az1_rack8_mgmt_vm_cidr">'Value Reference Tables - MR'!$AD$23</definedName>
    <definedName name="wld_az1_rack8_mgmt_vm_gateway_ip">'Value Reference Tables - MR'!$AD$85</definedName>
    <definedName name="wld_az1_rack8_mgmt_vm_mask">'Value Reference Tables - MR'!$AD$178</definedName>
    <definedName name="wld_az1_rack8_mgmt_vm_mtu">'Value Reference Tables - MR'!$AD$69</definedName>
    <definedName name="wld_az1_rack8_mgmt_vm_pg">'Value Reference Tables - MR'!$AD$110</definedName>
    <definedName name="wld_az1_rack8_mgmt_vm_vlan">'Value Reference Tables - MR'!$AD$8</definedName>
    <definedName name="wld_az1_rack8_pool_name">'Value Reference Tables - MR'!$AD$166</definedName>
    <definedName name="wld_az1_rack8_principal_storage_cidr">'Value Reference Tables - MR'!$AD$26</definedName>
    <definedName name="wld_az1_rack8_principal_storage_gateway_ip">'Value Reference Tables - MR'!$AD$88</definedName>
    <definedName name="wld_az1_rack8_principal_storage_mask">'Value Reference Tables - MR'!$AD$56</definedName>
    <definedName name="wld_az1_rack8_principal_storage_mtu">'Value Reference Tables - MR'!$AD$72</definedName>
    <definedName name="wld_az1_rack8_principal_storage_network">'Value Reference Tables - MR'!$AD$41</definedName>
    <definedName name="wld_az1_rack8_principal_storage_pg">'Value Reference Tables - MR'!$AD$113</definedName>
    <definedName name="wld_az1_rack8_principal_storage_pool_end_ip">'Value Reference Tables - MR'!$AD$152</definedName>
    <definedName name="wld_az1_rack8_principal_storage_pool_start_ip">'Value Reference Tables - MR'!$AD$151</definedName>
    <definedName name="wld_az1_rack8_principal_storage_vlan">'Value Reference Tables - MR'!$AD$11</definedName>
    <definedName name="wld_az1_rack8_reuse_vcf_networkpool_chosen">'Additional Racks'!$D$591</definedName>
    <definedName name="wld_az1_rack8_rtep_ip_pool_name">'Value Reference Tables - MR'!$AD$173</definedName>
    <definedName name="wld_az1_rack8_rtep_overlay_cidr">'Value Reference Tables - MR'!$AD$33</definedName>
    <definedName name="wld_az1_rack8_rtep_overlay_gateway_ip">'Value Reference Tables - MR'!$AD$95</definedName>
    <definedName name="wld_az1_rack8_rtep_overlay_mtu">'Value Reference Tables - MR'!$AD$79</definedName>
    <definedName name="wld_az1_rack8_rtep_overlay_pool_end_ip">'Value Reference Tables - MR'!$AD$162</definedName>
    <definedName name="wld_az1_rack8_rtep_overlay_pool_start_ip">'Value Reference Tables - MR'!$AD$161</definedName>
    <definedName name="wld_az1_rack8_rtep_overlay_vlan">'Value Reference Tables - MR'!$AD$18</definedName>
    <definedName name="wld_az1_rack8_secondary_storage_cidr">'Value Reference Tables - MR'!$AD$28</definedName>
    <definedName name="wld_az1_rack8_secondary_storage_gateway_ip">'Value Reference Tables - MR'!$AD$90</definedName>
    <definedName name="wld_az1_rack8_secondary_storage_mask">'Value Reference Tables - MR'!$AD$58</definedName>
    <definedName name="wld_az1_rack8_secondary_storage_mtu">'Value Reference Tables - MR'!$AD$74</definedName>
    <definedName name="wld_az1_rack8_secondary_storage_network">'Value Reference Tables - MR'!$AD$44</definedName>
    <definedName name="wld_az1_rack8_secondary_storage_pool_end_ip">'Value Reference Tables - MR'!$AD$156</definedName>
    <definedName name="wld_az1_rack8_secondary_storage_pool_start_ip">'Value Reference Tables - MR'!$AD$155</definedName>
    <definedName name="wld_az1_rack8_secondary_storage_vlan">'Value Reference Tables - MR'!$AD$13</definedName>
    <definedName name="wld_az1_rack8_tor1_peer_asn">'Value Reference Tables - MR'!$AD$102</definedName>
    <definedName name="wld_az1_rack8_tor1_peer_bgp_password">'Value Reference Tables - MR'!$AD$103</definedName>
    <definedName name="wld_az1_rack8_tor1_peer_ip">'Value Reference Tables - MR'!$AD$101</definedName>
    <definedName name="wld_az1_rack8_tor2_peer_asn">'Value Reference Tables - MR'!$AD$105</definedName>
    <definedName name="wld_az1_rack8_tor2_peer_bgp_password">'Value Reference Tables - MR'!$AD$106</definedName>
    <definedName name="wld_az1_rack8_tor2_peer_ip">'Value Reference Tables - MR'!$AD$104</definedName>
    <definedName name="wld_az1_rack8_uplink01_cidr">'Value Reference Tables - MR'!$AD$30</definedName>
    <definedName name="wld_az1_rack8_uplink01_gateway_ip">'Value Reference Tables - MR'!$AD$92</definedName>
    <definedName name="wld_az1_rack8_uplink01_mask">'Value Reference Tables - MR'!$AD$60</definedName>
    <definedName name="wld_az1_rack8_uplink01_mtu">'Value Reference Tables - MR'!$AD$76</definedName>
    <definedName name="wld_az1_rack8_uplink01_network">'Value Reference Tables - MR'!$AD$45</definedName>
    <definedName name="wld_az1_rack8_uplink01_pg">'Value Reference Tables - MR'!$AD$114</definedName>
    <definedName name="wld_az1_rack8_uplink01_vlan">'Value Reference Tables - MR'!$AD$15</definedName>
    <definedName name="wld_az1_rack8_uplink02_cidr">'Value Reference Tables - MR'!$AD$31</definedName>
    <definedName name="wld_az1_rack8_uplink02_gateway_ip">'Value Reference Tables - MR'!$AD$93</definedName>
    <definedName name="wld_az1_rack8_uplink02_mask">'Value Reference Tables - MR'!$AD$61</definedName>
    <definedName name="wld_az1_rack8_uplink02_mtu">'Value Reference Tables - MR'!$AD$77</definedName>
    <definedName name="wld_az1_rack8_uplink02_network">'Value Reference Tables - MR'!$AD$46</definedName>
    <definedName name="wld_az1_rack8_uplink02_pg">'Value Reference Tables - MR'!$AD$115</definedName>
    <definedName name="wld_az1_rack8_uplink02_vlan">'Value Reference Tables - MR'!$AD$16</definedName>
    <definedName name="wld_az1_rack8_vmotion_cidr">'Value Reference Tables - MR'!$AD$25</definedName>
    <definedName name="wld_az1_rack8_vmotion_gateway_ip">'Value Reference Tables - MR'!$AD$87</definedName>
    <definedName name="wld_az1_rack8_vmotion_mask">'Value Reference Tables - MR'!$AD$55</definedName>
    <definedName name="wld_az1_rack8_vmotion_mtu">'Value Reference Tables - MR'!$AD$71</definedName>
    <definedName name="wld_az1_rack8_vmotion_network">'Value Reference Tables - MR'!$AD$40</definedName>
    <definedName name="wld_az1_rack8_vmotion_pg">'Value Reference Tables - MR'!$AD$112</definedName>
    <definedName name="wld_az1_rack8_vmotion_pool_end_ip">'Value Reference Tables - MR'!$AD$150</definedName>
    <definedName name="wld_az1_rack8_vmotion_pool_start_ip">'Value Reference Tables - MR'!$AD$149</definedName>
    <definedName name="wld_az1_rack8_vmotion_vlan">'Value Reference Tables - MR'!$AD$10</definedName>
    <definedName name="wld_az1_rack8_vrms_cidr">'Value Reference Tables - MR'!$AD$34</definedName>
    <definedName name="wld_az1_rack8_vrms_gateway_ip">'Value Reference Tables - MR'!$AD$96</definedName>
    <definedName name="wld_az1_rack8_vrms_mtu">'Value Reference Tables - MR'!$AD$80</definedName>
    <definedName name="wld_az1_rack8_vrms_vlan">'Value Reference Tables - MR'!$AD$19</definedName>
    <definedName name="wld_az1_rack8_vsan_fault_domain">'Value Reference Tables - MR'!$AD$174</definedName>
    <definedName name="wld_az1_reuse_vcf_networkpool_chosen">'Deploy Workload Domain'!$B$15</definedName>
    <definedName name="wld_az1_reuse_vcf_networkpool_result">'Deploy Workload Domain'!$D$15</definedName>
    <definedName name="wld_az1_rtep_ip_pool_name">'Value Reference Tables - MR'!$I$173</definedName>
    <definedName name="wld_az1_rtep_overlay_cidr">'Value Reference Tables - MR'!$I$33</definedName>
    <definedName name="wld_az1_rtep_overlay_gateway_ip">'Value Reference Tables - MR'!$I$95</definedName>
    <definedName name="wld_az1_rtep_overlay_mtu">'Value Reference Tables - MR'!$I$79</definedName>
    <definedName name="wld_az1_rtep_overlay_network">'Value Reference Tables - MR'!$I$48</definedName>
    <definedName name="wld_az1_rtep_overlay_pg">'Value Reference Tables - MR'!$I$119</definedName>
    <definedName name="wld_az1_rtep_overlay_vlan">'Value Reference Tables - MR'!$I$18</definedName>
    <definedName name="wld_az1_secondary_storage_cidr">'Value Reference Tables - MR'!$I$28</definedName>
    <definedName name="wld_az1_secondary_storage_gateway_ip">'Value Reference Tables - MR'!$I$90</definedName>
    <definedName name="wld_az1_secondary_storage_mask">'Value Reference Tables - MR'!$I$58</definedName>
    <definedName name="wld_az1_secondary_storage_mtu">'Value Reference Tables - MR'!$I$74</definedName>
    <definedName name="wld_az1_secondary_storage_network">'Value Reference Tables - MR'!$I$43</definedName>
    <definedName name="wld_az1_secondary_storage_pool_end_ip">'Value Reference Tables - MR'!$I$156</definedName>
    <definedName name="wld_az1_secondary_storage_pool_start_ip">'Value Reference Tables - MR'!$I$155</definedName>
    <definedName name="wld_az1_secondary_storage_vlan">'Value Reference Tables - MR'!$I$13</definedName>
    <definedName name="wld_az1_storage_cluster_cidr">'Value Reference Tables - MR'!$I$29</definedName>
    <definedName name="wld_az1_storage_cluster_gateway_ip">'Value Reference Tables - MR'!$I$91</definedName>
    <definedName name="wld_az1_storage_cluster_mask">'Value Reference Tables - MR'!$I$59</definedName>
    <definedName name="wld_az1_storage_cluster_mtu">'Value Reference Tables - MR'!$I$75</definedName>
    <definedName name="wld_az1_storage_cluster_network">'Value Reference Tables - MR'!$I$44</definedName>
    <definedName name="wld_az1_storage_cluster_pool_end_ip">'Value Reference Tables - MR'!$I$158</definedName>
    <definedName name="wld_az1_storage_cluster_pool_start_ip">'Value Reference Tables - MR'!$I$157</definedName>
    <definedName name="wld_az1_storage_cluster_vlan">'Value Reference Tables - MR'!$I$14</definedName>
    <definedName name="wld_az1_tor1_peer_asn">'Value Reference Tables - MR'!$I$102</definedName>
    <definedName name="wld_az1_tor1_peer_bgp_password">'Value Reference Tables - MR'!$I$103</definedName>
    <definedName name="wld_az1_tor1_peer_ip">'Value Reference Tables - MR'!$I$101</definedName>
    <definedName name="wld_az1_tor2_peer_asn">'Value Reference Tables - MR'!$I$105</definedName>
    <definedName name="wld_az1_tor2_peer_bgp_password">'Value Reference Tables - MR'!$I$106</definedName>
    <definedName name="wld_az1_tor2_peer_ip">'Value Reference Tables - MR'!$I$104</definedName>
    <definedName name="wld_az1_uplink01_cidr">'Value Reference Tables - MR'!$I$30</definedName>
    <definedName name="wld_az1_uplink01_gateway_ip">'Value Reference Tables - MR'!$I$92</definedName>
    <definedName name="wld_az1_uplink01_mask">'Value Reference Tables - MR'!$I$60</definedName>
    <definedName name="wld_az1_uplink01_mtu">'Value Reference Tables - MR'!$I$76</definedName>
    <definedName name="wld_az1_uplink01_network">'Value Reference Tables - MR'!$I$45</definedName>
    <definedName name="wld_az1_uplink01_vlan">'Value Reference Tables - MR'!$I$15</definedName>
    <definedName name="wld_az1_uplink02_cidr">'Value Reference Tables - MR'!$I$31</definedName>
    <definedName name="wld_az1_uplink02_gateway_ip">'Value Reference Tables - MR'!$I$93</definedName>
    <definedName name="wld_az1_uplink02_mask">'Value Reference Tables - MR'!$I$61</definedName>
    <definedName name="wld_az1_uplink02_mtu">'Value Reference Tables - MR'!$I$77</definedName>
    <definedName name="wld_az1_uplink02_network">'Value Reference Tables - MR'!$I$46</definedName>
    <definedName name="wld_az1_uplink02_vlan">'Value Reference Tables - MR'!$I$16</definedName>
    <definedName name="wld_az1_vm_cidr">'Value Reference Tables'!$AD$37</definedName>
    <definedName name="wld_az1_vm_gateway_ip">'Value Reference Tables'!$AD$42</definedName>
    <definedName name="wld_az1_vm_mtu">'Value Reference Tables'!$AD$47</definedName>
    <definedName name="wld_az1_vm_vlan">'Value Reference Tables'!$AD$29</definedName>
    <definedName name="wld_az1_vmotion_cidr">'Value Reference Tables - MR'!$I$25</definedName>
    <definedName name="wld_az1_vmotion_gateway_ip">'Value Reference Tables - MR'!$I$87</definedName>
    <definedName name="wld_az1_vmotion_mask">'Value Reference Tables - MR'!$I$55</definedName>
    <definedName name="wld_az1_vmotion_mtu">'Value Reference Tables - MR'!$I$71</definedName>
    <definedName name="wld_az1_vmotion_network">'Value Reference Tables - MR'!$I$40</definedName>
    <definedName name="wld_az1_vmotion_pool_end_ip">'Value Reference Tables - MR'!$I$150</definedName>
    <definedName name="wld_az1_vmotion_pool_start_ip">'Value Reference Tables - MR'!$I$149</definedName>
    <definedName name="wld_az1_vmotion_vlan">'Value Reference Tables - MR'!$I$10</definedName>
    <definedName name="wld_az1_vrms_cidr">'Value Reference Tables - MR'!$I$34</definedName>
    <definedName name="wld_az1_vrms_gateway_ip">'Value Reference Tables - MR'!$I$96</definedName>
    <definedName name="wld_az1_vrms_mtu">'Value Reference Tables - MR'!$I$80</definedName>
    <definedName name="wld_az1_vrms_network">'Value Reference Tables - MR'!$I$49</definedName>
    <definedName name="wld_az1_vrms_vlan">'Value Reference Tables - MR'!$I$19</definedName>
    <definedName name="wld_az2_edge_overlay_cidr">'Value Reference Tables - MR'!$I$302</definedName>
    <definedName name="wld_az2_edge_overlay_gateway_ip">'Value Reference Tables - MR'!$I$347</definedName>
    <definedName name="wld_az2_edge_overlay_mask">'Value Reference Tables - MR'!$I$332</definedName>
    <definedName name="wld_az2_edge_overlay_mtu">'Value Reference Tables - MR'!$I$362</definedName>
    <definedName name="wld_az2_edge_overlay_network">'Value Reference Tables - MR'!$I$317</definedName>
    <definedName name="wld_az2_edge_overlay_pg">'Value Reference Tables - MR'!$I$386</definedName>
    <definedName name="wld_az2_edge_overlay_vlan">'Value Reference Tables - MR'!$I$287</definedName>
    <definedName name="wld_az2_host_fqdns">'Value Reference Tables - MR'!$I$477:$I$492</definedName>
    <definedName name="wld_az2_host_hostnames">'Value Reference Tables - MR'!$I$458:$I$473</definedName>
    <definedName name="wld_az2_host_mgmt_ips">'Value Reference Tables - MR'!$I$423:$I$438</definedName>
    <definedName name="wld_az2_host_overlay_cidr">'Value Reference Tables - MR'!$I$297</definedName>
    <definedName name="wld_az2_host_overlay_gateway_ip">'Value Reference Tables - MR'!$I$342</definedName>
    <definedName name="wld_az2_host_overlay_mask">'Value Reference Tables - MR'!$I$327</definedName>
    <definedName name="wld_az2_host_overlay_mtu">'Value Reference Tables - MR'!$I$357</definedName>
    <definedName name="wld_az2_host_overlay_network">'Value Reference Tables - MR'!$I$312</definedName>
    <definedName name="wld_az2_host_overlay_network_pool_name">'Value Reference Tables - MR'!$I$408</definedName>
    <definedName name="wld_az2_host_overlay_network_profile_name">'Value Reference Tables - MR'!$I$407</definedName>
    <definedName name="wld_az2_host_overlay_new_pool_chosen">'Configure Workload Domain'!$D$320</definedName>
    <definedName name="wld_az2_host_overlay_pg">'Value Reference Tables - MR'!$I$382</definedName>
    <definedName name="wld_az2_host_overlay_pool_end_ip">'Value Reference Tables - MR'!$I$396</definedName>
    <definedName name="wld_az2_host_overlay_pool_name">'Value Reference Tables'!$F$116</definedName>
    <definedName name="wld_az2_host_overlay_pool_start_ip">'Value Reference Tables - MR'!$I$395</definedName>
    <definedName name="wld_az2_host_overlay_uplink_profile_name">'Value Reference Tables - MR'!$I$409</definedName>
    <definedName name="wld_az2_host_overlay_vlan">'Value Reference Tables - MR'!$I$282</definedName>
    <definedName name="wld_az2_host_vrms_ips">'Value Reference Tables - MR'!$I$439:$I$454</definedName>
    <definedName name="wld_az2_host1_fqdn">'Value Reference Tables - MR'!$I$477</definedName>
    <definedName name="wld_az2_host1_hostname">'Value Reference Tables - MR'!$I$458</definedName>
    <definedName name="wld_az2_host1_mgmt_ip">'Value Reference Tables - MR'!$I$423</definedName>
    <definedName name="wld_az2_host1_sddc_id">'Value Reference Tables'!$F$111</definedName>
    <definedName name="wld_az2_host1_vrms_ip">'Value Reference Tables - MR'!$I$439</definedName>
    <definedName name="wld_az2_host10_fqdn">'Value Reference Tables - MR'!$I$486</definedName>
    <definedName name="wld_az2_host10_hostname">'Value Reference Tables - MR'!$I$467</definedName>
    <definedName name="wld_az2_host10_mgmt_ip">'Value Reference Tables - MR'!$I$432</definedName>
    <definedName name="wld_az2_host10_vrms_ip">'Value Reference Tables - MR'!$I$448</definedName>
    <definedName name="wld_az2_host11_fqdn">'Value Reference Tables - MR'!$I$487</definedName>
    <definedName name="wld_az2_host11_hostname">'Value Reference Tables - MR'!$I$468</definedName>
    <definedName name="wld_az2_host11_mgmt_ip">'Value Reference Tables - MR'!$I$433</definedName>
    <definedName name="wld_az2_host11_vrms_ip">'Value Reference Tables - MR'!$I$449</definedName>
    <definedName name="wld_az2_host12_fqdn">'Value Reference Tables - MR'!$I$488</definedName>
    <definedName name="wld_az2_host12_hostname">'Value Reference Tables - MR'!$I$469</definedName>
    <definedName name="wld_az2_host12_mgmt_ip">'Value Reference Tables - MR'!$I$434</definedName>
    <definedName name="wld_az2_host12_vrms_ip">'Value Reference Tables - MR'!$I$450</definedName>
    <definedName name="wld_az2_host13_fqdn">'Value Reference Tables - MR'!$I$489</definedName>
    <definedName name="wld_az2_host13_hostname">'Value Reference Tables - MR'!$I$470</definedName>
    <definedName name="wld_az2_host13_mgmt_ip">'Value Reference Tables - MR'!$I$435</definedName>
    <definedName name="wld_az2_host13_vrms_ip">'Value Reference Tables - MR'!$I$451</definedName>
    <definedName name="wld_az2_host14_fqdn">'Value Reference Tables - MR'!$I$490</definedName>
    <definedName name="wld_az2_host14_hostname">'Value Reference Tables - MR'!$I$471</definedName>
    <definedName name="wld_az2_host14_mgmt_ip">'Value Reference Tables - MR'!$I$436</definedName>
    <definedName name="wld_az2_host14_vrms_ip">'Value Reference Tables - MR'!$I$452</definedName>
    <definedName name="wld_az2_host15_fqdn">'Value Reference Tables - MR'!$I$491</definedName>
    <definedName name="wld_az2_host15_hostname">'Value Reference Tables - MR'!$I$472</definedName>
    <definedName name="wld_az2_host15_mgmt_ip">'Value Reference Tables - MR'!$I$437</definedName>
    <definedName name="wld_az2_host15_vrms_ip">'Value Reference Tables - MR'!$I$453</definedName>
    <definedName name="wld_az2_host16_fqdn">'Value Reference Tables - MR'!$I$492</definedName>
    <definedName name="wld_az2_host16_hostname">'Value Reference Tables - MR'!$I$473</definedName>
    <definedName name="wld_az2_host16_mgmt_ip">'Value Reference Tables - MR'!$I$438</definedName>
    <definedName name="wld_az2_host16_vrms_ip">'Value Reference Tables - MR'!$I$454</definedName>
    <definedName name="wld_az2_host2_fqdn">'Value Reference Tables - MR'!$I$478</definedName>
    <definedName name="wld_az2_host2_hostname">'Value Reference Tables - MR'!$I$459</definedName>
    <definedName name="wld_az2_host2_mgmt_ip">'Value Reference Tables - MR'!$I$424</definedName>
    <definedName name="wld_az2_host2_sddc_id">'Value Reference Tables'!$F$112</definedName>
    <definedName name="wld_az2_host2_vrms_ip">'Value Reference Tables - MR'!$I$440</definedName>
    <definedName name="wld_az2_host3_fqdn">'Value Reference Tables - MR'!$I$479</definedName>
    <definedName name="wld_az2_host3_hostname">'Value Reference Tables - MR'!$I$460</definedName>
    <definedName name="wld_az2_host3_mgmt_ip">'Value Reference Tables - MR'!$I$425</definedName>
    <definedName name="wld_az2_host3_sddc_id">'Value Reference Tables'!$F$113</definedName>
    <definedName name="wld_az2_host3_vrms_ip">'Value Reference Tables - MR'!$I$441</definedName>
    <definedName name="wld_az2_host4_fqdn">'Value Reference Tables - MR'!$I$480</definedName>
    <definedName name="wld_az2_host4_hostname">'Value Reference Tables - MR'!$I$461</definedName>
    <definedName name="wld_az2_host4_mgmt_ip">'Value Reference Tables - MR'!$I$426</definedName>
    <definedName name="wld_az2_host4_sddc_id">'Value Reference Tables'!$F$114</definedName>
    <definedName name="wld_az2_host4_vrms_ip">'Value Reference Tables - MR'!$I$442</definedName>
    <definedName name="wld_az2_host5_fqdn">'Value Reference Tables - MR'!$I$481</definedName>
    <definedName name="wld_az2_host5_hostname">'Value Reference Tables - MR'!$I$462</definedName>
    <definedName name="wld_az2_host5_mgmt_ip">'Value Reference Tables - MR'!$I$427</definedName>
    <definedName name="wld_az2_host5_vrms_ip">'Value Reference Tables - MR'!$I$443</definedName>
    <definedName name="wld_az2_host6_fqdn">'Value Reference Tables - MR'!$I$482</definedName>
    <definedName name="wld_az2_host6_hostname">'Value Reference Tables - MR'!$I$463</definedName>
    <definedName name="wld_az2_host6_mgmt_ip">'Value Reference Tables - MR'!$I$428</definedName>
    <definedName name="wld_az2_host6_vrms_ip">'Value Reference Tables - MR'!$I$444</definedName>
    <definedName name="wld_az2_host7_fqdn">'Value Reference Tables - MR'!$I$483</definedName>
    <definedName name="wld_az2_host7_hostname">'Value Reference Tables - MR'!$I$464</definedName>
    <definedName name="wld_az2_host7_mgmt_ip">'Value Reference Tables - MR'!$I$429</definedName>
    <definedName name="wld_az2_host7_vrms_ip">'Value Reference Tables - MR'!$I$445</definedName>
    <definedName name="wld_az2_host8_fqdn">'Value Reference Tables - MR'!$I$484</definedName>
    <definedName name="wld_az2_host8_hostname">'Value Reference Tables - MR'!$I$465</definedName>
    <definedName name="wld_az2_host8_mgmt_ip">'Value Reference Tables - MR'!$I$430</definedName>
    <definedName name="wld_az2_host8_vrms_ip">'Value Reference Tables - MR'!$I$446</definedName>
    <definedName name="wld_az2_host9_fqdn">'Value Reference Tables - MR'!$I$485</definedName>
    <definedName name="wld_az2_host9_hostname">'Value Reference Tables - MR'!$I$466</definedName>
    <definedName name="wld_az2_host9_mgmt_ip">'Value Reference Tables - MR'!$I$431</definedName>
    <definedName name="wld_az2_host9_vrms_ip">'Value Reference Tables - MR'!$I$447</definedName>
    <definedName name="wld_az2_mgmt_cidr">'Value Reference Tables - MR'!$I$294</definedName>
    <definedName name="wld_az2_mgmt_gateway_ip">'Value Reference Tables - MR'!$I$339</definedName>
    <definedName name="wld_az2_mgmt_mask">'Value Reference Tables - MR'!$I$324</definedName>
    <definedName name="wld_az2_mgmt_mtu">'Value Reference Tables - MR'!$I$354</definedName>
    <definedName name="wld_az2_mgmt_network">'Value Reference Tables - MR'!$I$309</definedName>
    <definedName name="wld_az2_mgmt_vlan">'Value Reference Tables - MR'!$I$279</definedName>
    <definedName name="wld_az2_pool_name">'Value Reference Tables - MR'!$I$406</definedName>
    <definedName name="wld_az2_principal_storage_cidr">'Value Reference Tables - MR'!$I$296</definedName>
    <definedName name="wld_az2_principal_storage_gateway_ip">'Value Reference Tables - MR'!$I$341</definedName>
    <definedName name="wld_az2_principal_storage_mask">'Value Reference Tables - MR'!$I$326</definedName>
    <definedName name="wld_az2_principal_storage_mtu">'Value Reference Tables - MR'!$I$356</definedName>
    <definedName name="wld_az2_principal_storage_network">'Value Reference Tables - MR'!$I$311</definedName>
    <definedName name="wld_az2_principal_storage_pool_end_ip">'Value Reference Tables - MR'!$I$394</definedName>
    <definedName name="wld_az2_principal_storage_pool_start_ip">'Value Reference Tables - MR'!$I$393</definedName>
    <definedName name="wld_az2_principal_storage_vlan">'Value Reference Tables - MR'!$I$281</definedName>
    <definedName name="wld_az2_reuse_vcf_networkpool_chosen">'Configure Workload Domain'!$D$194</definedName>
    <definedName name="wld_az2_rtep_overlay_cidr">'Value Reference Tables - MR'!$I$303</definedName>
    <definedName name="wld_az2_rtep_overlay_gateway_ip">'Value Reference Tables - MR'!$I$348</definedName>
    <definedName name="wld_az2_rtep_overlay_mask">'Value Reference Tables - MR'!$I$333</definedName>
    <definedName name="wld_az2_rtep_overlay_mtu">'Value Reference Tables - MR'!$I$363</definedName>
    <definedName name="wld_az2_rtep_overlay_network">'Value Reference Tables - MR'!$I$318</definedName>
    <definedName name="wld_az2_rtep_overlay_pg">'Value Reference Tables - MR'!$I$387</definedName>
    <definedName name="wld_az2_rtep_overlay_vlan">'Value Reference Tables - MR'!$I$288</definedName>
    <definedName name="wld_az2_secondary_storage_cidr">'Value Reference Tables - MR'!$I$298</definedName>
    <definedName name="wld_az2_secondary_storage_gateway_ip">'Value Reference Tables'!$AE$43</definedName>
    <definedName name="wld_az2_secondary_storage_mask">'Value Reference Tables - MR'!$I$328</definedName>
    <definedName name="wld_az2_secondary_storage_mtu">'Value Reference Tables - MR'!$I$358</definedName>
    <definedName name="wld_az2_secondary_storage_network">'Value Reference Tables - MR'!$I$313</definedName>
    <definedName name="wld_az2_secondary_storage_pool_end_ip">'Value Reference Tables - MR'!$I$398</definedName>
    <definedName name="wld_az2_secondary_storage_pool_start_ip">'Value Reference Tables - MR'!$I$397</definedName>
    <definedName name="wld_az2_secondary_storage_vlan">'Value Reference Tables - MR'!$I$283</definedName>
    <definedName name="wld_az2_storage_cluster_cidr">'Value Reference Tables - MR'!$I$299</definedName>
    <definedName name="wld_az2_storage_cluster_gateway_ip">'Value Reference Tables - MR'!$I$344</definedName>
    <definedName name="wld_az2_storage_cluster_mask">'Value Reference Tables - MR'!$I$329</definedName>
    <definedName name="wld_az2_storage_cluster_mtu">'Value Reference Tables - MR'!$I$359</definedName>
    <definedName name="wld_az2_storage_cluster_network">'Value Reference Tables - MR'!$I$314</definedName>
    <definedName name="wld_az2_storage_cluster_pool_end_ip">'Value Reference Tables - MR'!$I$400</definedName>
    <definedName name="wld_az2_storage_cluster_pool_start_ip">'Value Reference Tables - MR'!$I$399</definedName>
    <definedName name="wld_az2_storage_cluster_vlan">'Value Reference Tables - MR'!$I$284</definedName>
    <definedName name="wld_az2_tor1_peer_asn">'Value Reference Tables - MR'!$I$370</definedName>
    <definedName name="wld_az2_tor1_peer_bgp_password">'Value Reference Tables - MR'!$I$371</definedName>
    <definedName name="wld_az2_tor1_peer_ip">'Value Reference Tables - MR'!$I$369</definedName>
    <definedName name="wld_az2_tor2_peer_asn">'Value Reference Tables - MR'!$I$373</definedName>
    <definedName name="wld_az2_tor2_peer_bgp_password">'Value Reference Tables - MR'!$I$374</definedName>
    <definedName name="wld_az2_tor2_peer_ip">'Value Reference Tables - MR'!$I$372</definedName>
    <definedName name="wld_az2_uplink01_cidr">'Value Reference Tables - MR'!$I$300</definedName>
    <definedName name="wld_az2_uplink01_gateway_ip">'Value Reference Tables - MR'!$I$345</definedName>
    <definedName name="wld_az2_uplink01_mask">'Value Reference Tables - MR'!$I$330</definedName>
    <definedName name="wld_az2_uplink01_mtu">'Value Reference Tables - MR'!$I$360</definedName>
    <definedName name="wld_az2_uplink01_network">'Value Reference Tables - MR'!$I$315</definedName>
    <definedName name="wld_az2_uplink01_vlan">'Value Reference Tables - MR'!$I$285</definedName>
    <definedName name="wld_az2_uplink02_cidr">'Value Reference Tables - MR'!$I$301</definedName>
    <definedName name="wld_az2_uplink02_gateway_ip">'Value Reference Tables - MR'!$I$346</definedName>
    <definedName name="wld_az2_uplink02_mask">'Value Reference Tables - MR'!$I$331</definedName>
    <definedName name="wld_az2_uplink02_mtu">'Value Reference Tables - MR'!$I$361</definedName>
    <definedName name="wld_az2_uplink02_network">'Value Reference Tables - MR'!$I$316</definedName>
    <definedName name="wld_az2_uplink02_vlan">'Value Reference Tables - MR'!$I$286</definedName>
    <definedName name="wld_az2_vm_cidr">'Value Reference Tables'!$AE$37</definedName>
    <definedName name="wld_az2_vm_gateway_ip">'Value Reference Tables'!$AE$42</definedName>
    <definedName name="wld_az2_vm_mtu">'Value Reference Tables'!$AE$47</definedName>
    <definedName name="wld_az2_vm_vlan">'Value Reference Tables'!$AE$29</definedName>
    <definedName name="wld_az2_vmotion_cidr">'Value Reference Tables - MR'!$I$295</definedName>
    <definedName name="wld_az2_vmotion_gateway_ip">'Value Reference Tables - MR'!$I$340</definedName>
    <definedName name="wld_az2_vmotion_mask">'Value Reference Tables - MR'!$I$325</definedName>
    <definedName name="wld_az2_vmotion_mtu">'Value Reference Tables - MR'!$I$355</definedName>
    <definedName name="wld_az2_vmotion_network">'Value Reference Tables - MR'!$I$310</definedName>
    <definedName name="wld_az2_vmotion_pool_end_ip">'Value Reference Tables - MR'!$I$392</definedName>
    <definedName name="wld_az2_vmotion_pool_start_ip">'Value Reference Tables - MR'!$I$391</definedName>
    <definedName name="wld_az2_vmotion_vlan">'Value Reference Tables - MR'!$I$280</definedName>
    <definedName name="wld_az2_vrms_cidr">'Value Reference Tables - MR'!$I$304</definedName>
    <definedName name="wld_az2_vrms_gateway_ip">'Value Reference Tables - MR'!$I$349</definedName>
    <definedName name="wld_az2_vrms_mask">'Value Reference Tables - MR'!$I$334</definedName>
    <definedName name="wld_az2_vrms_mtu">'Value Reference Tables - MR'!$I$364</definedName>
    <definedName name="wld_az2_vrms_network">'Value Reference Tables - MR'!$I$319</definedName>
    <definedName name="wld_az2_vrms_vlan">'Value Reference Tables - MR'!$I$289</definedName>
    <definedName name="wld_bf_nsx_appliance_size_chosen">'Deploy Workload Domain'!$D$40</definedName>
    <definedName name="wld_bf_nsx_create_passwords_chosen">'Deploy Workload Domain'!$D$47</definedName>
    <definedName name="wld_bf_nsx_existing_chosen">'Deploy Workload Domain'!$D$33</definedName>
    <definedName name="wld_bf_nsx_ha_mode_chosen">'Deploy Workload Domain'!$D$39</definedName>
    <definedName name="wld_bf_nsx_join_manager_chosen">'Deploy Workload Domain'!$D$38</definedName>
    <definedName name="wld_bf_nsxt_admin_password">'Value Reference Tables'!$I$194</definedName>
    <definedName name="wld_bf_nsxt_audit_password">'Value Reference Tables'!$I$196</definedName>
    <definedName name="wld_bf_nsxt_configure_overlay_on_mgmt_pg_chosen">'Deploy Workload Domain'!$D$46</definedName>
    <definedName name="wld_bf_nsxt_enable_edge_sync_chosen">'Deploy Workload Domain'!$D$45</definedName>
    <definedName name="wld_bf_nsxt_mgra_fqdn">'Value Reference Tables'!$I$187</definedName>
    <definedName name="wld_bf_nsxt_mgrb_fqdn">'Value Reference Tables'!$I$188</definedName>
    <definedName name="wld_bf_nsxt_mgrc_fqdn">'Value Reference Tables'!$I$189</definedName>
    <definedName name="wld_bf_nsxt_root_password">'Value Reference Tables'!$I$195</definedName>
    <definedName name="wld_bf_nsxt_vip_fqdn">'Value Reference Tables'!$I$190</definedName>
    <definedName name="wld_bf_sddc_domain">'Value Reference Tables'!$I$197</definedName>
    <definedName name="wld_bf_vc_fqdn">'Value Reference Tables'!$I$179</definedName>
    <definedName name="wld_bf_vc_root_password">'Value Reference Tables'!$I$180</definedName>
    <definedName name="wld_bf_vc_sso_password">'Value Reference Tables'!$I$182</definedName>
    <definedName name="wld_bf_vc_sso_username">'Value Reference Tables'!$I$181</definedName>
    <definedName name="wld_bf_vcenter_type_chosen">'Deploy Workload Domain'!$D$28</definedName>
    <definedName name="wld_bgp_chosen">'Configure Workload Domain'!$B$12</definedName>
    <definedName name="wld_bgp_result">'Configure Workload Domain'!$D$12</definedName>
    <definedName name="wld_centralized_connectivity_chosen">'Deploy Workload Domain'!$D$185</definedName>
    <definedName name="wld_cl01_az1_mgmt_lbt_chosen">'Deploy Workload Domain'!$D$273</definedName>
    <definedName name="wld_cl01_az1_mgmt_pg">'Value Reference Tables - MR'!$I$111</definedName>
    <definedName name="wld_cl01_az1_mgmt_uplink1_chosen">'Deploy Workload Domain'!$D$274</definedName>
    <definedName name="wld_cl01_az1_mgmt_uplink2_chosen">'Deploy Workload Domain'!$D$275</definedName>
    <definedName name="wld_cl01_az1_mgmt_vm_lbt_chosen">'Deploy Workload Domain'!$D$278</definedName>
    <definedName name="wld_cl01_az1_mgmt_vm_pg">'Value Reference Tables - MR'!$I$110</definedName>
    <definedName name="wld_cl01_az1_mgmt_vm_uplink1_chosen">'Deploy Workload Domain'!$D$279</definedName>
    <definedName name="wld_cl01_az1_mgmt_vm_uplink2_chosen">'Deploy Workload Domain'!$D$280</definedName>
    <definedName name="wld_cl01_az1_nsx_lbt_chosen">'Deploy Workload Domain'!$D$319</definedName>
    <definedName name="wld_cl01_az1_nsx_uplink_count">'Value Reference Tables'!$F$172</definedName>
    <definedName name="wld_cl01_az1_nsx_uplink1_chosen">'Deploy Workload Domain'!$D$316</definedName>
    <definedName name="wld_cl01_az1_nsx_uplink2_chosen">'Deploy Workload Domain'!$D$317</definedName>
    <definedName name="wld_cl01_az1_principal_storage_pg">'Value Reference Tables - MR'!$I$113</definedName>
    <definedName name="wld_cl01_az1_uplink01_pg">'Value Reference Tables - MR'!$I$116</definedName>
    <definedName name="wld_cl01_az1_uplink02_pg">'Value Reference Tables - MR'!$I$117</definedName>
    <definedName name="wld_cl01_az1_vm_pg">'Value Reference Tables'!$AD$33</definedName>
    <definedName name="wld_cl01_az1_vmotion_lbt_chosen">'Deploy Workload Domain'!$D$283</definedName>
    <definedName name="wld_cl01_az1_vmotion_pg">'Value Reference Tables - MR'!$I$112</definedName>
    <definedName name="wld_cl01_az1_vmotion_uplink1_chosen">'Deploy Workload Domain'!$D$284</definedName>
    <definedName name="wld_cl01_az1_vmotion_uplink2_chosen">'Deploy Workload Domain'!$D$285</definedName>
    <definedName name="wld_cl01_az1_vsan_lbt_chosen">'Deploy Workload Domain'!$D$288</definedName>
    <definedName name="wld_cl01_az1_vsan_storage_client_lbt_chosen">'Deploy Workload Domain'!$D$293</definedName>
    <definedName name="wld_cl01_az1_vsan_storage_client_pg">'Value Reference Tables - MR'!$I$120</definedName>
    <definedName name="wld_cl01_az1_vsan_storage_client_uplink1_chosen">'Deploy Workload Domain'!$D$294</definedName>
    <definedName name="wld_cl01_az1_vsan_storage_client_uplink2_chosen">'Deploy Workload Domain'!$D$295</definedName>
    <definedName name="wld_cl01_az1_vsan_uplink1_chosen">'Deploy Workload Domain'!$D$289</definedName>
    <definedName name="wld_cl01_az1_vsan_uplink2_chosen">'Deploy Workload Domain'!$D$290</definedName>
    <definedName name="wld_cl01_az2_mgmt_pg">'Value Reference Tables - MR'!$I$379</definedName>
    <definedName name="wld_cl01_az2_principal_storage_pg">'Value Reference Tables - MR'!$I$381</definedName>
    <definedName name="wld_cl01_az2_uplink01_pg">'Value Reference Tables - MR'!$I$384</definedName>
    <definedName name="wld_cl01_az2_uplink02_pg">'Value Reference Tables - MR'!$I$385</definedName>
    <definedName name="wld_cl01_az2_vm_pg">'Value Reference Tables'!$AE$33</definedName>
    <definedName name="wld_cl01_az2_vmotion_pg">'Value Reference Tables - MR'!$I$380</definedName>
    <definedName name="wld_cl01_cluster">'Value Reference Tables'!$F$63</definedName>
    <definedName name="wld_cl01_cluster_sddc_id">'Value Reference Tables'!$O$65</definedName>
    <definedName name="wld_cl01_cluster_zn_name">'Value Reference Tables'!$F$179</definedName>
    <definedName name="wld_cl01_evc_mode">'Value Reference Tables'!$F$64</definedName>
    <definedName name="wld_cl01_image_name">'Value Reference Tables'!$F$147</definedName>
    <definedName name="wld_cl01_nfs_datastore_name">'Value Reference Tables'!$F$100</definedName>
    <definedName name="wld_cl01_nfs_server_address">'Value Reference Tables'!$F$102</definedName>
    <definedName name="wld_cl01_nfs_share_path">'Value Reference Tables'!$F$101</definedName>
    <definedName name="wld_cl01_supervisor_control_plane_ip_range">'Value Reference Tables'!$F$180</definedName>
    <definedName name="wld_cl01_supervisor_dns">'Value Reference Tables'!$F$181</definedName>
    <definedName name="wld_cl01_supervisor_name">'Value Reference Tables'!$F$182</definedName>
    <definedName name="wld_cl01_supervisor_nsx_project">'Value Reference Tables'!$F$183</definedName>
    <definedName name="wld_cl01_supervisor_ntp">'Value Reference Tables'!$F$184</definedName>
    <definedName name="wld_cl01_supervisor_private_cidr">'Value Reference Tables'!$F$185</definedName>
    <definedName name="wld_cl01_supervisor_private_transit_gateway_cidr">'Value Reference Tables'!$F$186</definedName>
    <definedName name="wld_cl01_supervisor_service_cidr">'Value Reference Tables'!$F$187</definedName>
    <definedName name="wld_cl01_supervisor_use_mgmt_vmk_chosen">'Deploy Workload Domain'!$D$328</definedName>
    <definedName name="wld_cl01_supervisor_vpc_profile">'Value Reference Tables'!$F$189</definedName>
    <definedName name="wld_cl01_vds_copy_profile_chosen">'Deploy Workload Domain'!$D$234</definedName>
    <definedName name="wld_cl01_vds_name">'Value Reference Tables'!$O$66</definedName>
    <definedName name="wld_cl01_vds_profile_chosen">'Deploy Workload Domain'!$D$233</definedName>
    <definedName name="wld_cl01_vds_standard_preconfigured_profiles">'Static Reference Tables'!$F$44:$F$48</definedName>
    <definedName name="wld_cl01_vds_vsanmax_preconfigured_profiles">'Static Reference Tables'!$E$44:$E$45</definedName>
    <definedName name="wld_cl01_vds01_lacp_mode_chosen">'Deploy Workload Domain'!$D$243</definedName>
    <definedName name="wld_cl01_vds01_lacp_timeout_chosen">'Deploy Workload Domain'!$D$245</definedName>
    <definedName name="wld_cl01_vds01_lag_lbt_chosen">'Deploy Workload Domain'!$D$244</definedName>
    <definedName name="wld_cl01_vds01_lag_name">'Value Reference Tables'!$F$76</definedName>
    <definedName name="wld_cl01_vds01_link_type_chosen">'Deploy Workload Domain'!$D$241</definedName>
    <definedName name="wld_cl01_vds01_mtu">'Value Reference Tables'!$F$73</definedName>
    <definedName name="wld_cl01_vds01_name">'Value Reference Tables'!$F$70</definedName>
    <definedName name="wld_cl01_vds01_pnics">'Value Reference Tables'!$F$71</definedName>
    <definedName name="wld_cl01_vds01_traffic_type">'Value Reference Tables'!$F$75</definedName>
    <definedName name="wld_cl01_vds01_uplink_count">'Value Reference Tables'!$F$72</definedName>
    <definedName name="wld_cl01_vds02_lacp_mode_chosen">'Deploy Workload Domain'!$D$254</definedName>
    <definedName name="wld_cl01_vds02_lacp_timeout_chosen">'Deploy Workload Domain'!$D$256</definedName>
    <definedName name="wld_cl01_vds02_lag_lbt_chosen">'Deploy Workload Domain'!$D$255</definedName>
    <definedName name="wld_cl01_vds02_lag_name">'Value Reference Tables'!$F$84</definedName>
    <definedName name="wld_cl01_vds02_link_type_chosen">'Deploy Workload Domain'!$D$252</definedName>
    <definedName name="wld_cl01_vds02_mtu">'Value Reference Tables'!$F$81</definedName>
    <definedName name="wld_cl01_vds02_name">'Value Reference Tables'!$F$78</definedName>
    <definedName name="wld_cl01_vds02_pnics">'Value Reference Tables'!$F$79</definedName>
    <definedName name="wld_cl01_vds02_traffic_type">'Value Reference Tables'!$F$83</definedName>
    <definedName name="wld_cl01_vds02_uplink_count">'Value Reference Tables'!$F$80</definedName>
    <definedName name="wld_cl01_vds03_lacp_mode_chosen">'Deploy Workload Domain'!$D$265</definedName>
    <definedName name="wld_cl01_vds03_lacp_timeout_chosen">'Deploy Workload Domain'!$D$267</definedName>
    <definedName name="wld_cl01_vds03_lag_lbt_chosen">'Deploy Workload Domain'!$D$266</definedName>
    <definedName name="wld_cl01_vds03_lag_name">'Value Reference Tables'!$F$92</definedName>
    <definedName name="wld_cl01_vds03_link_type_chosen">'Deploy Workload Domain'!$D$263</definedName>
    <definedName name="wld_cl01_vds03_mtu">'Value Reference Tables'!$F$87</definedName>
    <definedName name="wld_cl01_vds03_name">'Value Reference Tables'!$F$86</definedName>
    <definedName name="wld_cl01_vds03_pnics">'Value Reference Tables'!$F$88</definedName>
    <definedName name="wld_cl01_vds03_traffic_type">'Value Reference Tables'!$F$91</definedName>
    <definedName name="wld_cl01_vds03_uplink_count">'Value Reference Tables'!$F$89</definedName>
    <definedName name="wld_cl01_vmfs_datastore_name">'Value Reference Tables'!$F$99</definedName>
    <definedName name="wld_cl01_vsan_client_network">'Deploy Workload Domain'!$D$202</definedName>
    <definedName name="wld_cl01_vsan_datastore">'Value Reference Tables'!$F$96</definedName>
    <definedName name="wld_cl01_vsan_dedupe_compression_chosen">'Deploy Workload Domain'!$D$204</definedName>
    <definedName name="wld_cl01_vsan_ftt_chosen">'Deploy Workload Domain'!$D$203</definedName>
    <definedName name="wld_cluster_compute_edge">'Static Reference Tables'!$B$381:$B$382</definedName>
    <definedName name="wld_cluster_compute_only">'Static Reference Tables'!$B$381</definedName>
    <definedName name="wld_cluster_edge">'Static Reference Tables'!$B$382</definedName>
    <definedName name="wld_compute_hosts_per_rack">'Value Reference Tables'!$F$8</definedName>
    <definedName name="wld_compute_hosts_per_rack_chosen">'Deploy Workload Domain'!$B$11</definedName>
    <definedName name="wld_compute_hosts_per_rack_result">'Deploy Workload Domain'!$D$11</definedName>
    <definedName name="wld_compute_total_number_hosts">'Value Reference Tables'!$F$9</definedName>
    <definedName name="wld_datacenter">'Value Reference Tables'!$O$88</definedName>
    <definedName name="wld_dedicated_edge_cluster_chosen_exclude">'Static Reference Tables'!$B$386</definedName>
    <definedName name="wld_dedicated_edge_cluster_chosen_include">'Static Reference Tables'!$B$385:$B$386</definedName>
    <definedName name="wld_domain_chosen">'Deploy Workload Domain'!$B$10</definedName>
    <definedName name="wld_domain_number_chosen">'Value Reference Tables'!$F$7</definedName>
    <definedName name="wld_domain_password_creation_chosen">'Deploy Workload Domain'!$D$151</definedName>
    <definedName name="wld_domain_result">'Deploy Workload Domain'!$D$10</definedName>
    <definedName name="wld_dpg_separation_chosen">'Deploy Workload Domain'!$B$13</definedName>
    <definedName name="wld_dpg_separation_result">'Deploy Workload Domain'!$D$13</definedName>
    <definedName name="wld_ec_api_chosen">'Configure Workload Domain'!$D$134</definedName>
    <definedName name="wld_ec_formfactor_chosen">'Configure Workload Domain'!$D$40</definedName>
    <definedName name="wld_ec_gateway_type">'Value Reference Tables'!$F$152</definedName>
    <definedName name="wld_ec_mtu">'Value Reference Tables'!$F$190</definedName>
    <definedName name="wld_ec_name">'Value Reference Tables'!$O$67</definedName>
    <definedName name="wld_ec_rp_name">'Value Reference Tables'!$F$153</definedName>
    <definedName name="wld_ec01_en01_host_group_affinity_rule_name">'Value Reference Tables'!$F$155</definedName>
    <definedName name="wld_ec01_en02_host_group_affinity_rule_name">'Value Reference Tables'!$F$156</definedName>
    <definedName name="wld_ec01_host_group_affinity_rule_chosen">'Configure Workload Domain'!$D$45</definedName>
    <definedName name="wld_ec01_use_host_overlay_chosen">'Configure Workload Domain'!$D$52</definedName>
    <definedName name="wld_en_asn">'Value Reference Tables - MR'!$I$100</definedName>
    <definedName name="wld_en01_bfd_chosen">'Configure Workload Domain'!$D$104</definedName>
    <definedName name="wld_en02_bfd_chosen">'Configure Workload Domain'!$D$119</definedName>
    <definedName name="wld_esx_root_password">'Value Reference Tables'!$C$223</definedName>
    <definedName name="wld_esx_root_username">'Value Reference Tables'!$L$40</definedName>
    <definedName name="wld_esxi_external_certs_chosen">'Deploy Workload Domain'!$B$17</definedName>
    <definedName name="wld_esxi_external_certs_result">'Deploy Workload Domain'!$D$17</definedName>
    <definedName name="wld_existing_active_nsx_gm">'Value Reference Tables'!$O$85</definedName>
    <definedName name="wld_existing_cross_instance_t0_name">'Value Reference Tables'!$O$86</definedName>
    <definedName name="wld_gateway_routing_type_chosen">'Configure Workload Domain'!$D$98</definedName>
    <definedName name="wld_host_overlay_addressing_chosen">'Deploy Workload Domain'!$D$304</definedName>
    <definedName name="wld_iaas_chosen">'Deploy Workload Domain'!$B$18</definedName>
    <definedName name="wld_iaas_result">'Deploy Workload Domain'!$D$18</definedName>
    <definedName name="wld_iaas_service_chosen">'Value Reference Tables'!$F$167</definedName>
    <definedName name="wld_multi_rack_count_chosen">'Deploy Workload Domain'!$B$12</definedName>
    <definedName name="wld_multi_rack_count_result">'Deploy Workload Domain'!$D$12</definedName>
    <definedName name="wld_multirack_calc">'Value Reference Tables'!$E$10</definedName>
    <definedName name="wld_multirack_result">'Value Reference Tables'!$F$10</definedName>
    <definedName name="wld_nsx_default_operation_mode_chosen">'Deploy Workload Domain'!$D$297</definedName>
    <definedName name="wld_nsx_ha_mode_chosen">'Deploy Workload Domain'!$D$173</definedName>
    <definedName name="wld_nsx_operation_mode_chosen">'Deploy Workload Domain'!$D$298</definedName>
    <definedName name="wld_nsx_overlay_transport_zone_chosen">'Deploy Workload Domain'!$D$299</definedName>
    <definedName name="wld_nsx_vlan_transport_zone_chosen">'Deploy Workload Domain'!$D$300</definedName>
    <definedName name="wld_nsx_vlan_transport_zone_name">'Value Reference Tables'!$F$173</definedName>
    <definedName name="wld_nsxt_appliance_size_chosen">'Deploy Workload Domain'!$D$174</definedName>
    <definedName name="wld_nsxt_en_admin_password">'Value Reference Tables'!$F$191</definedName>
    <definedName name="wld_nsxt_en_root_password">'Value Reference Tables'!$F$192</definedName>
    <definedName name="wld_nsxt_federation_chosen">'Configure Workload Domain'!$B$15</definedName>
    <definedName name="wld_nsxt_federation_global_manager_name">'Value Reference Tables'!$O$80</definedName>
    <definedName name="wld_nsxt_federation_location_name">'Value Reference Tables'!$O$81</definedName>
    <definedName name="wld_nsxt_federation_result">'Configure Workload Domain'!$D$15</definedName>
    <definedName name="wld_nsxt_global_mgr_anti_affinity_rule_name">'Value Reference Tables'!$O$77</definedName>
    <definedName name="wld_nsxt_global_mgr_certificate_id">'Value Reference Tables'!$O$78</definedName>
    <definedName name="wld_nsxt_global_mgr_cluster_id">'Value Reference Tables'!$O$76</definedName>
    <definedName name="wld_nsxt_global_mgr_vmca_signed_thumbprint">'Value Reference Tables'!$O$75</definedName>
    <definedName name="wld_nsxt_global_mgra_fqdn">'Value Reference Tables'!$F$49</definedName>
    <definedName name="wld_nsxt_global_mgra_hostname">'Value Reference Tables'!$F$36</definedName>
    <definedName name="wld_nsxt_global_mgra_ip">'Value Reference Tables'!$F$20</definedName>
    <definedName name="wld_nsxt_global_mgrb_fqdn">'Value Reference Tables'!$F$50</definedName>
    <definedName name="wld_nsxt_global_mgrb_hostname">'Value Reference Tables'!$F$37</definedName>
    <definedName name="wld_nsxt_global_mgrb_ip">'Value Reference Tables'!$F$21</definedName>
    <definedName name="wld_nsxt_global_mgrc_fqdn">'Value Reference Tables'!$F$51</definedName>
    <definedName name="wld_nsxt_global_mgrc_hostname">'Value Reference Tables'!$F$38</definedName>
    <definedName name="wld_nsxt_global_mgrc_ip">'Value Reference Tables'!$F$22</definedName>
    <definedName name="wld_nsxt_gm_admin_password">'Value Reference Tables'!$L$25</definedName>
    <definedName name="wld_nsxt_gm_audit_password">'Value Reference Tables'!$L$26</definedName>
    <definedName name="wld_nsxt_gm_fingerprint">'Value Reference Tables'!$O$83</definedName>
    <definedName name="wld_nsxt_gm_hostname">'Value Reference Tables'!$F$35</definedName>
    <definedName name="wld_nsxt_gm_root_password">'Value Reference Tables'!$L$24</definedName>
    <definedName name="wld_nsxt_gm_vip_fqdn">'Value Reference Tables'!$F$48</definedName>
    <definedName name="wld_nsxt_gm_vip_ip">'Value Reference Tables'!$F$19</definedName>
    <definedName name="wld_nsxt_hostname">'Value Reference Tables'!$F$31</definedName>
    <definedName name="wld_nsxt_lm_admin_password">'Value Reference Tables'!$F$150</definedName>
    <definedName name="wld_nsxt_lm_audit_password">'Value Reference Tables'!$F$149</definedName>
    <definedName name="wld_nsxt_lm_fingerprint">'Value Reference Tables'!$O$82</definedName>
    <definedName name="wld_nsxt_mgra_fqdn">'Value Reference Tables'!$F$45</definedName>
    <definedName name="wld_nsxt_mgra_hostname">'Value Reference Tables'!$F$32</definedName>
    <definedName name="wld_nsxt_mgra_ip">'Value Reference Tables'!$F$16</definedName>
    <definedName name="wld_nsxt_mgrb_fqdn">'Value Reference Tables'!$F$46</definedName>
    <definedName name="wld_nsxt_mgrb_hostname">'Value Reference Tables'!$F$33</definedName>
    <definedName name="wld_nsxt_mgrb_ip">'Value Reference Tables'!$F$17</definedName>
    <definedName name="wld_nsxt_mgrc_fqdn">'Value Reference Tables'!$F$47</definedName>
    <definedName name="wld_nsxt_mgrc_hostname">'Value Reference Tables'!$F$34</definedName>
    <definedName name="wld_nsxt_mgrc_ip">'Value Reference Tables'!$F$18</definedName>
    <definedName name="wld_nsxt_vip_fqdn">'Value Reference Tables'!$F$44</definedName>
    <definedName name="wld_nsxt_vip_ip">'Value Reference Tables'!$F$15</definedName>
    <definedName name="wld_nsxt_xreg_t1_name">'Value Reference Tables'!$O$84</definedName>
    <definedName name="wld_principal_storage_chosen">'Deploy Workload Domain'!$B$14</definedName>
    <definedName name="wld_principal_storage_result">'Deploy Workload Domain'!$D$14</definedName>
    <definedName name="wld_rack2_en_asn">'Value Reference Tables - MR'!$L$100</definedName>
    <definedName name="wld_rack3_en_asn">'Value Reference Tables - MR'!$O$100</definedName>
    <definedName name="wld_rack4_en_asn">'Value Reference Tables - MR'!$R$100</definedName>
    <definedName name="wld_rack5_en_asn">'Value Reference Tables - MR'!$U$100</definedName>
    <definedName name="wld_rack6_en_asn">'Value Reference Tables - MR'!$X$100</definedName>
    <definedName name="wld_rack7_en_asn">'Value Reference Tables - MR'!$AA$100</definedName>
    <definedName name="wld_rack8_en_asn">'Value Reference Tables - MR'!$AD$100</definedName>
    <definedName name="wld_rtep_ip_pool_name">'Value Reference Tables'!$O$79</definedName>
    <definedName name="wld_rtep_overlay_pool_end_ip">'Value Reference Tables - MR'!$I$162</definedName>
    <definedName name="wld_rtep_overlay_pool_start_ip">'Value Reference Tables - MR'!$I$161</definedName>
    <definedName name="wld_rwr_az1_vrms_gateway_ip">'Value Reference Tables'!$U$206</definedName>
    <definedName name="wld_rwr_az1_vrms_gateway_mask">'Value Reference Tables'!$U$208</definedName>
    <definedName name="wld_rwr_cl02_cluster">'Value Reference Tables'!$U$195</definedName>
    <definedName name="wld_rwr_recovery_site_az1_vrms_cidr">'Value Reference Tables'!$U$207</definedName>
    <definedName name="wld_rwr_recovery_site_vc_fqdn">'Value Reference Tables'!$U$202</definedName>
    <definedName name="wld_rwr_recoverysite_fd">'Value Reference Tables'!$U$204</definedName>
    <definedName name="wld_rwr_recoverysite_prefix">'Value Reference Tables'!$U$205</definedName>
    <definedName name="wld_rwr_vc_fqdn">'Value Reference Tables'!$U$192</definedName>
    <definedName name="wld_rwr_vcfops_vlsr_username">'Value Reference Tables'!$U$210</definedName>
    <definedName name="wld_rwr_vcfops_vr_username">'Value Reference Tables'!$U$211</definedName>
    <definedName name="wld_sddc_domain">'Value Reference Tables'!$O$63</definedName>
    <definedName name="wld_sddc_org">'Value Reference Tables'!$O$64</definedName>
    <definedName name="wld_secondary_storage_chosen">'Deploy Workload Domain'!$B$16</definedName>
    <definedName name="wld_secondary_storage_result">'Deploy Workload Domain'!$D$16</definedName>
    <definedName name="wld_signed_certs_chosen">'Configure Workload Domain'!$B$11</definedName>
    <definedName name="wld_signed_certs_result">'Configure Workload Domain'!$D$11</definedName>
    <definedName name="wld_srm_admin_email">'Value Reference Tables'!$U$115</definedName>
    <definedName name="wld_srm_admin_password">'Value Reference Tables'!$U$112</definedName>
    <definedName name="wld_srm_database_password">'Value Reference Tables'!$U$113</definedName>
    <definedName name="wld_srm_fqdn">'Value Reference Tables'!$R$130</definedName>
    <definedName name="wld_srm_hostname">'Value Reference Tables'!$R$120</definedName>
    <definedName name="wld_srm_ip">'Value Reference Tables'!$R$110</definedName>
    <definedName name="wld_srm_p12_password">'Value Reference Tables'!$U$116</definedName>
    <definedName name="wld_srm_recovery_vcenter_fqdn">'Value Reference Tables'!$U$118</definedName>
    <definedName name="wld_srm_recovery_vcenter_password">'Value Reference Tables'!$U$120</definedName>
    <definedName name="wld_srm_recovery_vcenter_username">'Value Reference Tables'!$U$119</definedName>
    <definedName name="wld_srm_root_password">'Value Reference Tables'!$U$111</definedName>
    <definedName name="wld_srm_site_name">'Value Reference Tables'!$U$114</definedName>
    <definedName name="wld_srm_sso_domain_membership">'Value Reference Tables'!$U$122</definedName>
    <definedName name="wld_srm_vm_folder">'Value Reference Tables'!$U$110</definedName>
    <definedName name="wld_srm_vm_size">'Value Reference Tables'!$U$117</definedName>
    <definedName name="wld_srm_vm_size_chosen">'Management Domain Sizing'!$F$72</definedName>
    <definedName name="wld_sso_domain_administrator">'Value Reference Tables'!$F$146</definedName>
    <definedName name="wld_sso_domain_administrator_password">'Value Reference Tables'!$F$145</definedName>
    <definedName name="wld_sso_domain_name">'Value Reference Tables'!$F$144</definedName>
    <definedName name="wld_stretched_cluster_chosen">'Configure Workload Domain'!$B$14</definedName>
    <definedName name="wld_stretched_cluster_result">'Configure Workload Domain'!$D$14</definedName>
    <definedName name="wld_tier0_ha_chosen">'Configure Workload Domain'!$D$97</definedName>
    <definedName name="wld_tier0_name">'Value Reference Tables'!$O$69</definedName>
    <definedName name="wld_tier0_skip_chosen">'Configure Workload Domain'!$D$95</definedName>
    <definedName name="wld_vc_fqdn">'Value Reference Tables'!$F$43</definedName>
    <definedName name="wld_vc_hostname">'Value Reference Tables'!$F$30</definedName>
    <definedName name="wld_vc_ip">'Value Reference Tables'!$F$14</definedName>
    <definedName name="wld_vcenter_root_password">'Value Reference Tables'!$C$224</definedName>
    <definedName name="wld_vlr_fqdn">'Value Reference Tables'!$U$194</definedName>
    <definedName name="wld_vlr_hostname">'Value Reference Tables'!$U$193</definedName>
    <definedName name="wld_vlr_replication_user">'Value Reference Tables'!$U$198</definedName>
    <definedName name="wld_vnaa_fqdn">Arkham!$R$45</definedName>
    <definedName name="wld_vnaa_ip">Arkham!$R$43</definedName>
    <definedName name="wld_vnab_fqdn">Arkham!$R$46</definedName>
    <definedName name="wld_vnab_ip">Arkham!$R$44</definedName>
    <definedName name="wld_vpc_ext_ip_blocks">'Value Reference Tables'!$O$71</definedName>
    <definedName name="wld_vpc_transit_gateway_ip_blocks">'Value Reference Tables'!$O$72</definedName>
    <definedName name="wld_vrms_admin_email">'Value Reference Tables'!$U$107</definedName>
    <definedName name="wld_vrms_admin_password">'Value Reference Tables'!$U$105</definedName>
    <definedName name="wld_vrms_fqdn">'Value Reference Tables'!$R$129</definedName>
    <definedName name="wld_vrms_hostname">'Value Reference Tables'!$R$119</definedName>
    <definedName name="wld_vrms_mask">'Value Reference Tables'!$AA$50</definedName>
    <definedName name="wld_vrms_mgmt_ip">'Value Reference Tables'!$R$108</definedName>
    <definedName name="wld_vrms_p12_password">'Value Reference Tables'!$U$109</definedName>
    <definedName name="wld_vrms_pg">'Value Reference Tables'!$U$108</definedName>
    <definedName name="wld_vrms_recovery_replication_cidr">'Value Reference Tables'!$U$121</definedName>
    <definedName name="wld_vrms_root_password">'Value Reference Tables'!$U$104</definedName>
    <definedName name="wld_vrms_site_name">'Value Reference Tables'!$U$106</definedName>
    <definedName name="wld_vrms_vm_folder">'Value Reference Tables'!$U$103</definedName>
    <definedName name="wld_vrms_vrms_ip">'Value Reference Tables'!$R$109</definedName>
    <definedName name="wld_vsan_type">'Value Reference Tables'!$F$170</definedName>
    <definedName name="wld_vsan_type_chosen">'Configure Workload Domain'!$D$249</definedName>
    <definedName name="wld_witness_az_mgmt_mask">'Value Reference Tables'!$AA$43</definedName>
    <definedName name="wld_witness_cluster">'Value Reference Tables'!$F$121</definedName>
    <definedName name="wld_witness_dns1_ip">'Value Reference Tables'!$F$123</definedName>
    <definedName name="wld_witness_dns2_ip">'Value Reference Tables'!$F$124</definedName>
    <definedName name="wld_witness_fqdn">'Value Reference Tables'!$F$59</definedName>
    <definedName name="wld_witness_hostname">'Value Reference Tables'!$F$107</definedName>
    <definedName name="wld_witness_ip">'Value Reference Tables'!$F$132</definedName>
    <definedName name="wld_witness_mgmt_pg">'Value Reference Tables'!$X$56</definedName>
    <definedName name="wld_witness_ntp1_server">'Value Reference Tables'!$F$125</definedName>
    <definedName name="wld_witness_ntp2_server">'Value Reference Tables'!$F$126</definedName>
    <definedName name="wld_witness_root_password">'Value Reference Tables'!$L$35</definedName>
    <definedName name="wld_witness_vc_fqdn">'Value Reference Tables'!$F$58</definedName>
    <definedName name="wld_witness_vm_folder">'Value Reference Tables'!$F$122</definedName>
    <definedName name="wld_witness_vsan_datastore">'Value Reference Tables'!$F$120</definedName>
    <definedName name="wld_witness_zone_vc_fqdn">'Value Reference Tables'!$F$133</definedName>
    <definedName name="wld_witness_zone_vc_hostname">'Value Reference Tables'!$F$106</definedName>
    <definedName name="wld_witness_zone_vc_ip">'Value Reference Tables'!$F$130</definedName>
    <definedName name="wld_witnessaz_gateway_ip">'Value Reference Tables'!$X$64</definedName>
    <definedName name="wld_witnessaz_mgmt_cidr">'Value Reference Tables'!$F$134</definedName>
    <definedName name="wld_witnessaz_mgmt_gateway_ip">'Value Reference Tables'!$F$135</definedName>
    <definedName name="wld_witnessaz_mgmt_mask">'Value Reference Tables'!$F$136</definedName>
    <definedName name="wld_witnessaz_mgmt_mtu">'Value Reference Tables'!$X$68</definedName>
    <definedName name="wld_witnessaz_mgmt_network">'Value Reference Tables'!$F$137</definedName>
    <definedName name="wld_witnessaz_mgmt_vlan">'Value Reference Tables'!$X$52</definedName>
    <definedName name="workload_descriptor">'Value Reference Tables'!$AA$61</definedName>
    <definedName name="xreg_seg01_mask">'Value Reference Tables'!$AA$41</definedName>
    <definedName name="xreg_vra_admin_password">'Value Reference Tables'!$C$225</definedName>
    <definedName name="xreg_vra_k8s_cluster_cidr_chosen">'Deploy Management Domain'!$L$85</definedName>
    <definedName name="xreg_vra_node_pool_end_ip">Arkham!$R$38</definedName>
    <definedName name="xreg_vra_node_pool_start_ip">Arkham!$R$37</definedName>
    <definedName name="xreg_vra_nodea_ip">'Value Reference Tables'!$R$39</definedName>
    <definedName name="xreg_vra_nodeb_ip">'Value Reference Tables'!$R$40</definedName>
    <definedName name="xreg_vra_nodec_ip">'Value Reference Tables'!$R$41</definedName>
    <definedName name="xreg_vra_noded_ip">'Value Reference Tables'!$R$42</definedName>
    <definedName name="xreg_vra_nodee_ip">Arkham!$R$8</definedName>
    <definedName name="xreg_vra_nodef_ip">Arkham!$R$9</definedName>
    <definedName name="xreg_vra_prefix">'Value Reference Tables'!$F$138</definedName>
    <definedName name="xreg_vra_size_chosen">Arkham!$P$4</definedName>
    <definedName name="xreg_vra_virtual_fqdn">'Value Reference Tables'!$R$52</definedName>
    <definedName name="xreg_vra_virtual_hostname">'Value Reference Tables'!$R$48</definedName>
    <definedName name="xreg_vra_virtual_ip">'Value Reference Tables'!$R$38</definedName>
    <definedName name="xreg_vra_vm_folder">'Dumping Ground'!$D$107</definedName>
    <definedName name="xreg_vrni_nodea_hostname">'Value Reference Tables'!$R$139</definedName>
    <definedName name="xreg_vrni_nodea_ip">'Value Reference Tables'!$R$134</definedName>
    <definedName name="xreg_vrops_admin_password">'Value Reference Tables'!$C$226</definedName>
    <definedName name="xreg_vrops_collector_fqdn">'Value Reference Tables'!$R$97</definedName>
    <definedName name="xreg_vrops_collector_hostname">'Value Reference Tables'!$R$89</definedName>
    <definedName name="xreg_vrops_collector_ip">'Value Reference Tables'!$F$139</definedName>
    <definedName name="xreg_vrops_collector_root_password">'Value Reference Tables'!$L$39</definedName>
    <definedName name="xreg_vrops_nodea_fqdn">'Value Reference Tables'!$R$94</definedName>
    <definedName name="xreg_vrops_nodea_hostname">'Value Reference Tables'!$R$86</definedName>
    <definedName name="xreg_vrops_nodea_ip">'Value Reference Tables'!$R$78</definedName>
    <definedName name="xreg_vrops_nodeb_fqdn">'Value Reference Tables'!$R$95</definedName>
    <definedName name="xreg_vrops_nodeb_hostname">'Value Reference Tables'!$R$87</definedName>
    <definedName name="xreg_vrops_nodeb_ip">'Value Reference Tables'!$R$79</definedName>
    <definedName name="xreg_vrops_nodec_fqdn">'Value Reference Tables'!$R$96</definedName>
    <definedName name="xreg_vrops_nodec_hostname">'Value Reference Tables'!$R$88</definedName>
    <definedName name="xreg_vrops_nodec_ip">'Value Reference Tables'!$R$80</definedName>
    <definedName name="xreg_vrops_root_password">'Value Reference Tables'!$C$227</definedName>
    <definedName name="xreg_vrops_srm_sso_password">'Value Reference Tables'!$U$60</definedName>
    <definedName name="xreg_vrops_srm_sso_username">'Value Reference Tables'!$U$59</definedName>
    <definedName name="xreg_vrops_virtual_fqdn">'Value Reference Tables'!$R$93</definedName>
    <definedName name="xreg_vrops_virtual_hostname">'Value Reference Tables'!$R$85</definedName>
    <definedName name="xreg_vrops_virtual_ip">'Value Reference Tables'!$R$77</definedName>
    <definedName name="xreg_vrops_vm_folder">'Dumping Ground'!$D$106</definedName>
    <definedName name="xreg_vrops_vrms_sso_password">'Value Reference Tables'!$U$58</definedName>
    <definedName name="xreg_vrops_vrms_sso_username">'Value Reference Tables'!$U$57</definedName>
    <definedName name="xreg_vrslcm_fqdn">'Value Reference Tables'!$R$16</definedName>
    <definedName name="xreg_vrslcm_hostname">'Value Reference Tables'!$R$12</definedName>
    <definedName name="xreg_vrslcm_ip">'Value Reference Tables'!$R$8</definedName>
    <definedName name="xreg_wsa_cert_name">'Value Reference Tables'!$AA$15</definedName>
    <definedName name="xreg_wsa_vm_folder">'Dumping Ground'!$D$105</definedName>
    <definedName name="xregion_dns1_ip">'Value Reference Tables'!$L$53</definedName>
    <definedName name="xregion_dns2_ip">'Value Reference Tables'!$L$54</definedName>
    <definedName name="xregion_ntp1_server">'Value Reference Tables'!$L$47</definedName>
    <definedName name="xregion_ntp2_server">'Value Reference Tables'!$L$48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3" i="62" l="1"/>
  <c r="C125" i="108" l="1"/>
  <c r="C60" i="109" l="1"/>
  <c r="C68" i="109"/>
  <c r="C72" i="109"/>
  <c r="C46" i="109"/>
  <c r="C42" i="109"/>
  <c r="C99" i="108"/>
  <c r="C103" i="108"/>
  <c r="C117" i="108"/>
  <c r="C129" i="108"/>
  <c r="P44" i="123"/>
  <c r="P43" i="123"/>
  <c r="D229" i="85"/>
  <c r="D228" i="85"/>
  <c r="D227" i="85"/>
  <c r="C223" i="85"/>
  <c r="C222" i="85"/>
  <c r="C221" i="85"/>
  <c r="D220" i="85"/>
  <c r="C220" i="85"/>
  <c r="C219" i="85"/>
  <c r="C218" i="85"/>
  <c r="C209" i="85"/>
  <c r="C210" i="85" s="1"/>
  <c r="D210" i="85" s="1"/>
  <c r="D199" i="85"/>
  <c r="C179" i="85"/>
  <c r="D177" i="85"/>
  <c r="D171" i="85"/>
  <c r="D167" i="85"/>
  <c r="C157" i="85"/>
  <c r="C156" i="85"/>
  <c r="C155" i="85"/>
  <c r="C150" i="85"/>
  <c r="D149" i="85"/>
  <c r="D148" i="85"/>
  <c r="D147" i="85"/>
  <c r="C146" i="85"/>
  <c r="C145" i="85"/>
  <c r="C134" i="85"/>
  <c r="C128" i="85"/>
  <c r="C125" i="85"/>
  <c r="C121" i="85"/>
  <c r="C120" i="85"/>
  <c r="C111" i="85"/>
  <c r="C110" i="85"/>
  <c r="C102" i="85"/>
  <c r="D101" i="85"/>
  <c r="D97" i="85"/>
  <c r="C97" i="85"/>
  <c r="C92" i="85"/>
  <c r="D91" i="85"/>
  <c r="D90" i="85"/>
  <c r="D89" i="85"/>
  <c r="C88" i="85"/>
  <c r="C87" i="85"/>
  <c r="C82" i="85"/>
  <c r="C81" i="85"/>
  <c r="C80" i="85"/>
  <c r="C79" i="85"/>
  <c r="C78" i="85"/>
  <c r="C77" i="85"/>
  <c r="C76" i="85"/>
  <c r="D75" i="85"/>
  <c r="C53" i="85"/>
  <c r="C52" i="85"/>
  <c r="C46" i="85"/>
  <c r="C166" i="86"/>
  <c r="D166" i="86" s="1"/>
  <c r="D165" i="86"/>
  <c r="C165" i="86"/>
  <c r="D156" i="86"/>
  <c r="C155" i="86"/>
  <c r="C154" i="86"/>
  <c r="D153" i="86"/>
  <c r="D148" i="86"/>
  <c r="C144" i="86"/>
  <c r="C143" i="86"/>
  <c r="D140" i="86"/>
  <c r="C120" i="86"/>
  <c r="C119" i="86"/>
  <c r="C118" i="86"/>
  <c r="C117" i="86"/>
  <c r="D116" i="86"/>
  <c r="C116" i="86"/>
  <c r="D113" i="86"/>
  <c r="C108" i="86" a="1"/>
  <c r="C108" i="86" s="1"/>
  <c r="C107" i="86" a="1"/>
  <c r="C107" i="86"/>
  <c r="D102" i="86"/>
  <c r="D100" i="86"/>
  <c r="C93" i="86" a="1"/>
  <c r="C93" i="86"/>
  <c r="C86" i="86" a="1"/>
  <c r="C86" i="86"/>
  <c r="C85" i="86"/>
  <c r="C80" i="86" a="1"/>
  <c r="C80" i="86"/>
  <c r="D79" i="86"/>
  <c r="C79" i="86"/>
  <c r="C74" i="86"/>
  <c r="C69" i="86" a="1"/>
  <c r="C69" i="86"/>
  <c r="D68" i="86"/>
  <c r="D67" i="86"/>
  <c r="D66" i="86"/>
  <c r="C65" i="86" a="1"/>
  <c r="C65" i="86"/>
  <c r="C64" i="86" a="1"/>
  <c r="C64" i="86" s="1"/>
  <c r="C59" i="86" a="1"/>
  <c r="C59" i="86"/>
  <c r="C58" i="86" a="1"/>
  <c r="C58" i="86" s="1"/>
  <c r="C57" i="86" a="1"/>
  <c r="C57" i="86" s="1"/>
  <c r="C56" i="86" a="1"/>
  <c r="C56" i="86"/>
  <c r="C55" i="86" a="1"/>
  <c r="C55" i="86"/>
  <c r="C54" i="86" a="1"/>
  <c r="C54" i="86"/>
  <c r="C53" i="86" a="1"/>
  <c r="C53" i="86" s="1"/>
  <c r="D52" i="86"/>
  <c r="C112" i="95"/>
  <c r="C108" i="95"/>
  <c r="C104" i="95"/>
  <c r="D100" i="95"/>
  <c r="C100" i="95"/>
  <c r="C86" i="95"/>
  <c r="C70" i="95"/>
  <c r="C69" i="95"/>
  <c r="D65" i="95"/>
  <c r="D61" i="95"/>
  <c r="D60" i="95"/>
  <c r="C54" i="95"/>
  <c r="C53" i="95"/>
  <c r="C169" i="112"/>
  <c r="D166" i="112"/>
  <c r="F163" i="112"/>
  <c r="H144" i="112"/>
  <c r="C144" i="112"/>
  <c r="H143" i="112"/>
  <c r="C143" i="112"/>
  <c r="H141" i="112"/>
  <c r="C139" i="112"/>
  <c r="C120" i="112"/>
  <c r="C45" i="112"/>
  <c r="H41" i="112"/>
  <c r="G41" i="112"/>
  <c r="F41" i="112" a="1"/>
  <c r="F41" i="112" s="1"/>
  <c r="E41" i="112"/>
  <c r="C20" i="112"/>
  <c r="C19" i="112"/>
  <c r="G17" i="112"/>
  <c r="G16" i="112"/>
  <c r="F16" i="112" a="1"/>
  <c r="F16" i="112"/>
  <c r="E16" i="112"/>
  <c r="C15" i="112" a="1"/>
  <c r="C15" i="112"/>
  <c r="C106" i="116"/>
  <c r="C103" i="116"/>
  <c r="D97" i="116"/>
  <c r="C93" i="116"/>
  <c r="C85" i="116"/>
  <c r="C78" i="116"/>
  <c r="C72" i="116"/>
  <c r="C67" i="116"/>
  <c r="C54" i="116"/>
  <c r="C35" i="116"/>
  <c r="C32" i="116"/>
  <c r="D30" i="116"/>
  <c r="C23" i="116"/>
  <c r="D21" i="116"/>
  <c r="C18" i="116"/>
  <c r="B147" i="113"/>
  <c r="B142" i="113"/>
  <c r="C132" i="113"/>
  <c r="C124" i="113"/>
  <c r="C121" i="113"/>
  <c r="D111" i="113"/>
  <c r="D98" i="113"/>
  <c r="C86" i="113"/>
  <c r="C79" i="113"/>
  <c r="C73" i="113"/>
  <c r="C68" i="113"/>
  <c r="C55" i="113"/>
  <c r="C36" i="113"/>
  <c r="C33" i="113"/>
  <c r="C28" i="113"/>
  <c r="C23" i="113"/>
  <c r="C18" i="113"/>
  <c r="C13" i="113"/>
  <c r="C202" i="119"/>
  <c r="D181" i="119"/>
  <c r="C134" i="119"/>
  <c r="C131" i="119"/>
  <c r="C126" i="119"/>
  <c r="C125" i="119"/>
  <c r="C130" i="119" s="1"/>
  <c r="C123" i="119"/>
  <c r="C127" i="119" s="1"/>
  <c r="C113" i="119"/>
  <c r="C101" i="119"/>
  <c r="C100" i="119"/>
  <c r="E97" i="119"/>
  <c r="C91" i="119"/>
  <c r="C88" i="119"/>
  <c r="D85" i="119" a="1"/>
  <c r="D85" i="119" s="1"/>
  <c r="C85" i="119"/>
  <c r="C79" i="119"/>
  <c r="E78" i="119"/>
  <c r="E71" i="119"/>
  <c r="E70" i="119"/>
  <c r="C62" i="119"/>
  <c r="D57" i="119"/>
  <c r="C43" i="119"/>
  <c r="C212" i="119" s="1"/>
  <c r="C32" i="119"/>
  <c r="C23" i="119"/>
  <c r="C36" i="119" s="1"/>
  <c r="C21" i="119"/>
  <c r="C20" i="119"/>
  <c r="D525" i="75"/>
  <c r="D520" i="75"/>
  <c r="C519" i="75"/>
  <c r="C518" i="75"/>
  <c r="C517" i="75"/>
  <c r="D514" i="75"/>
  <c r="C514" i="75"/>
  <c r="C508" i="75"/>
  <c r="C507" i="75"/>
  <c r="C506" i="75"/>
  <c r="C503" i="75"/>
  <c r="D496" i="75"/>
  <c r="D491" i="75"/>
  <c r="D490" i="75"/>
  <c r="C490" i="75"/>
  <c r="D489" i="75"/>
  <c r="C488" i="75"/>
  <c r="C487" i="75"/>
  <c r="C477" i="75"/>
  <c r="C466" i="75"/>
  <c r="D455" i="75"/>
  <c r="D452" i="75" a="1"/>
  <c r="D452" i="75" s="1"/>
  <c r="D450" i="75"/>
  <c r="D448" i="75"/>
  <c r="D431" i="75"/>
  <c r="C431" i="75"/>
  <c r="D430" i="75"/>
  <c r="C430" i="75"/>
  <c r="D423" i="75"/>
  <c r="C423" i="75"/>
  <c r="C416" i="75"/>
  <c r="C415" i="75"/>
  <c r="C408" i="75"/>
  <c r="D405" i="75"/>
  <c r="D404" i="75"/>
  <c r="D402" i="75"/>
  <c r="D401" i="75" a="1"/>
  <c r="D401" i="75"/>
  <c r="C382" i="75"/>
  <c r="C380" i="75"/>
  <c r="C379" i="75"/>
  <c r="D375" i="75"/>
  <c r="D372" i="75"/>
  <c r="C361" i="75"/>
  <c r="C358" i="75"/>
  <c r="C357" i="75"/>
  <c r="C356" i="75"/>
  <c r="C355" i="75"/>
  <c r="C353" i="75"/>
  <c r="C352" i="75"/>
  <c r="C351" i="75"/>
  <c r="C350" i="75"/>
  <c r="C347" i="75"/>
  <c r="C346" i="75"/>
  <c r="C345" i="75"/>
  <c r="C344" i="75"/>
  <c r="C336" i="75"/>
  <c r="C335" i="75"/>
  <c r="D334" i="75"/>
  <c r="C334" i="75"/>
  <c r="C332" i="75"/>
  <c r="C331" i="75"/>
  <c r="C330" i="75"/>
  <c r="C328" i="75"/>
  <c r="C327" i="75"/>
  <c r="D326" i="75" a="1"/>
  <c r="D326" i="75" s="1"/>
  <c r="C326" i="75"/>
  <c r="C318" i="75"/>
  <c r="C317" i="75"/>
  <c r="C316" i="75"/>
  <c r="C315" i="75"/>
  <c r="C306" i="75"/>
  <c r="C305" i="75"/>
  <c r="D304" i="75"/>
  <c r="C304" i="75"/>
  <c r="C302" i="75"/>
  <c r="C301" i="75"/>
  <c r="C300" i="75"/>
  <c r="C293" i="75"/>
  <c r="C292" i="75"/>
  <c r="C291" i="75"/>
  <c r="D290" i="75" a="1"/>
  <c r="D290" i="75" s="1"/>
  <c r="C290" i="75"/>
  <c r="C281" i="75"/>
  <c r="C280" i="75"/>
  <c r="D279" i="75"/>
  <c r="C279" i="75"/>
  <c r="C277" i="75"/>
  <c r="C276" i="75"/>
  <c r="C275" i="75"/>
  <c r="C268" i="75"/>
  <c r="C267" i="75"/>
  <c r="C266" i="75"/>
  <c r="C265" i="75"/>
  <c r="C264" i="75"/>
  <c r="C251" i="75"/>
  <c r="C250" i="75"/>
  <c r="C249" i="75"/>
  <c r="C248" i="75"/>
  <c r="C348" i="75" s="1"/>
  <c r="C218" i="75"/>
  <c r="C207" i="75"/>
  <c r="C200" i="75"/>
  <c r="C199" i="75"/>
  <c r="C197" i="75"/>
  <c r="C196" i="75"/>
  <c r="C193" i="75"/>
  <c r="C187" i="75"/>
  <c r="C186" i="75"/>
  <c r="C185" i="75"/>
  <c r="C183" i="75"/>
  <c r="C182" i="75"/>
  <c r="C181" i="75"/>
  <c r="C173" i="75"/>
  <c r="C171" i="75"/>
  <c r="C153" i="75"/>
  <c r="C149" i="75"/>
  <c r="C142" i="75"/>
  <c r="C141" i="75"/>
  <c r="C134" i="75"/>
  <c r="C124" i="75"/>
  <c r="C123" i="75"/>
  <c r="C122" i="75"/>
  <c r="C121" i="75"/>
  <c r="C120" i="75"/>
  <c r="C108" i="75"/>
  <c r="C107" i="75"/>
  <c r="C106" i="75"/>
  <c r="C103" i="75"/>
  <c r="D102" i="75"/>
  <c r="C100" i="75"/>
  <c r="C102" i="75" s="1"/>
  <c r="D90" i="75"/>
  <c r="C85" i="75"/>
  <c r="D82" i="75"/>
  <c r="C82" i="75"/>
  <c r="D76" i="75"/>
  <c r="C70" i="75"/>
  <c r="D68" i="75"/>
  <c r="C67" i="75"/>
  <c r="C62" i="75"/>
  <c r="C54" i="75"/>
  <c r="C53" i="75"/>
  <c r="D51" i="75"/>
  <c r="C40" i="75"/>
  <c r="C39" i="75"/>
  <c r="C61" i="75" s="1"/>
  <c r="C38" i="75"/>
  <c r="C59" i="75" s="1"/>
  <c r="C37" i="75"/>
  <c r="C36" i="75"/>
  <c r="C35" i="75"/>
  <c r="C51" i="75" s="1"/>
  <c r="C34" i="75"/>
  <c r="C33" i="75"/>
  <c r="C32" i="75"/>
  <c r="D30" i="75"/>
  <c r="C21" i="75"/>
  <c r="C13" i="75"/>
  <c r="C641" i="117"/>
  <c r="C640" i="117"/>
  <c r="C639" i="117"/>
  <c r="C638" i="117"/>
  <c r="E637" i="117"/>
  <c r="D633" i="117"/>
  <c r="D630" i="117"/>
  <c r="D629" i="117"/>
  <c r="C592" i="117"/>
  <c r="C631" i="117" s="1"/>
  <c r="E591" i="117"/>
  <c r="C548" i="117"/>
  <c r="C547" i="117"/>
  <c r="C545" i="117"/>
  <c r="E544" i="117"/>
  <c r="D540" i="117"/>
  <c r="D537" i="117"/>
  <c r="D536" i="117"/>
  <c r="E498" i="117"/>
  <c r="C453" i="117"/>
  <c r="C452" i="117"/>
  <c r="E451" i="117"/>
  <c r="D444" i="117"/>
  <c r="D443" i="117"/>
  <c r="E405" i="117"/>
  <c r="C365" i="117"/>
  <c r="C361" i="117"/>
  <c r="E358" i="117"/>
  <c r="D354" i="117"/>
  <c r="D351" i="117"/>
  <c r="D350" i="117"/>
  <c r="C313" i="117"/>
  <c r="C352" i="117" s="1"/>
  <c r="E312" i="117"/>
  <c r="C272" i="117"/>
  <c r="C269" i="117"/>
  <c r="E265" i="117"/>
  <c r="D258" i="117"/>
  <c r="D257" i="117"/>
  <c r="E219" i="117"/>
  <c r="C175" i="117"/>
  <c r="C174" i="117"/>
  <c r="C173" i="117"/>
  <c r="E172" i="117"/>
  <c r="C166" i="117"/>
  <c r="D165" i="117"/>
  <c r="D164" i="117"/>
  <c r="C127" i="117"/>
  <c r="E126" i="117"/>
  <c r="C86" i="117"/>
  <c r="C83" i="117"/>
  <c r="C82" i="117"/>
  <c r="C80" i="117"/>
  <c r="E79" i="117"/>
  <c r="D75" i="117"/>
  <c r="D72" i="117"/>
  <c r="D71" i="117"/>
  <c r="C34" i="117"/>
  <c r="C73" i="117" s="1"/>
  <c r="E33" i="117"/>
  <c r="E562" i="120"/>
  <c r="E561" i="120"/>
  <c r="B555" i="120"/>
  <c r="E554" i="120"/>
  <c r="E553" i="120"/>
  <c r="B547" i="120"/>
  <c r="E546" i="120"/>
  <c r="E545" i="120"/>
  <c r="B539" i="120"/>
  <c r="E538" i="120"/>
  <c r="E537" i="120"/>
  <c r="B531" i="120"/>
  <c r="E530" i="120"/>
  <c r="E529" i="120"/>
  <c r="B523" i="120"/>
  <c r="E522" i="120"/>
  <c r="E521" i="120"/>
  <c r="B515" i="120"/>
  <c r="E514" i="120"/>
  <c r="E513" i="120"/>
  <c r="B507" i="120"/>
  <c r="D418" i="120"/>
  <c r="C417" i="120"/>
  <c r="D416" i="120"/>
  <c r="C416" i="120"/>
  <c r="D404" i="120"/>
  <c r="D394" i="120"/>
  <c r="C394" i="120"/>
  <c r="D393" i="120"/>
  <c r="C387" i="120"/>
  <c r="D386" i="120"/>
  <c r="D378" i="120"/>
  <c r="C376" i="120"/>
  <c r="D373" i="120"/>
  <c r="C373" i="120"/>
  <c r="C372" i="120"/>
  <c r="C368" i="120"/>
  <c r="D367" i="120"/>
  <c r="D354" i="120" a="1"/>
  <c r="D354" i="120"/>
  <c r="D352" i="120"/>
  <c r="D349" i="120"/>
  <c r="D348" i="120" a="1"/>
  <c r="D348" i="120" s="1"/>
  <c r="D345" i="120" a="1"/>
  <c r="D345" i="120"/>
  <c r="C345" i="120" a="1"/>
  <c r="C345" i="120"/>
  <c r="D341" i="120" a="1"/>
  <c r="D341" i="120" s="1"/>
  <c r="D338" i="120" a="1"/>
  <c r="D338" i="120" s="1"/>
  <c r="D335" i="120" a="1"/>
  <c r="D335" i="120" s="1"/>
  <c r="C335" i="120" a="1"/>
  <c r="C335" i="120" s="1"/>
  <c r="D332" i="120" a="1"/>
  <c r="D332" i="120"/>
  <c r="C320" i="120"/>
  <c r="C303" i="120"/>
  <c r="C301" i="120"/>
  <c r="C300" i="120"/>
  <c r="C299" i="120"/>
  <c r="C298" i="120"/>
  <c r="D285" i="120" a="1"/>
  <c r="D285" i="120"/>
  <c r="C285" i="120"/>
  <c r="C284" i="120"/>
  <c r="C270" i="120"/>
  <c r="C281" i="120" s="1"/>
  <c r="C269" i="120"/>
  <c r="C259" i="120"/>
  <c r="D258" i="120"/>
  <c r="C256" i="120"/>
  <c r="D255" i="120"/>
  <c r="C249" i="120"/>
  <c r="D243" i="120"/>
  <c r="D237" i="120"/>
  <c r="C236" i="120"/>
  <c r="C235" i="120"/>
  <c r="D233" i="120"/>
  <c r="D224" i="120"/>
  <c r="D213" i="120"/>
  <c r="D212" i="120"/>
  <c r="D210" i="120"/>
  <c r="D209" i="120"/>
  <c r="D208" i="120"/>
  <c r="D207" i="120"/>
  <c r="D205" i="120"/>
  <c r="D199" i="120"/>
  <c r="D198" i="120"/>
  <c r="D192" i="120"/>
  <c r="D190" i="120"/>
  <c r="D189" i="120"/>
  <c r="D188" i="120"/>
  <c r="D186" i="120"/>
  <c r="D185" i="120"/>
  <c r="D184" i="120"/>
  <c r="D179" i="120"/>
  <c r="D173" i="120"/>
  <c r="D172" i="120"/>
  <c r="D171" i="120"/>
  <c r="D170" i="120"/>
  <c r="D169" i="120"/>
  <c r="D168" i="120"/>
  <c r="D167" i="120"/>
  <c r="D166" i="120"/>
  <c r="D165" i="120"/>
  <c r="D164" i="120"/>
  <c r="D163" i="120"/>
  <c r="D158" i="120"/>
  <c r="D157" i="120"/>
  <c r="D156" i="120"/>
  <c r="D155" i="120"/>
  <c r="D150" i="120"/>
  <c r="D149" i="120"/>
  <c r="D148" i="120"/>
  <c r="D146" i="120"/>
  <c r="D145" i="120"/>
  <c r="D144" i="120"/>
  <c r="D143" i="120"/>
  <c r="D137" i="120"/>
  <c r="D136" i="120"/>
  <c r="D130" i="120"/>
  <c r="D125" i="120"/>
  <c r="D119" i="120"/>
  <c r="D118" i="120"/>
  <c r="C118" i="120"/>
  <c r="D117" i="120"/>
  <c r="C117" i="120"/>
  <c r="C116" i="120"/>
  <c r="D115" i="120"/>
  <c r="D113" i="120"/>
  <c r="D112" i="120"/>
  <c r="C104" i="120" a="1"/>
  <c r="C104" i="120"/>
  <c r="D103" i="120"/>
  <c r="D98" i="120"/>
  <c r="C88" i="120"/>
  <c r="C82" i="120"/>
  <c r="C397" i="120" s="1"/>
  <c r="C77" i="120"/>
  <c r="C361" i="120" s="1"/>
  <c r="C74" i="120"/>
  <c r="C291" i="120" s="1"/>
  <c r="C73" i="120"/>
  <c r="C69" i="120"/>
  <c r="C231" i="120" s="1"/>
  <c r="C63" i="120"/>
  <c r="C41" i="120"/>
  <c r="C36" i="120"/>
  <c r="C28" i="120"/>
  <c r="F12" i="120"/>
  <c r="C381" i="120" s="1"/>
  <c r="D12" i="120"/>
  <c r="F11" i="120"/>
  <c r="C283" i="120" s="1"/>
  <c r="D10" i="120"/>
  <c r="D4" i="120"/>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1" i="63"/>
  <c r="L340" i="63"/>
  <c r="L339" i="63"/>
  <c r="L338" i="63"/>
  <c r="L337" i="63"/>
  <c r="L336" i="63"/>
  <c r="L335" i="63"/>
  <c r="L334" i="63"/>
  <c r="L333" i="63"/>
  <c r="L332" i="63"/>
  <c r="L331" i="63"/>
  <c r="L330" i="63"/>
  <c r="L327" i="63"/>
  <c r="L326" i="63"/>
  <c r="L325" i="63"/>
  <c r="L324" i="63"/>
  <c r="L323" i="63"/>
  <c r="L322" i="63"/>
  <c r="L321" i="63"/>
  <c r="L320" i="63"/>
  <c r="L319" i="63"/>
  <c r="L318" i="63"/>
  <c r="L317" i="63"/>
  <c r="L316" i="63"/>
  <c r="L315" i="63"/>
  <c r="L314" i="63"/>
  <c r="L313" i="63"/>
  <c r="L312" i="63"/>
  <c r="I312" i="63"/>
  <c r="I311" i="63"/>
  <c r="L310" i="63"/>
  <c r="I310" i="63"/>
  <c r="L309" i="63"/>
  <c r="I309" i="63"/>
  <c r="L308" i="63"/>
  <c r="I308" i="63"/>
  <c r="L307" i="63"/>
  <c r="I307" i="63"/>
  <c r="L306" i="63"/>
  <c r="I306" i="63"/>
  <c r="I305" i="63"/>
  <c r="L304" i="63"/>
  <c r="I304" i="63"/>
  <c r="L303" i="63"/>
  <c r="I303" i="63"/>
  <c r="L302" i="63"/>
  <c r="I302" i="63"/>
  <c r="L301" i="63"/>
  <c r="I301" i="63"/>
  <c r="L300" i="63"/>
  <c r="I300" i="63"/>
  <c r="L299" i="63"/>
  <c r="I299" i="63"/>
  <c r="L298" i="63"/>
  <c r="I298" i="63"/>
  <c r="L297" i="63"/>
  <c r="I297" i="63"/>
  <c r="I296" i="63"/>
  <c r="L295" i="63"/>
  <c r="I295" i="63"/>
  <c r="L294" i="63"/>
  <c r="I294" i="63"/>
  <c r="L293" i="63"/>
  <c r="I293" i="63"/>
  <c r="L292" i="63"/>
  <c r="I292" i="63"/>
  <c r="I291" i="63"/>
  <c r="L290" i="63"/>
  <c r="I290" i="63"/>
  <c r="L289" i="63"/>
  <c r="I289" i="63"/>
  <c r="L288" i="63"/>
  <c r="I288" i="63"/>
  <c r="I287" i="63"/>
  <c r="I286" i="63"/>
  <c r="I285" i="63"/>
  <c r="L284" i="63"/>
  <c r="I284" i="63"/>
  <c r="L283" i="63"/>
  <c r="I283" i="63"/>
  <c r="L282" i="63"/>
  <c r="I282" i="63"/>
  <c r="L281" i="63"/>
  <c r="I281" i="63"/>
  <c r="L280" i="63"/>
  <c r="I280" i="63"/>
  <c r="L279" i="63"/>
  <c r="I279" i="63"/>
  <c r="L278" i="63"/>
  <c r="I278" i="63"/>
  <c r="L277" i="63"/>
  <c r="I277" i="63"/>
  <c r="D377" i="115" s="1" a="1"/>
  <c r="L276" i="63"/>
  <c r="I276" i="63" a="1"/>
  <c r="I276" i="63"/>
  <c r="L275" i="63"/>
  <c r="I275" i="63"/>
  <c r="L274" i="63" a="1"/>
  <c r="L274" i="63"/>
  <c r="I273" i="63"/>
  <c r="L272" i="63"/>
  <c r="I272" i="63"/>
  <c r="L271" i="63"/>
  <c r="L270" i="63"/>
  <c r="L269" i="63"/>
  <c r="I269" i="63"/>
  <c r="I268" i="63"/>
  <c r="I267" i="63"/>
  <c r="I266" i="63"/>
  <c r="I265" i="63" a="1"/>
  <c r="I265" i="63"/>
  <c r="I264" i="63"/>
  <c r="I263" i="63"/>
  <c r="L262" i="63"/>
  <c r="I262" i="63"/>
  <c r="L261" i="63"/>
  <c r="I261" i="63"/>
  <c r="L260" i="63"/>
  <c r="I260" i="63"/>
  <c r="C260" i="63"/>
  <c r="L259" i="63"/>
  <c r="C259" i="63"/>
  <c r="L258" i="63"/>
  <c r="C258" i="63"/>
  <c r="L257" i="63"/>
  <c r="C257" i="63"/>
  <c r="L256" i="63"/>
  <c r="I256" i="63"/>
  <c r="C256" i="63"/>
  <c r="L255" i="63"/>
  <c r="I255" i="63"/>
  <c r="C255" i="63"/>
  <c r="L254" i="63"/>
  <c r="I254" i="63"/>
  <c r="C254" i="63"/>
  <c r="C253" i="63"/>
  <c r="I252" i="63"/>
  <c r="L251" i="63"/>
  <c r="I251" i="63"/>
  <c r="I253" i="63" s="1"/>
  <c r="C251" i="63"/>
  <c r="I250" i="63"/>
  <c r="C250" i="63"/>
  <c r="I249" i="63"/>
  <c r="C249" i="63"/>
  <c r="L248" i="63"/>
  <c r="C248" i="63"/>
  <c r="L247" i="63"/>
  <c r="I247" i="63"/>
  <c r="C247" i="63"/>
  <c r="L246" i="63"/>
  <c r="I246" i="63"/>
  <c r="C246" i="63"/>
  <c r="L245" i="63"/>
  <c r="I245" i="63"/>
  <c r="C245" i="63"/>
  <c r="L244" i="63"/>
  <c r="L252" i="63" s="1"/>
  <c r="D354" i="118" s="1"/>
  <c r="I244" i="63"/>
  <c r="C244" i="63"/>
  <c r="L243" i="63"/>
  <c r="I243" i="63"/>
  <c r="L242" i="63"/>
  <c r="L250" i="63" s="1"/>
  <c r="I242" i="63"/>
  <c r="C242" i="63"/>
  <c r="L241" i="63"/>
  <c r="L249" i="63" s="1"/>
  <c r="I241" i="63"/>
  <c r="C241" i="63"/>
  <c r="L240" i="63"/>
  <c r="C240" i="63"/>
  <c r="L239" i="63"/>
  <c r="I239" i="63"/>
  <c r="C239" i="63"/>
  <c r="L238" i="63"/>
  <c r="I238" i="63"/>
  <c r="C238" i="63"/>
  <c r="L237" i="63"/>
  <c r="I237" i="63"/>
  <c r="C237" i="63"/>
  <c r="L236" i="63"/>
  <c r="C236" i="63"/>
  <c r="L235" i="63"/>
  <c r="I235" i="63"/>
  <c r="C235" i="63"/>
  <c r="L234" i="63"/>
  <c r="I234" i="63"/>
  <c r="I236" i="63" s="1"/>
  <c r="C234" i="63"/>
  <c r="I233" i="63"/>
  <c r="C233" i="63"/>
  <c r="I232" i="63"/>
  <c r="C232" i="63"/>
  <c r="I230" i="63"/>
  <c r="C230" i="63"/>
  <c r="L229" i="63"/>
  <c r="I229" i="63"/>
  <c r="C229" i="63"/>
  <c r="I228" i="63"/>
  <c r="C228" i="63"/>
  <c r="I227" i="63"/>
  <c r="C227" i="63"/>
  <c r="I226" i="63"/>
  <c r="C226" i="63"/>
  <c r="I225" i="63"/>
  <c r="C225" i="63"/>
  <c r="L224" i="63"/>
  <c r="I224" i="63"/>
  <c r="C224" i="63"/>
  <c r="L223" i="63"/>
  <c r="I223" i="63"/>
  <c r="C223" i="63"/>
  <c r="L222" i="63"/>
  <c r="C222" i="63"/>
  <c r="L221" i="63"/>
  <c r="I221" i="63"/>
  <c r="L220" i="63"/>
  <c r="I220" i="63"/>
  <c r="L219" i="63"/>
  <c r="I219" i="63"/>
  <c r="L218" i="63"/>
  <c r="I218" i="63"/>
  <c r="L217" i="63"/>
  <c r="I217" i="63"/>
  <c r="L216" i="63"/>
  <c r="I216" i="63"/>
  <c r="C216" i="63"/>
  <c r="L215" i="63"/>
  <c r="I215" i="63"/>
  <c r="C215" i="63"/>
  <c r="L214" i="63"/>
  <c r="I214" i="63"/>
  <c r="C214" i="63"/>
  <c r="L213" i="63"/>
  <c r="I213" i="63"/>
  <c r="C213" i="63"/>
  <c r="D99" i="113" s="1"/>
  <c r="L212" i="63"/>
  <c r="I212" i="63"/>
  <c r="U211" i="63"/>
  <c r="D242" i="119" s="1"/>
  <c r="L211" i="63"/>
  <c r="I211" i="63"/>
  <c r="U210" i="63"/>
  <c r="D231" i="119" s="1"/>
  <c r="L210" i="63"/>
  <c r="I210" i="63"/>
  <c r="U209" i="63"/>
  <c r="L209" i="63"/>
  <c r="I209" i="63"/>
  <c r="C209" i="63"/>
  <c r="U208" i="63"/>
  <c r="L208" i="63"/>
  <c r="I208" i="63"/>
  <c r="C208" i="63"/>
  <c r="U207" i="63"/>
  <c r="L207" i="63"/>
  <c r="I207" i="63"/>
  <c r="C207" i="63"/>
  <c r="U206" i="63"/>
  <c r="L206" i="63"/>
  <c r="I206" i="63"/>
  <c r="C206" i="63"/>
  <c r="U205" i="63"/>
  <c r="C104" i="119" s="1"/>
  <c r="L205" i="63"/>
  <c r="I205" i="63"/>
  <c r="U204" i="63"/>
  <c r="L204" i="63"/>
  <c r="I204" i="63"/>
  <c r="U203" i="63"/>
  <c r="L203" i="63"/>
  <c r="I203" i="63"/>
  <c r="U202" i="63"/>
  <c r="D156" i="119" s="1" a="1"/>
  <c r="D156" i="119" s="1"/>
  <c r="L202" i="63"/>
  <c r="I202" i="63"/>
  <c r="C202" i="63"/>
  <c r="U201" i="63"/>
  <c r="D79" i="119" s="1"/>
  <c r="L201" i="63"/>
  <c r="I201" i="63"/>
  <c r="C201" i="63"/>
  <c r="U200" i="63"/>
  <c r="L200" i="63"/>
  <c r="C200" i="63"/>
  <c r="U199" i="63"/>
  <c r="D21" i="119" s="1"/>
  <c r="L199" i="63"/>
  <c r="C199" i="63"/>
  <c r="U198" i="63"/>
  <c r="L198" i="63"/>
  <c r="C198" i="63"/>
  <c r="U197" i="63"/>
  <c r="L197" i="63"/>
  <c r="I197" i="63"/>
  <c r="C197" i="63"/>
  <c r="U196" i="63"/>
  <c r="L196" i="63"/>
  <c r="I196" i="63"/>
  <c r="U195" i="63" a="1"/>
  <c r="U195" i="63" s="1"/>
  <c r="D97" i="119" s="1" a="1"/>
  <c r="D97" i="119" s="1"/>
  <c r="L195" i="63"/>
  <c r="I195" i="63"/>
  <c r="U194" i="63"/>
  <c r="L194" i="63"/>
  <c r="I194" i="63"/>
  <c r="U193" i="63"/>
  <c r="L193" i="63"/>
  <c r="I193" i="63"/>
  <c r="C193" i="63"/>
  <c r="B97" i="116" s="1"/>
  <c r="U192" i="63"/>
  <c r="L192" i="63"/>
  <c r="I192" i="63"/>
  <c r="F192" i="63"/>
  <c r="C192" i="63"/>
  <c r="C71" i="63" s="1"/>
  <c r="U191" i="63"/>
  <c r="L191" i="63"/>
  <c r="I191" i="63"/>
  <c r="F191" i="63"/>
  <c r="L190" i="63"/>
  <c r="I190" i="63"/>
  <c r="F190" i="63"/>
  <c r="L189" i="63"/>
  <c r="I189" i="63"/>
  <c r="F189" i="63"/>
  <c r="U188" i="63"/>
  <c r="D200" i="85" s="1"/>
  <c r="L188" i="63"/>
  <c r="I188" i="63"/>
  <c r="F188" i="63"/>
  <c r="C188" i="63"/>
  <c r="U187" i="63"/>
  <c r="L187" i="63"/>
  <c r="I187" i="63"/>
  <c r="F187" i="63"/>
  <c r="C187" i="63"/>
  <c r="U186" i="63" a="1"/>
  <c r="U186" i="63"/>
  <c r="D176" i="85" s="1"/>
  <c r="L186" i="63"/>
  <c r="I186" i="63"/>
  <c r="F186" i="63"/>
  <c r="C186" i="63"/>
  <c r="U185" i="63" a="1"/>
  <c r="U185" i="63"/>
  <c r="D166" i="85" s="1"/>
  <c r="L185" i="63"/>
  <c r="I185" i="63"/>
  <c r="F185" i="63"/>
  <c r="C185" i="63"/>
  <c r="U184" i="63"/>
  <c r="D157" i="85" s="1"/>
  <c r="L184" i="63"/>
  <c r="I184" i="63"/>
  <c r="F184" i="63"/>
  <c r="C184" i="63"/>
  <c r="U183" i="63"/>
  <c r="D156" i="85" s="1"/>
  <c r="L183" i="63"/>
  <c r="I183" i="63"/>
  <c r="F183" i="63"/>
  <c r="C183" i="63"/>
  <c r="U182" i="63"/>
  <c r="D155" i="85" s="1"/>
  <c r="I182" i="63"/>
  <c r="F182" i="63"/>
  <c r="C182" i="63"/>
  <c r="U181" i="63"/>
  <c r="I181" i="63"/>
  <c r="F181" i="63"/>
  <c r="C181" i="63"/>
  <c r="U180" i="63"/>
  <c r="D111" i="85" s="1"/>
  <c r="I180" i="63"/>
  <c r="F180" i="63"/>
  <c r="C180" i="63"/>
  <c r="U179" i="63"/>
  <c r="L179" i="63"/>
  <c r="I179" i="63"/>
  <c r="F179" i="63"/>
  <c r="C179" i="63"/>
  <c r="U178" i="63"/>
  <c r="L178" i="63"/>
  <c r="D66" i="113" s="1"/>
  <c r="I178" i="63"/>
  <c r="F178" i="63"/>
  <c r="C178" i="63"/>
  <c r="U177" i="63"/>
  <c r="D121" i="85" s="1"/>
  <c r="L177" i="63"/>
  <c r="F177" i="63"/>
  <c r="C177" i="63"/>
  <c r="U176" i="63"/>
  <c r="D120" i="85" s="1"/>
  <c r="L176" i="63"/>
  <c r="F176" i="63"/>
  <c r="C176" i="63"/>
  <c r="U175" i="63"/>
  <c r="F175" i="63"/>
  <c r="C175" i="63"/>
  <c r="U174" i="63"/>
  <c r="I174" i="63"/>
  <c r="F174" i="63"/>
  <c r="C174" i="63"/>
  <c r="U173" i="63"/>
  <c r="D145" i="85" s="1"/>
  <c r="I173" i="63"/>
  <c r="F173" i="63"/>
  <c r="C173" i="63"/>
  <c r="U172" i="63"/>
  <c r="D87" i="85" s="1"/>
  <c r="I172" i="63"/>
  <c r="F172" i="63"/>
  <c r="C172" i="63"/>
  <c r="U171" i="63"/>
  <c r="D82" i="85" s="1"/>
  <c r="L171" i="63"/>
  <c r="I171" i="63"/>
  <c r="F171" i="63"/>
  <c r="C171" i="63"/>
  <c r="U170" i="63"/>
  <c r="D81" i="85" s="1"/>
  <c r="L170" i="63"/>
  <c r="I170" i="63"/>
  <c r="C170" i="63"/>
  <c r="U169" i="63"/>
  <c r="D80" i="85" s="1"/>
  <c r="L169" i="63"/>
  <c r="I169" i="63"/>
  <c r="F169" i="63"/>
  <c r="C169" i="63"/>
  <c r="U168" i="63"/>
  <c r="D79" i="85" s="1"/>
  <c r="L168" i="63"/>
  <c r="I168" i="63"/>
  <c r="F168" i="63"/>
  <c r="C168" i="63"/>
  <c r="U167" i="63"/>
  <c r="D78" i="85" s="1"/>
  <c r="L167" i="63"/>
  <c r="B99" i="113" s="1" a="1"/>
  <c r="B99" i="113" s="1"/>
  <c r="I167" i="63"/>
  <c r="C167" i="63"/>
  <c r="U166" i="63"/>
  <c r="D77" i="85" s="1"/>
  <c r="I166" i="63"/>
  <c r="F166" i="63"/>
  <c r="C166" i="63"/>
  <c r="U165" i="63"/>
  <c r="I165" i="63"/>
  <c r="U164" i="63" a="1"/>
  <c r="U164" i="63"/>
  <c r="D128" i="85" s="1"/>
  <c r="I164" i="63"/>
  <c r="F164" i="63"/>
  <c r="C164" i="63"/>
  <c r="U163" i="63"/>
  <c r="I163" i="63"/>
  <c r="F163" i="63"/>
  <c r="C163" i="63"/>
  <c r="U162" i="63"/>
  <c r="D186" i="85" s="1"/>
  <c r="I162" i="63"/>
  <c r="F162" i="63"/>
  <c r="C162" i="63"/>
  <c r="U161" i="63"/>
  <c r="D188" i="85" s="1"/>
  <c r="I161" i="63"/>
  <c r="F161" i="63"/>
  <c r="C161" i="63"/>
  <c r="U160" i="63"/>
  <c r="L160" i="63"/>
  <c r="I160" i="63"/>
  <c r="F160" i="63"/>
  <c r="C160" i="63"/>
  <c r="U159" i="63"/>
  <c r="D125" i="85" s="1"/>
  <c r="L159" i="63"/>
  <c r="I159" i="63"/>
  <c r="C159" i="63"/>
  <c r="U158" i="63"/>
  <c r="L158" i="63"/>
  <c r="I158" i="63"/>
  <c r="F158" i="63"/>
  <c r="C158" i="63"/>
  <c r="U157" i="63"/>
  <c r="D53" i="85" s="1"/>
  <c r="L157" i="63"/>
  <c r="I157" i="63"/>
  <c r="F157" i="63"/>
  <c r="C157" i="63"/>
  <c r="L156" i="63"/>
  <c r="F156" i="63"/>
  <c r="C156" i="63"/>
  <c r="L155" i="63"/>
  <c r="F155" i="63"/>
  <c r="C155" i="63"/>
  <c r="L154" i="63"/>
  <c r="F154" i="63"/>
  <c r="C154" i="63"/>
  <c r="U153" i="63"/>
  <c r="L153" i="63"/>
  <c r="I153" i="63"/>
  <c r="F153" i="63"/>
  <c r="C153" i="63"/>
  <c r="U152" i="63"/>
  <c r="L152" i="63"/>
  <c r="I152" i="63"/>
  <c r="C152" i="63"/>
  <c r="U151" i="63"/>
  <c r="D155" i="86" s="1"/>
  <c r="L151" i="63"/>
  <c r="F151" i="63"/>
  <c r="C151" i="63"/>
  <c r="U150" i="63"/>
  <c r="D154" i="86" s="1"/>
  <c r="L150" i="63"/>
  <c r="I150" i="63"/>
  <c r="F150" i="63"/>
  <c r="C150" i="63"/>
  <c r="U149" i="63"/>
  <c r="D127" i="86" s="1"/>
  <c r="L149" i="63"/>
  <c r="I149" i="63"/>
  <c r="F149" i="63"/>
  <c r="C149" i="63"/>
  <c r="U148" i="63"/>
  <c r="D109" i="86" s="1" a="1"/>
  <c r="D109" i="86" s="1"/>
  <c r="L148" i="63"/>
  <c r="I148" i="63"/>
  <c r="F148" i="63"/>
  <c r="C148" i="63"/>
  <c r="U147" i="63"/>
  <c r="D108" i="86" s="1" a="1"/>
  <c r="D108" i="86" s="1"/>
  <c r="L147" i="63"/>
  <c r="I147" i="63"/>
  <c r="F147" i="63"/>
  <c r="C147" i="63"/>
  <c r="U146" i="63"/>
  <c r="D107" i="86" s="1" a="1"/>
  <c r="D107" i="86" s="1"/>
  <c r="L146" i="63"/>
  <c r="F146" i="63"/>
  <c r="U145" i="63"/>
  <c r="D93" i="86" s="1" a="1"/>
  <c r="D93" i="86" s="1"/>
  <c r="L145" i="63"/>
  <c r="I145" i="63"/>
  <c r="F145" i="63"/>
  <c r="U144" i="63"/>
  <c r="L144" i="63"/>
  <c r="I144" i="63"/>
  <c r="F144" i="63"/>
  <c r="D51" i="119" s="1"/>
  <c r="U143" i="63"/>
  <c r="L143" i="63"/>
  <c r="I143" i="63"/>
  <c r="C143" i="63"/>
  <c r="U142" i="63"/>
  <c r="L142" i="63"/>
  <c r="I142" i="63"/>
  <c r="C142" i="63"/>
  <c r="U141" i="63" a="1"/>
  <c r="U141" i="63" s="1"/>
  <c r="L141" i="63"/>
  <c r="C141" i="63"/>
  <c r="U140" i="63"/>
  <c r="D86" i="86" s="1" a="1"/>
  <c r="D86" i="86" s="1"/>
  <c r="L140" i="63"/>
  <c r="I140" i="63"/>
  <c r="F140" i="63"/>
  <c r="C140" i="63"/>
  <c r="U139" i="63"/>
  <c r="L139" i="63"/>
  <c r="I139" i="63"/>
  <c r="F139" i="63"/>
  <c r="C139" i="63"/>
  <c r="U138" i="63"/>
  <c r="D64" i="86" s="1" a="1"/>
  <c r="D64" i="86" s="1"/>
  <c r="L138" i="63"/>
  <c r="I138" i="63"/>
  <c r="F138" i="63"/>
  <c r="C138" i="63"/>
  <c r="U137" i="63"/>
  <c r="D59" i="86" s="1"/>
  <c r="L137" i="63"/>
  <c r="I137" i="63"/>
  <c r="F137" i="63"/>
  <c r="C137" i="63"/>
  <c r="U136" i="63"/>
  <c r="D58" i="86" s="1" a="1"/>
  <c r="D58" i="86" s="1"/>
  <c r="L136" i="63"/>
  <c r="C136" i="63"/>
  <c r="C458" i="75" s="1"/>
  <c r="U135" i="63"/>
  <c r="D57" i="86" s="1"/>
  <c r="L135" i="63"/>
  <c r="I135" i="63"/>
  <c r="F135" i="63"/>
  <c r="D65" i="116" s="1"/>
  <c r="C135" i="63"/>
  <c r="U134" i="63"/>
  <c r="D56" i="86" s="1"/>
  <c r="L134" i="63"/>
  <c r="I134" i="63"/>
  <c r="F134" i="63"/>
  <c r="D66" i="116" s="1"/>
  <c r="C134" i="63" a="1"/>
  <c r="C134" i="63"/>
  <c r="U133" i="63"/>
  <c r="D55" i="86" s="1"/>
  <c r="L133" i="63"/>
  <c r="I133" i="63"/>
  <c r="F133" i="63"/>
  <c r="C133" i="63" a="1"/>
  <c r="C133" i="63" s="1"/>
  <c r="U132" i="63"/>
  <c r="L132" i="63"/>
  <c r="D54" i="95" s="1"/>
  <c r="K132" i="63"/>
  <c r="I132" i="63"/>
  <c r="F132" i="63"/>
  <c r="C132" i="63"/>
  <c r="U131" i="63"/>
  <c r="D53" i="86" s="1"/>
  <c r="L131" i="63"/>
  <c r="D53" i="95" s="1"/>
  <c r="K131" i="63"/>
  <c r="F131" i="63"/>
  <c r="C131" i="63"/>
  <c r="U130" i="63"/>
  <c r="D48" i="86" s="1" a="1"/>
  <c r="D48" i="86" s="1"/>
  <c r="O130" i="63"/>
  <c r="D150" i="75" s="1"/>
  <c r="I130" i="63"/>
  <c r="F130" i="63"/>
  <c r="D98" i="116" s="1"/>
  <c r="C130" i="63"/>
  <c r="U129" i="63"/>
  <c r="R129" i="63"/>
  <c r="D248" i="120" s="1"/>
  <c r="O129" i="63"/>
  <c r="I129" i="63"/>
  <c r="C129" i="63"/>
  <c r="U128" i="63"/>
  <c r="I128" i="63"/>
  <c r="U127" i="63"/>
  <c r="D120" i="86" s="1"/>
  <c r="O127" i="63"/>
  <c r="L127" i="63"/>
  <c r="I127" i="63"/>
  <c r="O126" i="63"/>
  <c r="L126" i="63"/>
  <c r="O125" i="63"/>
  <c r="D427" i="75" s="1" a="1"/>
  <c r="D427" i="75" s="1"/>
  <c r="I125" i="63" a="1"/>
  <c r="I125" i="63" s="1"/>
  <c r="O124" i="63"/>
  <c r="I124" i="63"/>
  <c r="F124" i="63"/>
  <c r="C124" i="63"/>
  <c r="O123" i="63"/>
  <c r="I123" i="63"/>
  <c r="F123" i="63"/>
  <c r="C123" i="63"/>
  <c r="U122" i="63"/>
  <c r="D414" i="120" s="1"/>
  <c r="O122" i="63"/>
  <c r="L122" i="63"/>
  <c r="I122" i="63"/>
  <c r="F122" i="63"/>
  <c r="C122" i="63"/>
  <c r="U121" i="63"/>
  <c r="D351" i="120" s="1" a="1"/>
  <c r="D351" i="120" s="1"/>
  <c r="L121" i="63"/>
  <c r="I121" i="63"/>
  <c r="F121" i="63"/>
  <c r="C121" i="63"/>
  <c r="U120" i="63"/>
  <c r="D417" i="120" s="1"/>
  <c r="R120" i="63"/>
  <c r="R130" i="63" s="1"/>
  <c r="O120" i="63"/>
  <c r="L120" i="63"/>
  <c r="I120" i="63"/>
  <c r="F120" i="63"/>
  <c r="C120" i="63"/>
  <c r="U119" i="63"/>
  <c r="R119" i="63"/>
  <c r="O119" i="63"/>
  <c r="L119" i="63"/>
  <c r="I119" i="63" a="1"/>
  <c r="I119" i="63"/>
  <c r="C119" i="63"/>
  <c r="U118" i="63"/>
  <c r="D415" i="120" s="1"/>
  <c r="L118" i="63"/>
  <c r="I118" i="63"/>
  <c r="C118" i="63"/>
  <c r="U117" i="63"/>
  <c r="I117" i="63"/>
  <c r="U116" i="63"/>
  <c r="D387" i="120" s="1"/>
  <c r="O116" i="63"/>
  <c r="D291" i="75" s="1"/>
  <c r="L116" i="63"/>
  <c r="I116" i="63"/>
  <c r="F116" i="63"/>
  <c r="U115" i="63"/>
  <c r="D397" i="120" s="1"/>
  <c r="R115" i="63"/>
  <c r="R125" i="63" s="1"/>
  <c r="L115" i="63"/>
  <c r="I115" i="63"/>
  <c r="F115" i="63"/>
  <c r="U114" i="63"/>
  <c r="D396" i="120" s="1"/>
  <c r="R114" i="63"/>
  <c r="L114" i="63"/>
  <c r="I114" i="63"/>
  <c r="F114" i="63"/>
  <c r="C114" i="63"/>
  <c r="U113" i="63"/>
  <c r="D376" i="120" s="1"/>
  <c r="O113" i="63"/>
  <c r="L113" i="63"/>
  <c r="I113" i="63"/>
  <c r="F113" i="63"/>
  <c r="U112" i="63"/>
  <c r="L112" i="63"/>
  <c r="I112" i="63"/>
  <c r="F112" i="63"/>
  <c r="U111" i="63"/>
  <c r="D372" i="120" s="1"/>
  <c r="O111" i="63"/>
  <c r="D507" i="75" s="1"/>
  <c r="L111" i="63"/>
  <c r="I111" i="63"/>
  <c r="F111" i="63"/>
  <c r="C111" i="63" a="1"/>
  <c r="C111" i="63" s="1"/>
  <c r="U110" i="63"/>
  <c r="R110" i="63"/>
  <c r="D381" i="120" s="1"/>
  <c r="O110" i="63"/>
  <c r="I110" i="63"/>
  <c r="C110" i="63"/>
  <c r="U109" i="63"/>
  <c r="D249" i="120" s="1"/>
  <c r="R109" i="63"/>
  <c r="D283" i="120" s="1"/>
  <c r="O109" i="63"/>
  <c r="I109" i="63"/>
  <c r="C109" i="63"/>
  <c r="U108" i="63"/>
  <c r="R108" i="63"/>
  <c r="O108" i="63"/>
  <c r="D476" i="75" s="1"/>
  <c r="I108" i="63"/>
  <c r="C108" i="63"/>
  <c r="U107" i="63"/>
  <c r="D259" i="120" s="1"/>
  <c r="O107" i="63"/>
  <c r="D75" i="75" s="1"/>
  <c r="L107" i="63"/>
  <c r="I107" i="63"/>
  <c r="F107" i="63"/>
  <c r="C107" i="63"/>
  <c r="AA106" i="63" a="1"/>
  <c r="AA106" i="63" s="1"/>
  <c r="U106" i="63"/>
  <c r="O106" i="63"/>
  <c r="O121" i="63" s="1"/>
  <c r="L106" i="63"/>
  <c r="F106" i="63"/>
  <c r="B98" i="116" s="1"/>
  <c r="C106" i="63"/>
  <c r="AA105" i="63" a="1"/>
  <c r="AA105" i="63" s="1"/>
  <c r="U105" i="63"/>
  <c r="D236" i="120" s="1"/>
  <c r="O105" i="63"/>
  <c r="D61" i="75" s="1"/>
  <c r="L105" i="63"/>
  <c r="I105" i="63"/>
  <c r="U104" i="63"/>
  <c r="D235" i="120" s="1"/>
  <c r="R104" i="63"/>
  <c r="D116" i="120" s="1"/>
  <c r="O104" i="63"/>
  <c r="D59" i="75" s="1"/>
  <c r="L104" i="63"/>
  <c r="I104" i="63"/>
  <c r="C104" i="63"/>
  <c r="U103" i="63"/>
  <c r="D231" i="120" s="1"/>
  <c r="R103" i="63"/>
  <c r="O103" i="63"/>
  <c r="L103" i="63"/>
  <c r="I103" i="63"/>
  <c r="C103" i="63"/>
  <c r="R102" i="63"/>
  <c r="O102" i="63"/>
  <c r="D53" i="75" s="1"/>
  <c r="I102" i="63"/>
  <c r="F102" i="63"/>
  <c r="C102" i="63"/>
  <c r="R101" i="63"/>
  <c r="D126" i="75" s="1"/>
  <c r="O101" i="63"/>
  <c r="I101" i="63"/>
  <c r="F101" i="63"/>
  <c r="C101" i="63"/>
  <c r="O100" i="63" a="1"/>
  <c r="O100" i="63" s="1"/>
  <c r="O115" i="63" s="1"/>
  <c r="L100" i="63"/>
  <c r="I100" i="63"/>
  <c r="F100" i="63"/>
  <c r="C100" i="63"/>
  <c r="U99" i="63"/>
  <c r="O99" i="63" a="1"/>
  <c r="O99" i="63"/>
  <c r="O114" i="63" s="1"/>
  <c r="I99" i="63"/>
  <c r="F99" i="63"/>
  <c r="C99" i="63"/>
  <c r="U98" i="63"/>
  <c r="O98" i="63"/>
  <c r="D45" i="75" s="1"/>
  <c r="F98" i="63"/>
  <c r="U97" i="63"/>
  <c r="R97" i="63"/>
  <c r="R89" i="63" s="1"/>
  <c r="C61" i="87" s="1"/>
  <c r="O97" i="63"/>
  <c r="O112" i="63" s="1"/>
  <c r="I97" i="63"/>
  <c r="F97" i="63"/>
  <c r="C97" i="63"/>
  <c r="AA96" i="63"/>
  <c r="U96" i="63"/>
  <c r="R96" i="63"/>
  <c r="C96" i="112" s="1"/>
  <c r="O96" i="63"/>
  <c r="I96" i="63"/>
  <c r="F96" i="63"/>
  <c r="D187" i="85" s="1"/>
  <c r="C96" i="63"/>
  <c r="U95" i="63"/>
  <c r="D114" i="120" s="1"/>
  <c r="R95" i="63"/>
  <c r="C95" i="112" s="1"/>
  <c r="O95" i="63"/>
  <c r="D85" i="75" s="1" a="1"/>
  <c r="D85" i="75" s="1"/>
  <c r="C95" i="63"/>
  <c r="U94" i="63"/>
  <c r="D197" i="120" s="1"/>
  <c r="R94" i="63"/>
  <c r="O94" i="63"/>
  <c r="D381" i="75" s="1"/>
  <c r="I94" i="63"/>
  <c r="C94" i="63"/>
  <c r="U93" i="63"/>
  <c r="R93" i="63"/>
  <c r="O93" i="63"/>
  <c r="D77" i="75" s="1"/>
  <c r="I93" i="63"/>
  <c r="C93" i="63"/>
  <c r="U92" i="63"/>
  <c r="I92" i="63"/>
  <c r="F92" i="63" a="1"/>
  <c r="F92" i="63"/>
  <c r="C92" i="63"/>
  <c r="D265" i="120" s="1"/>
  <c r="U91" i="63"/>
  <c r="I91" i="63"/>
  <c r="F91" i="63"/>
  <c r="U90" i="63"/>
  <c r="D341" i="75" s="1"/>
  <c r="F90" i="63"/>
  <c r="C90" i="63"/>
  <c r="U89" i="63"/>
  <c r="O89" i="63"/>
  <c r="F89" i="63" a="1"/>
  <c r="F89" i="63" s="1"/>
  <c r="AA88" i="63"/>
  <c r="U88" i="63"/>
  <c r="R88" i="63"/>
  <c r="D96" i="112" s="1"/>
  <c r="O88" i="63"/>
  <c r="L88" i="63"/>
  <c r="F88" i="63"/>
  <c r="U87" i="63"/>
  <c r="D264" i="75" s="1"/>
  <c r="L87" i="63"/>
  <c r="I87" i="63"/>
  <c r="F87" i="63"/>
  <c r="U86" i="63"/>
  <c r="O86" i="63"/>
  <c r="I86" i="63"/>
  <c r="F86" i="63"/>
  <c r="C86" i="63"/>
  <c r="U85" i="63"/>
  <c r="O85" i="63"/>
  <c r="D481" i="109" s="1"/>
  <c r="I85" i="63"/>
  <c r="C85" i="63"/>
  <c r="AA84" i="63"/>
  <c r="U84" i="63"/>
  <c r="O84" i="63"/>
  <c r="I84" i="63"/>
  <c r="F84" i="63" a="1"/>
  <c r="F84" i="63"/>
  <c r="C84" i="63"/>
  <c r="AA83" i="63"/>
  <c r="C65" i="95" s="1"/>
  <c r="U83" i="63"/>
  <c r="O83" i="63"/>
  <c r="L83" i="63"/>
  <c r="I83" i="63"/>
  <c r="F83" i="63"/>
  <c r="AA82" i="63"/>
  <c r="U82" i="63"/>
  <c r="O82" i="63"/>
  <c r="L82" i="63"/>
  <c r="I82" i="63"/>
  <c r="F82" i="63"/>
  <c r="C82" i="63"/>
  <c r="AA81" i="63"/>
  <c r="U81" i="63"/>
  <c r="R81" i="63"/>
  <c r="O81" i="63"/>
  <c r="D535" i="109" s="1"/>
  <c r="I81" i="63"/>
  <c r="F81" i="63"/>
  <c r="C81" i="63"/>
  <c r="AA80" i="63"/>
  <c r="U80" i="63"/>
  <c r="R80" i="63"/>
  <c r="E96" i="112" s="1"/>
  <c r="O80" i="63"/>
  <c r="I80" i="63"/>
  <c r="F80" i="63" a="1"/>
  <c r="F80" i="63"/>
  <c r="C80" i="63"/>
  <c r="U79" i="63"/>
  <c r="R79" i="63"/>
  <c r="E95" i="112" s="1"/>
  <c r="O79" i="63"/>
  <c r="I79" i="63"/>
  <c r="F79" i="63"/>
  <c r="C79" i="63"/>
  <c r="U78" i="63"/>
  <c r="R78" i="63"/>
  <c r="E94" i="112" s="1"/>
  <c r="O78" i="63"/>
  <c r="L78" i="63"/>
  <c r="I78" i="63"/>
  <c r="F78" i="63"/>
  <c r="C78" i="63"/>
  <c r="AA77" i="63"/>
  <c r="C319" i="120" s="1"/>
  <c r="U77" i="63"/>
  <c r="R77" i="63"/>
  <c r="E97" i="112" s="1"/>
  <c r="O77" i="63"/>
  <c r="L77" i="63"/>
  <c r="I77" i="63"/>
  <c r="C77" i="63"/>
  <c r="AA76" i="63"/>
  <c r="U76" i="63"/>
  <c r="O76" i="63"/>
  <c r="I76" i="63"/>
  <c r="F76" i="63"/>
  <c r="C76" i="63"/>
  <c r="AA75" i="63"/>
  <c r="U75" i="63"/>
  <c r="O75" i="63"/>
  <c r="D429" i="109" s="1"/>
  <c r="I75" i="63"/>
  <c r="F75" i="63"/>
  <c r="AA74" i="63"/>
  <c r="U74" i="63"/>
  <c r="O74" i="63"/>
  <c r="I74" i="63"/>
  <c r="F74" i="63"/>
  <c r="AA73" i="63"/>
  <c r="U73" i="63"/>
  <c r="R73" i="63"/>
  <c r="O73" i="63" a="1"/>
  <c r="O73" i="63"/>
  <c r="L73" i="63"/>
  <c r="I73" i="63"/>
  <c r="F73" i="63" a="1"/>
  <c r="F73" i="63" s="1"/>
  <c r="AA72" i="63"/>
  <c r="R72" i="63"/>
  <c r="O72" i="63"/>
  <c r="L72" i="63"/>
  <c r="I72" i="63"/>
  <c r="F72" i="63"/>
  <c r="C72" i="63"/>
  <c r="B98" i="113" s="1"/>
  <c r="AA71" i="63"/>
  <c r="U71" i="63"/>
  <c r="R71" i="63"/>
  <c r="O71" i="63"/>
  <c r="I71" i="63"/>
  <c r="F71" i="63"/>
  <c r="AA70" i="63"/>
  <c r="U70" i="63"/>
  <c r="R70" i="63"/>
  <c r="F70" i="63"/>
  <c r="AA69" i="63"/>
  <c r="F7" i="120" s="1"/>
  <c r="U69" i="63"/>
  <c r="O69" i="63"/>
  <c r="I69" i="63"/>
  <c r="AA68" i="63"/>
  <c r="X68" i="63"/>
  <c r="U68" i="63"/>
  <c r="O68" i="63"/>
  <c r="L68" i="63"/>
  <c r="I68" i="63"/>
  <c r="F68" i="63"/>
  <c r="U67" i="63"/>
  <c r="O67" i="63"/>
  <c r="L67" i="63"/>
  <c r="D379" i="120" s="1"/>
  <c r="I67" i="63"/>
  <c r="C67" i="63"/>
  <c r="C103" i="112" s="1"/>
  <c r="U66" i="63"/>
  <c r="O66" i="63"/>
  <c r="L66" i="63"/>
  <c r="I66" i="63"/>
  <c r="C66" i="63"/>
  <c r="C48" i="63" s="1"/>
  <c r="U65" i="63"/>
  <c r="O65" i="63"/>
  <c r="I65" i="63"/>
  <c r="C65" i="63"/>
  <c r="AA64" i="63"/>
  <c r="X64" i="63"/>
  <c r="U64" i="63"/>
  <c r="I64" i="63"/>
  <c r="F64" i="63"/>
  <c r="C64" i="63"/>
  <c r="AA63" i="63"/>
  <c r="C202" i="75" s="1"/>
  <c r="O63" i="63"/>
  <c r="I63" i="63"/>
  <c r="F63" i="63"/>
  <c r="D290" i="120" s="1"/>
  <c r="C63" i="63"/>
  <c r="B141" i="113" s="1"/>
  <c r="AA62" i="63"/>
  <c r="C163" i="75" s="1"/>
  <c r="L62" i="63"/>
  <c r="I62" i="63"/>
  <c r="C62" i="63"/>
  <c r="L61" i="63"/>
  <c r="I61" i="63"/>
  <c r="C61" i="63"/>
  <c r="C45" i="63" s="1"/>
  <c r="AA60" i="63"/>
  <c r="C153" i="119" s="1"/>
  <c r="X60" i="63"/>
  <c r="U60" i="63"/>
  <c r="D508" i="75" s="1"/>
  <c r="L60" i="63"/>
  <c r="D218" i="85" s="1"/>
  <c r="I60" i="63"/>
  <c r="C60" i="63"/>
  <c r="AA59" i="63"/>
  <c r="U59" i="63"/>
  <c r="D506" i="75" s="1"/>
  <c r="O59" i="63" a="1"/>
  <c r="O59" i="63"/>
  <c r="L59" i="63"/>
  <c r="I59" i="63"/>
  <c r="F59" i="63"/>
  <c r="C59" i="63"/>
  <c r="U58" i="63"/>
  <c r="D519" i="75" s="1"/>
  <c r="O58" i="63"/>
  <c r="L58" i="63"/>
  <c r="I58" i="63"/>
  <c r="F58" i="63"/>
  <c r="C58" i="63"/>
  <c r="C90" i="112" s="1"/>
  <c r="U57" i="63"/>
  <c r="O57" i="63"/>
  <c r="L57" i="63"/>
  <c r="I57" i="63"/>
  <c r="C57" i="63"/>
  <c r="X56" i="63"/>
  <c r="O56" i="63"/>
  <c r="L56" i="63"/>
  <c r="I56" i="63"/>
  <c r="C56" i="63"/>
  <c r="C88" i="112" s="1"/>
  <c r="O55" i="63"/>
  <c r="L55" i="63"/>
  <c r="I55" i="63"/>
  <c r="C55" i="63"/>
  <c r="C39" i="63" s="1"/>
  <c r="D87" i="112" s="1"/>
  <c r="U54" i="63"/>
  <c r="O54" i="63"/>
  <c r="L54" i="63"/>
  <c r="I54" i="63"/>
  <c r="F54" i="63"/>
  <c r="C54" i="63"/>
  <c r="D40" i="95" s="1"/>
  <c r="U53" i="63"/>
  <c r="O53" i="63"/>
  <c r="L53" i="63"/>
  <c r="I53" i="63"/>
  <c r="F53" i="63"/>
  <c r="C53" i="63"/>
  <c r="C37" i="63" s="1"/>
  <c r="X52" i="63"/>
  <c r="D64" i="116" s="1"/>
  <c r="U52" i="63"/>
  <c r="R52" i="63"/>
  <c r="C98" i="112" s="1"/>
  <c r="L52" i="63"/>
  <c r="D170" i="85" s="1"/>
  <c r="F52" i="63"/>
  <c r="O51" i="63"/>
  <c r="L51" i="63"/>
  <c r="I51" i="63"/>
  <c r="F51" i="63"/>
  <c r="B123" i="116" s="1"/>
  <c r="AA50" i="63"/>
  <c r="O50" i="63"/>
  <c r="L50" i="63"/>
  <c r="I50" i="63"/>
  <c r="F50" i="63" a="1"/>
  <c r="F50" i="63" s="1"/>
  <c r="D459" i="109" s="1"/>
  <c r="O49" i="63"/>
  <c r="D223" i="85" s="1"/>
  <c r="L49" i="63"/>
  <c r="I49" i="63"/>
  <c r="F49" i="63"/>
  <c r="C49" i="63"/>
  <c r="D103" i="112" s="1" a="1"/>
  <c r="D103" i="112" s="1"/>
  <c r="X48" i="63"/>
  <c r="D68" i="113" s="1"/>
  <c r="O48" i="63"/>
  <c r="D221" i="85" s="1"/>
  <c r="L48" i="63"/>
  <c r="I48" i="63"/>
  <c r="F48" i="63"/>
  <c r="F35" i="63" s="1"/>
  <c r="AA47" i="63"/>
  <c r="U47" i="63"/>
  <c r="O47" i="63"/>
  <c r="L47" i="63"/>
  <c r="I47" i="63"/>
  <c r="F47" i="63"/>
  <c r="C208" i="112" s="1"/>
  <c r="C47" i="63"/>
  <c r="AA46" i="63"/>
  <c r="U46" i="63"/>
  <c r="O46" i="63"/>
  <c r="D219" i="85" s="1"/>
  <c r="I46" i="63"/>
  <c r="F46" i="63"/>
  <c r="C207" i="112" s="1"/>
  <c r="U45" i="63"/>
  <c r="O45" i="63"/>
  <c r="L45" i="63"/>
  <c r="I45" i="63"/>
  <c r="F45" i="63"/>
  <c r="X44" i="63"/>
  <c r="U44" i="63"/>
  <c r="O44" i="63"/>
  <c r="L44" i="63"/>
  <c r="D118" i="85" s="1"/>
  <c r="I44" i="63"/>
  <c r="F44" i="63"/>
  <c r="F31" i="63" s="1"/>
  <c r="D70" i="85" s="1"/>
  <c r="C44" i="63"/>
  <c r="AE43" i="63"/>
  <c r="D84" i="116" s="1"/>
  <c r="AA43" i="63"/>
  <c r="R43" i="63"/>
  <c r="O43" i="63"/>
  <c r="F43" i="63"/>
  <c r="D395" i="120" s="1"/>
  <c r="AA42" i="63"/>
  <c r="R42" i="63"/>
  <c r="E102" i="112" s="1"/>
  <c r="O42" i="63"/>
  <c r="I42" i="63"/>
  <c r="R41" i="63"/>
  <c r="E101" i="112" s="1"/>
  <c r="O41" i="63"/>
  <c r="I41" i="63"/>
  <c r="X40" i="63"/>
  <c r="U40" i="63"/>
  <c r="R40" i="63"/>
  <c r="E100" i="112" s="1"/>
  <c r="O40" i="63"/>
  <c r="L40" i="63"/>
  <c r="I40" i="63"/>
  <c r="AA39" i="63"/>
  <c r="U39" i="63"/>
  <c r="R39" i="63"/>
  <c r="E99" i="112" s="1"/>
  <c r="O39" i="63"/>
  <c r="L39" i="63"/>
  <c r="I39" i="63"/>
  <c r="F39" i="63"/>
  <c r="AA38" i="63"/>
  <c r="U38" i="63"/>
  <c r="D70" i="95" s="1"/>
  <c r="R38" i="63"/>
  <c r="O38" i="63"/>
  <c r="L38" i="63"/>
  <c r="I38" i="63"/>
  <c r="F38" i="63"/>
  <c r="AE37" i="63"/>
  <c r="AA37" i="63"/>
  <c r="O37" i="63"/>
  <c r="L37" i="63"/>
  <c r="I37" i="63"/>
  <c r="AA36" i="63"/>
  <c r="X36" i="63"/>
  <c r="O36" i="63"/>
  <c r="I36" i="63"/>
  <c r="F36" i="63"/>
  <c r="O35" i="63"/>
  <c r="L35" i="63"/>
  <c r="I35" i="63"/>
  <c r="U34" i="63"/>
  <c r="O34" i="63"/>
  <c r="L34" i="63" a="1"/>
  <c r="L34" i="63" s="1"/>
  <c r="F34" i="63"/>
  <c r="D208" i="112" s="1"/>
  <c r="AE33" i="63"/>
  <c r="O33" i="63"/>
  <c r="L33" i="63"/>
  <c r="D222" i="85" s="1"/>
  <c r="I33" i="63"/>
  <c r="F33" i="63"/>
  <c r="D207" i="112" s="1"/>
  <c r="C33" i="63"/>
  <c r="E107" i="112" s="1"/>
  <c r="X32" i="63"/>
  <c r="D65" i="113" s="1"/>
  <c r="O32" i="63"/>
  <c r="L32" i="63"/>
  <c r="I32" i="63"/>
  <c r="C32" i="63"/>
  <c r="E106" i="112" s="1"/>
  <c r="O31" i="63"/>
  <c r="L31" i="63"/>
  <c r="I31" i="63"/>
  <c r="C31" i="63"/>
  <c r="E105" i="112" s="1"/>
  <c r="O30" i="63"/>
  <c r="L30" i="63"/>
  <c r="I30" i="63"/>
  <c r="C30" i="63"/>
  <c r="E104" i="112" s="1"/>
  <c r="L29" i="63"/>
  <c r="I29" i="63"/>
  <c r="C29" i="63"/>
  <c r="E103" i="112" s="1"/>
  <c r="X28" i="63"/>
  <c r="L28" i="63"/>
  <c r="I28" i="63"/>
  <c r="C28" i="63"/>
  <c r="U27" i="63"/>
  <c r="O27" i="63"/>
  <c r="L27" i="63"/>
  <c r="I27" i="63"/>
  <c r="C27" i="63"/>
  <c r="U26" i="63"/>
  <c r="D69" i="95" s="1"/>
  <c r="O26" i="63"/>
  <c r="L26" i="63"/>
  <c r="I26" i="63"/>
  <c r="F26" i="63"/>
  <c r="D59" i="116" s="1"/>
  <c r="C26" i="63"/>
  <c r="D58" i="113" s="1"/>
  <c r="U25" i="63"/>
  <c r="R25" i="63"/>
  <c r="O25" i="63"/>
  <c r="L25" i="63"/>
  <c r="F25" i="63"/>
  <c r="D58" i="116" s="1"/>
  <c r="C25" i="63"/>
  <c r="D57" i="113" s="1"/>
  <c r="U24" i="63"/>
  <c r="R24" i="63"/>
  <c r="O24" i="63"/>
  <c r="L24" i="63"/>
  <c r="I24" i="63"/>
  <c r="F24" i="63"/>
  <c r="D57" i="116" s="1"/>
  <c r="C24" i="63"/>
  <c r="D141" i="113" s="1"/>
  <c r="O23" i="63"/>
  <c r="L23" i="63"/>
  <c r="I23" i="63"/>
  <c r="F23" i="63"/>
  <c r="D56" i="116" s="1"/>
  <c r="C23" i="63"/>
  <c r="D140" i="113" s="1"/>
  <c r="O22" i="63"/>
  <c r="L22" i="63"/>
  <c r="I22" i="63"/>
  <c r="F22" i="63"/>
  <c r="D123" i="116" s="1"/>
  <c r="C22" i="63"/>
  <c r="D139" i="113" s="1"/>
  <c r="O21" i="63"/>
  <c r="L21" i="63"/>
  <c r="F21" i="63"/>
  <c r="D122" i="116" s="1"/>
  <c r="C21" i="63"/>
  <c r="D138" i="113" s="1"/>
  <c r="U20" i="63"/>
  <c r="O20" i="63"/>
  <c r="L20" i="63"/>
  <c r="I20" i="63"/>
  <c r="F20" i="63"/>
  <c r="D121" i="116" s="1"/>
  <c r="C20" i="63"/>
  <c r="E91" i="112" s="1"/>
  <c r="U19" i="63"/>
  <c r="O19" i="63"/>
  <c r="L19" i="63"/>
  <c r="I19" i="63"/>
  <c r="I21" i="63" s="1"/>
  <c r="F19" i="63"/>
  <c r="D120" i="116" s="1"/>
  <c r="C19" i="63"/>
  <c r="E90" i="112" s="1"/>
  <c r="U18" i="63"/>
  <c r="O18" i="63"/>
  <c r="L18" i="63"/>
  <c r="I18" i="63"/>
  <c r="F18" i="63"/>
  <c r="E208" i="112" s="1"/>
  <c r="C18" i="63"/>
  <c r="E89" i="112" s="1"/>
  <c r="O17" i="63"/>
  <c r="L17" i="63"/>
  <c r="I17" i="63"/>
  <c r="F17" i="63"/>
  <c r="E207" i="112" s="1"/>
  <c r="C17" i="63"/>
  <c r="E88" i="112" s="1"/>
  <c r="R16" i="63"/>
  <c r="O16" i="63"/>
  <c r="L16" i="63"/>
  <c r="F16" i="63"/>
  <c r="E206" i="112" s="1"/>
  <c r="C16" i="63"/>
  <c r="E87" i="112" s="1"/>
  <c r="O15" i="63"/>
  <c r="L15" i="63"/>
  <c r="I15" i="63"/>
  <c r="F15" i="63"/>
  <c r="E205" i="112" s="1"/>
  <c r="C15" i="63"/>
  <c r="E86" i="112" s="1"/>
  <c r="O14" i="63"/>
  <c r="L14" i="63"/>
  <c r="D117" i="86" s="1"/>
  <c r="I14" i="63"/>
  <c r="F14" i="63"/>
  <c r="C14" i="63"/>
  <c r="O13" i="63"/>
  <c r="L13" i="63"/>
  <c r="I13" i="63"/>
  <c r="R12" i="63"/>
  <c r="O12" i="63"/>
  <c r="I12" i="63"/>
  <c r="O11" i="63"/>
  <c r="O10" i="63"/>
  <c r="I10" i="63"/>
  <c r="F10" i="63"/>
  <c r="D12" i="65" s="1"/>
  <c r="E10" i="63"/>
  <c r="C10" i="63"/>
  <c r="I9" i="63"/>
  <c r="R8" i="63"/>
  <c r="O8" i="63"/>
  <c r="L8" i="63"/>
  <c r="F8" i="63"/>
  <c r="F9" i="63" s="1"/>
  <c r="C7" i="63"/>
  <c r="I492" i="87"/>
  <c r="C230" i="112" s="1"/>
  <c r="I491" i="87"/>
  <c r="C229" i="112" s="1"/>
  <c r="I490" i="87"/>
  <c r="C228" i="112" s="1"/>
  <c r="I489" i="87"/>
  <c r="C227" i="112" s="1"/>
  <c r="I488" i="87"/>
  <c r="C226" i="112" s="1"/>
  <c r="I487" i="87"/>
  <c r="C225" i="112" s="1"/>
  <c r="I486" i="87"/>
  <c r="C224" i="112" s="1"/>
  <c r="I485" i="87"/>
  <c r="C223" i="112" s="1"/>
  <c r="I484" i="87"/>
  <c r="C222" i="112" s="1"/>
  <c r="F484" i="87"/>
  <c r="C128" i="112" s="1"/>
  <c r="I483" i="87"/>
  <c r="C221" i="112" s="1"/>
  <c r="F483" i="87"/>
  <c r="C127" i="112" s="1"/>
  <c r="I482" i="87"/>
  <c r="F482" i="87"/>
  <c r="C126" i="112" s="1"/>
  <c r="I481" i="87"/>
  <c r="C219" i="112" s="1"/>
  <c r="F481" i="87"/>
  <c r="C125" i="112" s="1"/>
  <c r="I480" i="87"/>
  <c r="C218" i="112" s="1"/>
  <c r="F480" i="87"/>
  <c r="C124" i="112" s="1"/>
  <c r="I479" i="87"/>
  <c r="C217" i="112" s="1"/>
  <c r="F479" i="87"/>
  <c r="C123" i="112" s="1"/>
  <c r="I478" i="87"/>
  <c r="I459" i="87" s="1"/>
  <c r="D216" i="112" s="1"/>
  <c r="F478" i="87"/>
  <c r="C122" i="112" s="1"/>
  <c r="I477" i="87"/>
  <c r="F477" i="87"/>
  <c r="C121" i="112" s="1"/>
  <c r="F476" i="87"/>
  <c r="F475" i="87"/>
  <c r="C119" i="112" s="1"/>
  <c r="F474" i="87"/>
  <c r="C118" i="112" s="1"/>
  <c r="I473" i="87"/>
  <c r="D230" i="112" s="1"/>
  <c r="F473" i="87"/>
  <c r="C117" i="112" s="1"/>
  <c r="I472" i="87"/>
  <c r="D229" i="112" s="1"/>
  <c r="F472" i="87"/>
  <c r="C116" i="112" s="1"/>
  <c r="I471" i="87"/>
  <c r="D228" i="112" s="1"/>
  <c r="F471" i="87"/>
  <c r="I470" i="87"/>
  <c r="D227" i="112" s="1"/>
  <c r="F470" i="87"/>
  <c r="C114" i="112" s="1"/>
  <c r="I469" i="87"/>
  <c r="D226" i="112" s="1"/>
  <c r="F469" i="87"/>
  <c r="C113" i="112" s="1"/>
  <c r="I468" i="87"/>
  <c r="D225" i="112" s="1"/>
  <c r="I467" i="87"/>
  <c r="D224" i="112" s="1"/>
  <c r="I466" i="87"/>
  <c r="D223" i="112" s="1"/>
  <c r="I465" i="87"/>
  <c r="D222" i="112" s="1"/>
  <c r="F464" i="87"/>
  <c r="D127" i="112" s="1"/>
  <c r="I462" i="87"/>
  <c r="D219" i="112" s="1"/>
  <c r="F462" i="87"/>
  <c r="D125" i="112" s="1"/>
  <c r="I461" i="87"/>
  <c r="D218" i="112" s="1"/>
  <c r="I460" i="87"/>
  <c r="D217" i="112" s="1"/>
  <c r="F458" i="87"/>
  <c r="D121" i="112" s="1"/>
  <c r="F457" i="87"/>
  <c r="D120" i="112" s="1"/>
  <c r="F456" i="87"/>
  <c r="D119" i="112" s="1"/>
  <c r="F455" i="87"/>
  <c r="D118" i="112" s="1"/>
  <c r="I454" i="87"/>
  <c r="F454" i="87"/>
  <c r="D117" i="112" s="1"/>
  <c r="I453" i="87"/>
  <c r="F453" i="87"/>
  <c r="D116" i="112" s="1"/>
  <c r="I452" i="87"/>
  <c r="I451" i="87"/>
  <c r="F451" i="87"/>
  <c r="D114" i="112" s="1"/>
  <c r="I450" i="87"/>
  <c r="F450" i="87"/>
  <c r="D113" i="112" s="1"/>
  <c r="I449" i="87"/>
  <c r="I448" i="87"/>
  <c r="I447" i="87"/>
  <c r="I446" i="87"/>
  <c r="F446" i="87"/>
  <c r="I445" i="87"/>
  <c r="F445" i="87"/>
  <c r="I444" i="87"/>
  <c r="F444" i="87"/>
  <c r="I443" i="87"/>
  <c r="F443" i="87"/>
  <c r="I442" i="87"/>
  <c r="F442" i="87"/>
  <c r="I441" i="87"/>
  <c r="F441" i="87"/>
  <c r="I440" i="87"/>
  <c r="F440" i="87"/>
  <c r="I439" i="87"/>
  <c r="F439" i="87"/>
  <c r="I438" i="87"/>
  <c r="E230" i="112" s="1"/>
  <c r="F438" i="87"/>
  <c r="I437" i="87"/>
  <c r="E229" i="112" s="1"/>
  <c r="F437" i="87"/>
  <c r="I436" i="87"/>
  <c r="E228" i="112" s="1"/>
  <c r="F436" i="87"/>
  <c r="I435" i="87"/>
  <c r="E227" i="112" s="1"/>
  <c r="F435" i="87"/>
  <c r="I434" i="87"/>
  <c r="E226" i="112" s="1"/>
  <c r="F434" i="87"/>
  <c r="I433" i="87"/>
  <c r="E225" i="112" s="1"/>
  <c r="F433" i="87"/>
  <c r="I432" i="87"/>
  <c r="E224" i="112" s="1"/>
  <c r="F432" i="87"/>
  <c r="I431" i="87"/>
  <c r="E223" i="112" s="1"/>
  <c r="F431" i="87"/>
  <c r="I430" i="87"/>
  <c r="E222" i="112" s="1"/>
  <c r="F430" i="87"/>
  <c r="I429" i="87"/>
  <c r="E221" i="112" s="1"/>
  <c r="F429" i="87"/>
  <c r="I428" i="87"/>
  <c r="E220" i="112" s="1"/>
  <c r="F428" i="87"/>
  <c r="I427" i="87"/>
  <c r="E219" i="112" s="1"/>
  <c r="F427" i="87"/>
  <c r="I426" i="87"/>
  <c r="E218" i="112" s="1"/>
  <c r="F426" i="87"/>
  <c r="I425" i="87"/>
  <c r="E217" i="112" s="1"/>
  <c r="F425" i="87"/>
  <c r="E123" i="112" s="1"/>
  <c r="I424" i="87"/>
  <c r="E216" i="112" s="1"/>
  <c r="F424" i="87"/>
  <c r="E122" i="112" s="1"/>
  <c r="I423" i="87"/>
  <c r="E215" i="112" s="1"/>
  <c r="F423" i="87"/>
  <c r="F422" i="87"/>
  <c r="F421" i="87"/>
  <c r="F420" i="87"/>
  <c r="D106" i="113" s="1"/>
  <c r="F419" i="87"/>
  <c r="F418" i="87"/>
  <c r="F417" i="87"/>
  <c r="F416" i="87"/>
  <c r="F415" i="87"/>
  <c r="I409" i="87"/>
  <c r="I408" i="87"/>
  <c r="I407" i="87"/>
  <c r="I406" i="87"/>
  <c r="F401" i="87"/>
  <c r="I400" i="87"/>
  <c r="F400" i="87"/>
  <c r="I399" i="87"/>
  <c r="F399" i="87"/>
  <c r="I398" i="87"/>
  <c r="D88" i="116" s="1"/>
  <c r="F398" i="87"/>
  <c r="I397" i="87"/>
  <c r="D87" i="116" s="1"/>
  <c r="I396" i="87"/>
  <c r="D95" i="116" s="1"/>
  <c r="I395" i="87"/>
  <c r="D94" i="116" s="1"/>
  <c r="I394" i="87"/>
  <c r="D81" i="116" s="1"/>
  <c r="I393" i="87"/>
  <c r="D80" i="116" s="1"/>
  <c r="I392" i="87"/>
  <c r="D73" i="116" s="1"/>
  <c r="F392" i="87"/>
  <c r="D89" i="113" s="1"/>
  <c r="I391" i="87"/>
  <c r="D74" i="116" s="1"/>
  <c r="F391" i="87"/>
  <c r="D88" i="113" s="1"/>
  <c r="F390" i="87"/>
  <c r="D96" i="113" s="1"/>
  <c r="F389" i="87"/>
  <c r="D95" i="113" s="1"/>
  <c r="F388" i="87"/>
  <c r="D82" i="113" s="1"/>
  <c r="I387" i="87"/>
  <c r="F387" i="87"/>
  <c r="D81" i="113" s="1"/>
  <c r="I386" i="87"/>
  <c r="C168" i="112" s="1" a="1"/>
  <c r="C168" i="112" s="1"/>
  <c r="F386" i="87"/>
  <c r="D74" i="113" s="1"/>
  <c r="F385" i="87"/>
  <c r="D75" i="113" s="1"/>
  <c r="I382" i="87"/>
  <c r="C164" i="112" s="1" a="1"/>
  <c r="C164" i="112" s="1"/>
  <c r="F381" i="87"/>
  <c r="F380" i="87"/>
  <c r="C44" i="112" s="1" a="1"/>
  <c r="C44" i="112" s="1"/>
  <c r="F376" i="87"/>
  <c r="C40" i="112" s="1"/>
  <c r="F375" i="87"/>
  <c r="C39" i="112" s="1"/>
  <c r="I374" i="87"/>
  <c r="I373" i="87"/>
  <c r="I372" i="87"/>
  <c r="I371" i="87"/>
  <c r="I370" i="87"/>
  <c r="I369" i="87"/>
  <c r="F368" i="87"/>
  <c r="F367" i="87"/>
  <c r="F366" i="87"/>
  <c r="F365" i="87"/>
  <c r="F364" i="87"/>
  <c r="I363" i="87"/>
  <c r="H169" i="112" s="1"/>
  <c r="F363" i="87"/>
  <c r="I362" i="87"/>
  <c r="H168" i="112" s="1"/>
  <c r="F362" i="87"/>
  <c r="I361" i="87"/>
  <c r="H167" i="112" s="1"/>
  <c r="I360" i="87"/>
  <c r="H166" i="112" s="1"/>
  <c r="I359" i="87"/>
  <c r="I358" i="87"/>
  <c r="D85" i="116" s="1"/>
  <c r="I357" i="87"/>
  <c r="H164" i="112" s="1"/>
  <c r="I356" i="87"/>
  <c r="I355" i="87"/>
  <c r="F355" i="87"/>
  <c r="I354" i="87"/>
  <c r="AE47" i="63" s="1"/>
  <c r="F354" i="87"/>
  <c r="F353" i="87"/>
  <c r="D86" i="113" s="1"/>
  <c r="F352" i="87"/>
  <c r="D93" i="113" s="1"/>
  <c r="F351" i="87"/>
  <c r="H39" i="112" s="1"/>
  <c r="E351" i="87"/>
  <c r="F350" i="87"/>
  <c r="F349" i="87"/>
  <c r="I346" i="87"/>
  <c r="G167" i="112" s="1"/>
  <c r="I344" i="87"/>
  <c r="I343" i="87"/>
  <c r="F343" i="87"/>
  <c r="G45" i="112" s="1"/>
  <c r="I342" i="87"/>
  <c r="F342" i="87"/>
  <c r="I341" i="87"/>
  <c r="F341" i="87"/>
  <c r="I340" i="87"/>
  <c r="F340" i="87"/>
  <c r="I339" i="87"/>
  <c r="F339" i="87"/>
  <c r="D85" i="113" s="1"/>
  <c r="F338" i="87"/>
  <c r="F337" i="87"/>
  <c r="E337" i="87"/>
  <c r="F336" i="87"/>
  <c r="F335" i="87"/>
  <c r="G37" i="112" s="1"/>
  <c r="I334" i="87"/>
  <c r="I333" i="87"/>
  <c r="I329" i="87"/>
  <c r="I328" i="87"/>
  <c r="F328" i="87"/>
  <c r="I327" i="87"/>
  <c r="I326" i="87"/>
  <c r="I325" i="87"/>
  <c r="F325" i="87"/>
  <c r="I324" i="87"/>
  <c r="F324" i="87"/>
  <c r="F323" i="87"/>
  <c r="E323" i="87"/>
  <c r="F322" i="87"/>
  <c r="I319" i="87"/>
  <c r="F165" i="112" s="1"/>
  <c r="I318" i="87"/>
  <c r="I314" i="87"/>
  <c r="I299" i="87" s="1"/>
  <c r="I313" i="87"/>
  <c r="I312" i="87"/>
  <c r="F164" i="112" s="1"/>
  <c r="I311" i="87"/>
  <c r="D79" i="116" s="1"/>
  <c r="F311" i="87"/>
  <c r="F297" i="87" s="1"/>
  <c r="I310" i="87"/>
  <c r="F162" i="112" s="1"/>
  <c r="I309" i="87"/>
  <c r="F161" i="112" s="1" a="1"/>
  <c r="F161" i="112" s="1"/>
  <c r="F309" i="87"/>
  <c r="F39" i="112" s="1"/>
  <c r="E309" i="87"/>
  <c r="F308" i="87"/>
  <c r="F38" i="112" s="1" a="1"/>
  <c r="F38" i="112" s="1"/>
  <c r="F307" i="87"/>
  <c r="F37" i="112" s="1"/>
  <c r="I304" i="87"/>
  <c r="E165" i="112" s="1"/>
  <c r="I303" i="87"/>
  <c r="E169" i="112" s="1"/>
  <c r="I302" i="87"/>
  <c r="E168" i="112" s="1"/>
  <c r="I301" i="87"/>
  <c r="E167" i="112" s="1"/>
  <c r="F301" i="87"/>
  <c r="I300" i="87"/>
  <c r="E166" i="112" s="1"/>
  <c r="F300" i="87"/>
  <c r="F299" i="87"/>
  <c r="I298" i="87"/>
  <c r="D86" i="116" s="1"/>
  <c r="F298" i="87"/>
  <c r="I297" i="87"/>
  <c r="D92" i="116" s="1"/>
  <c r="I296" i="87"/>
  <c r="E163" i="112" s="1"/>
  <c r="F296" i="87"/>
  <c r="I295" i="87"/>
  <c r="F295" i="87"/>
  <c r="E295" i="87"/>
  <c r="I294" i="87"/>
  <c r="E161" i="112" s="1"/>
  <c r="F294" i="87"/>
  <c r="F293" i="87"/>
  <c r="I289" i="87"/>
  <c r="D165" i="112" s="1"/>
  <c r="I288" i="87"/>
  <c r="D169" i="112" s="1"/>
  <c r="F288" i="87"/>
  <c r="D41" i="112" s="1"/>
  <c r="I287" i="87"/>
  <c r="D168" i="112" s="1"/>
  <c r="F287" i="87"/>
  <c r="I286" i="87"/>
  <c r="D167" i="112" s="1"/>
  <c r="F286" i="87"/>
  <c r="D44" i="112" s="1"/>
  <c r="I285" i="87"/>
  <c r="F285" i="87"/>
  <c r="D43" i="112" s="1"/>
  <c r="I284" i="87"/>
  <c r="F284" i="87"/>
  <c r="I283" i="87"/>
  <c r="D83" i="116" s="1"/>
  <c r="F283" i="87"/>
  <c r="D84" i="113" s="1"/>
  <c r="I282" i="87"/>
  <c r="F282" i="87"/>
  <c r="I281" i="87"/>
  <c r="F281" i="87"/>
  <c r="E281" i="87"/>
  <c r="I280" i="87"/>
  <c r="F280" i="87"/>
  <c r="I279" i="87"/>
  <c r="F279" i="87"/>
  <c r="F274" i="87"/>
  <c r="I273" i="87"/>
  <c r="D46" i="116" s="1"/>
  <c r="F273" i="87"/>
  <c r="I272" i="87"/>
  <c r="F272" i="87"/>
  <c r="I271" i="87"/>
  <c r="F271" i="87"/>
  <c r="I270" i="87"/>
  <c r="D130" i="116" s="1"/>
  <c r="F270" i="87"/>
  <c r="D148" i="113" s="1"/>
  <c r="I269" i="87"/>
  <c r="F269" i="87"/>
  <c r="D43" i="113" s="1"/>
  <c r="I267" i="87"/>
  <c r="F267" i="87"/>
  <c r="F266" i="87"/>
  <c r="D93" i="112" s="1"/>
  <c r="F263" i="87"/>
  <c r="I262" i="87"/>
  <c r="F262" i="87"/>
  <c r="I261" i="87"/>
  <c r="F261" i="87"/>
  <c r="I260" i="87"/>
  <c r="D126" i="116" s="1"/>
  <c r="F260" i="87"/>
  <c r="I259" i="87"/>
  <c r="F259" i="87"/>
  <c r="I258" i="87"/>
  <c r="F258" i="87"/>
  <c r="E92" i="112" s="1"/>
  <c r="I257" i="87"/>
  <c r="F257" i="87"/>
  <c r="F256" i="87"/>
  <c r="I255" i="87"/>
  <c r="F255" i="87"/>
  <c r="D92" i="112" s="1"/>
  <c r="I252" i="87"/>
  <c r="C200" i="112" s="1"/>
  <c r="F252" i="87"/>
  <c r="C81" i="112" s="1"/>
  <c r="I251" i="87"/>
  <c r="F251" i="87"/>
  <c r="C80" i="112" s="1"/>
  <c r="I250" i="87"/>
  <c r="C198" i="112" s="1"/>
  <c r="F250" i="87"/>
  <c r="I249" i="87"/>
  <c r="B392" i="65" s="1"/>
  <c r="F249" i="87"/>
  <c r="C78" i="112" s="1"/>
  <c r="I248" i="87"/>
  <c r="C196" i="112" s="1"/>
  <c r="F248" i="87"/>
  <c r="C77" i="112" s="1"/>
  <c r="I247" i="87"/>
  <c r="C195" i="112" s="1"/>
  <c r="F247" i="87"/>
  <c r="C76" i="112" s="1"/>
  <c r="I246" i="87"/>
  <c r="C194" i="112" s="1"/>
  <c r="F246" i="87"/>
  <c r="C75" i="112" s="1"/>
  <c r="I245" i="87"/>
  <c r="C193" i="112" s="1"/>
  <c r="F245" i="87"/>
  <c r="C74" i="112" s="1"/>
  <c r="I244" i="87"/>
  <c r="F244" i="87"/>
  <c r="C73" i="112" s="1"/>
  <c r="I243" i="87"/>
  <c r="C191" i="112" s="1"/>
  <c r="F243" i="87"/>
  <c r="C72" i="112" s="1"/>
  <c r="I242" i="87"/>
  <c r="C190" i="112" s="1"/>
  <c r="F242" i="87"/>
  <c r="C71" i="112" s="1"/>
  <c r="I241" i="87"/>
  <c r="F241" i="87"/>
  <c r="C70" i="112" s="1"/>
  <c r="I240" i="87"/>
  <c r="C188" i="112" s="1"/>
  <c r="F240" i="87"/>
  <c r="I239" i="87"/>
  <c r="I220" i="87" s="1"/>
  <c r="D187" i="112" s="1"/>
  <c r="F239" i="87"/>
  <c r="C68" i="112" s="1"/>
  <c r="I238" i="87"/>
  <c r="F238" i="87"/>
  <c r="C67" i="112" s="1"/>
  <c r="I237" i="87"/>
  <c r="C185" i="112" s="1"/>
  <c r="F237" i="87"/>
  <c r="AD236" i="87"/>
  <c r="AA236" i="87"/>
  <c r="X236" i="87"/>
  <c r="U236" i="87"/>
  <c r="U217" i="87" s="1"/>
  <c r="R236" i="87"/>
  <c r="R217" i="87" s="1"/>
  <c r="O236" i="87"/>
  <c r="L236" i="87"/>
  <c r="L217" i="87" s="1"/>
  <c r="AD235" i="87"/>
  <c r="AA235" i="87"/>
  <c r="AA216" i="87" s="1"/>
  <c r="X235" i="87"/>
  <c r="U235" i="87"/>
  <c r="U216" i="87" s="1"/>
  <c r="R235" i="87"/>
  <c r="R216" i="87" s="1"/>
  <c r="O235" i="87"/>
  <c r="L235" i="87"/>
  <c r="L216" i="87" s="1"/>
  <c r="AD234" i="87"/>
  <c r="AD215" i="87" s="1"/>
  <c r="AA234" i="87"/>
  <c r="AA215" i="87" s="1"/>
  <c r="X234" i="87"/>
  <c r="U234" i="87"/>
  <c r="R234" i="87"/>
  <c r="O234" i="87"/>
  <c r="L234" i="87"/>
  <c r="AD233" i="87"/>
  <c r="AD214" i="87" s="1"/>
  <c r="AA233" i="87"/>
  <c r="AA214" i="87" s="1"/>
  <c r="X233" i="87"/>
  <c r="X214" i="87" s="1"/>
  <c r="U233" i="87"/>
  <c r="U214" i="87" s="1"/>
  <c r="R233" i="87"/>
  <c r="O233" i="87"/>
  <c r="O214" i="87" s="1"/>
  <c r="L233" i="87"/>
  <c r="I233" i="87"/>
  <c r="D200" i="112" s="1"/>
  <c r="F233" i="87"/>
  <c r="D81" i="112" s="1"/>
  <c r="AD232" i="87"/>
  <c r="AD213" i="87" s="1"/>
  <c r="AA232" i="87"/>
  <c r="AA213" i="87" s="1"/>
  <c r="X232" i="87"/>
  <c r="X213" i="87" s="1"/>
  <c r="U232" i="87"/>
  <c r="U213" i="87" s="1"/>
  <c r="R232" i="87"/>
  <c r="R213" i="87" s="1"/>
  <c r="O232" i="87"/>
  <c r="L232" i="87"/>
  <c r="AD231" i="87"/>
  <c r="AA231" i="87"/>
  <c r="X231" i="87"/>
  <c r="X212" i="87" s="1"/>
  <c r="U231" i="87"/>
  <c r="U212" i="87" s="1"/>
  <c r="R231" i="87"/>
  <c r="R212" i="87" s="1"/>
  <c r="O231" i="87"/>
  <c r="L231" i="87"/>
  <c r="L212" i="87" s="1"/>
  <c r="AD230" i="87"/>
  <c r="AD211" i="87" s="1"/>
  <c r="AA230" i="87"/>
  <c r="X230" i="87"/>
  <c r="U230" i="87"/>
  <c r="R230" i="87"/>
  <c r="R211" i="87" s="1"/>
  <c r="O230" i="87"/>
  <c r="O211" i="87" s="1"/>
  <c r="L230" i="87"/>
  <c r="L211" i="87" s="1"/>
  <c r="F230" i="87"/>
  <c r="D78" i="112" s="1"/>
  <c r="AD229" i="87"/>
  <c r="AA229" i="87"/>
  <c r="X229" i="87"/>
  <c r="X210" i="87" s="1"/>
  <c r="U229" i="87"/>
  <c r="R229" i="87"/>
  <c r="O229" i="87"/>
  <c r="L229" i="87"/>
  <c r="L210" i="87" s="1"/>
  <c r="I229" i="87"/>
  <c r="D196" i="112" s="1"/>
  <c r="F229" i="87"/>
  <c r="D77" i="112" s="1"/>
  <c r="AD228" i="87"/>
  <c r="AD209" i="87" s="1"/>
  <c r="AA228" i="87"/>
  <c r="X228" i="87"/>
  <c r="U228" i="87"/>
  <c r="R228" i="87"/>
  <c r="R209" i="87" s="1"/>
  <c r="O228" i="87"/>
  <c r="L228" i="87"/>
  <c r="I228" i="87"/>
  <c r="D195" i="112" s="1"/>
  <c r="F228" i="87"/>
  <c r="D76" i="112" s="1"/>
  <c r="AD227" i="87"/>
  <c r="AA227" i="87"/>
  <c r="AA208" i="87" s="1"/>
  <c r="X227" i="87"/>
  <c r="U227" i="87"/>
  <c r="R227" i="87"/>
  <c r="O227" i="87"/>
  <c r="O208" i="87" s="1"/>
  <c r="L227" i="87"/>
  <c r="I227" i="87"/>
  <c r="D194" i="112" s="1"/>
  <c r="F227" i="87"/>
  <c r="D75" i="112" s="1"/>
  <c r="AD226" i="87"/>
  <c r="AD207" i="87" s="1"/>
  <c r="AA226" i="87"/>
  <c r="X226" i="87"/>
  <c r="X207" i="87" s="1"/>
  <c r="U226" i="87"/>
  <c r="R226" i="87"/>
  <c r="O226" i="87"/>
  <c r="L226" i="87"/>
  <c r="L207" i="87" s="1"/>
  <c r="F226" i="87"/>
  <c r="D74" i="112" s="1"/>
  <c r="AD225" i="87"/>
  <c r="AD206" i="87" s="1"/>
  <c r="AA225" i="87"/>
  <c r="AA206" i="87" s="1"/>
  <c r="X225" i="87"/>
  <c r="U225" i="87"/>
  <c r="U206" i="87" s="1"/>
  <c r="R225" i="87"/>
  <c r="O225" i="87"/>
  <c r="O206" i="87" s="1"/>
  <c r="L225" i="87"/>
  <c r="AD224" i="87"/>
  <c r="AA224" i="87"/>
  <c r="AA205" i="87" s="1"/>
  <c r="X224" i="87"/>
  <c r="X205" i="87" s="1"/>
  <c r="U224" i="87"/>
  <c r="R224" i="87"/>
  <c r="R205" i="87" s="1"/>
  <c r="O224" i="87"/>
  <c r="L224" i="87"/>
  <c r="L205" i="87" s="1"/>
  <c r="F224" i="87"/>
  <c r="D72" i="112" s="1"/>
  <c r="AD223" i="87"/>
  <c r="AA223" i="87"/>
  <c r="AA204" i="87" s="1"/>
  <c r="X223" i="87"/>
  <c r="X204" i="87" s="1"/>
  <c r="U223" i="87"/>
  <c r="R223" i="87"/>
  <c r="O223" i="87"/>
  <c r="O204" i="87" s="1"/>
  <c r="L223" i="87"/>
  <c r="I223" i="87"/>
  <c r="D190" i="112" s="1"/>
  <c r="F223" i="87"/>
  <c r="D71" i="112" s="1"/>
  <c r="AD222" i="87"/>
  <c r="AD203" i="87" s="1"/>
  <c r="AA222" i="87"/>
  <c r="X222" i="87"/>
  <c r="U222" i="87"/>
  <c r="U203" i="87" s="1"/>
  <c r="R222" i="87"/>
  <c r="R203" i="87" s="1"/>
  <c r="O222" i="87"/>
  <c r="L222" i="87"/>
  <c r="L203" i="87" s="1"/>
  <c r="AD221" i="87"/>
  <c r="AA221" i="87"/>
  <c r="AA202" i="87" s="1"/>
  <c r="X221" i="87"/>
  <c r="X202" i="87" s="1"/>
  <c r="U221" i="87"/>
  <c r="R221" i="87"/>
  <c r="R202" i="87" s="1"/>
  <c r="O221" i="87"/>
  <c r="O202" i="87" s="1"/>
  <c r="L221" i="87"/>
  <c r="L202" i="87" s="1"/>
  <c r="F220" i="87"/>
  <c r="D68" i="112" s="1"/>
  <c r="I219" i="87"/>
  <c r="D186" i="112" s="1"/>
  <c r="F219" i="87"/>
  <c r="D67" i="112" s="1"/>
  <c r="I218" i="87"/>
  <c r="D185" i="112" s="1"/>
  <c r="F218" i="87"/>
  <c r="D66" i="112" s="1"/>
  <c r="AD217" i="87"/>
  <c r="AA217" i="87"/>
  <c r="X217" i="87"/>
  <c r="O217" i="87"/>
  <c r="AD216" i="87"/>
  <c r="X216" i="87"/>
  <c r="O216" i="87"/>
  <c r="X215" i="87"/>
  <c r="U215" i="87"/>
  <c r="R215" i="87"/>
  <c r="O215" i="87"/>
  <c r="L215" i="87"/>
  <c r="R214" i="87"/>
  <c r="L214" i="87"/>
  <c r="I214" i="87"/>
  <c r="F214" i="87"/>
  <c r="O213" i="87"/>
  <c r="L213" i="87"/>
  <c r="I213" i="87"/>
  <c r="F213" i="87"/>
  <c r="AD212" i="87"/>
  <c r="AA212" i="87"/>
  <c r="O212" i="87"/>
  <c r="I212" i="87"/>
  <c r="F212" i="87"/>
  <c r="AA211" i="87"/>
  <c r="X211" i="87"/>
  <c r="U211" i="87"/>
  <c r="I211" i="87"/>
  <c r="F211" i="87"/>
  <c r="AD210" i="87"/>
  <c r="AA210" i="87"/>
  <c r="U210" i="87"/>
  <c r="R210" i="87"/>
  <c r="O210" i="87"/>
  <c r="I210" i="87"/>
  <c r="F210" i="87"/>
  <c r="AA209" i="87"/>
  <c r="X209" i="87"/>
  <c r="U209" i="87"/>
  <c r="O209" i="87"/>
  <c r="L209" i="87"/>
  <c r="I209" i="87"/>
  <c r="F209" i="87"/>
  <c r="AD208" i="87"/>
  <c r="X208" i="87"/>
  <c r="U208" i="87"/>
  <c r="R208" i="87"/>
  <c r="L208" i="87"/>
  <c r="I208" i="87"/>
  <c r="F208" i="87"/>
  <c r="AA207" i="87"/>
  <c r="U207" i="87"/>
  <c r="R207" i="87"/>
  <c r="O207" i="87"/>
  <c r="I207" i="87"/>
  <c r="F207" i="87"/>
  <c r="X206" i="87"/>
  <c r="R206" i="87"/>
  <c r="L206" i="87"/>
  <c r="I206" i="87"/>
  <c r="F206" i="87"/>
  <c r="AD205" i="87"/>
  <c r="U205" i="87"/>
  <c r="O205" i="87"/>
  <c r="I205" i="87"/>
  <c r="F205" i="87"/>
  <c r="AD204" i="87"/>
  <c r="U204" i="87"/>
  <c r="R204" i="87"/>
  <c r="L204" i="87"/>
  <c r="I204" i="87"/>
  <c r="F204" i="87"/>
  <c r="AA203" i="87"/>
  <c r="X203" i="87"/>
  <c r="O203" i="87"/>
  <c r="I203" i="87"/>
  <c r="F203" i="87"/>
  <c r="AD202" i="87"/>
  <c r="U202" i="87"/>
  <c r="I202" i="87"/>
  <c r="F202" i="87"/>
  <c r="I201" i="87"/>
  <c r="F201" i="87"/>
  <c r="I200" i="87"/>
  <c r="F200" i="87"/>
  <c r="I199" i="87"/>
  <c r="F199" i="87"/>
  <c r="AD198" i="87"/>
  <c r="AA198" i="87"/>
  <c r="X198" i="87"/>
  <c r="U198" i="87"/>
  <c r="R198" i="87"/>
  <c r="O198" i="87"/>
  <c r="L198" i="87"/>
  <c r="I198" i="87"/>
  <c r="E200" i="112" s="1"/>
  <c r="F198" i="87"/>
  <c r="E81" i="112" s="1"/>
  <c r="AD197" i="87"/>
  <c r="AA197" i="87"/>
  <c r="X197" i="87"/>
  <c r="U197" i="87"/>
  <c r="R197" i="87"/>
  <c r="O197" i="87"/>
  <c r="L197" i="87"/>
  <c r="I197" i="87"/>
  <c r="E199" i="112" s="1"/>
  <c r="F197" i="87"/>
  <c r="E80" i="112" s="1"/>
  <c r="AD196" i="87"/>
  <c r="AA196" i="87"/>
  <c r="X196" i="87"/>
  <c r="U196" i="87"/>
  <c r="R196" i="87"/>
  <c r="O196" i="87"/>
  <c r="L196" i="87"/>
  <c r="I196" i="87"/>
  <c r="E198" i="112" s="1"/>
  <c r="F196" i="87"/>
  <c r="E79" i="112" s="1"/>
  <c r="AD195" i="87"/>
  <c r="AA195" i="87"/>
  <c r="X195" i="87"/>
  <c r="U195" i="87"/>
  <c r="R195" i="87"/>
  <c r="O195" i="87"/>
  <c r="L195" i="87"/>
  <c r="I195" i="87"/>
  <c r="E197" i="112" s="1"/>
  <c r="F195" i="87"/>
  <c r="E78" i="112" s="1"/>
  <c r="AD194" i="87"/>
  <c r="AA194" i="87"/>
  <c r="X194" i="87"/>
  <c r="U194" i="87"/>
  <c r="R194" i="87"/>
  <c r="O194" i="87"/>
  <c r="L194" i="87"/>
  <c r="I194" i="87"/>
  <c r="E196" i="112" s="1"/>
  <c r="F194" i="87"/>
  <c r="E77" i="112" s="1"/>
  <c r="AD193" i="87"/>
  <c r="AA193" i="87"/>
  <c r="X193" i="87"/>
  <c r="U193" i="87"/>
  <c r="R193" i="87"/>
  <c r="O193" i="87"/>
  <c r="L193" i="87"/>
  <c r="I193" i="87"/>
  <c r="E195" i="112" s="1"/>
  <c r="F193" i="87"/>
  <c r="E76" i="112" s="1"/>
  <c r="AD192" i="87"/>
  <c r="AA192" i="87"/>
  <c r="X192" i="87"/>
  <c r="U192" i="87"/>
  <c r="R192" i="87"/>
  <c r="O192" i="87"/>
  <c r="L192" i="87"/>
  <c r="I192" i="87"/>
  <c r="E194" i="112" s="1"/>
  <c r="F192" i="87"/>
  <c r="E75" i="112" s="1"/>
  <c r="AD191" i="87"/>
  <c r="AA191" i="87"/>
  <c r="X191" i="87"/>
  <c r="U191" i="87"/>
  <c r="R191" i="87"/>
  <c r="O191" i="87"/>
  <c r="L191" i="87"/>
  <c r="I191" i="87"/>
  <c r="E193" i="112" s="1"/>
  <c r="F191" i="87"/>
  <c r="E74" i="112" s="1"/>
  <c r="AD190" i="87"/>
  <c r="AA190" i="87"/>
  <c r="X190" i="87"/>
  <c r="U190" i="87"/>
  <c r="R190" i="87"/>
  <c r="O190" i="87"/>
  <c r="L190" i="87"/>
  <c r="I190" i="87"/>
  <c r="E192" i="112" s="1"/>
  <c r="F190" i="87"/>
  <c r="E73" i="112" s="1"/>
  <c r="AD189" i="87"/>
  <c r="AA189" i="87"/>
  <c r="X189" i="87"/>
  <c r="U189" i="87"/>
  <c r="R189" i="87"/>
  <c r="O189" i="87"/>
  <c r="L189" i="87"/>
  <c r="I189" i="87"/>
  <c r="E191" i="112" s="1"/>
  <c r="F189" i="87"/>
  <c r="E72" i="112" s="1"/>
  <c r="AD188" i="87"/>
  <c r="AA188" i="87"/>
  <c r="X188" i="87"/>
  <c r="U188" i="87"/>
  <c r="R188" i="87"/>
  <c r="O188" i="87"/>
  <c r="L188" i="87"/>
  <c r="I188" i="87"/>
  <c r="E190" i="112" s="1"/>
  <c r="F188" i="87"/>
  <c r="E71" i="112" s="1"/>
  <c r="AD187" i="87"/>
  <c r="AA187" i="87"/>
  <c r="X187" i="87"/>
  <c r="U187" i="87"/>
  <c r="R187" i="87"/>
  <c r="O187" i="87"/>
  <c r="L187" i="87"/>
  <c r="I187" i="87"/>
  <c r="E189" i="112" s="1"/>
  <c r="F187" i="87"/>
  <c r="E70" i="112" s="1"/>
  <c r="AD186" i="87"/>
  <c r="AA186" i="87"/>
  <c r="X186" i="87"/>
  <c r="U186" i="87"/>
  <c r="R186" i="87"/>
  <c r="O186" i="87"/>
  <c r="L186" i="87"/>
  <c r="I186" i="87"/>
  <c r="E188" i="112" s="1"/>
  <c r="F186" i="87"/>
  <c r="E69" i="112" s="1"/>
  <c r="AD185" i="87"/>
  <c r="AA185" i="87"/>
  <c r="X185" i="87"/>
  <c r="U185" i="87"/>
  <c r="R185" i="87"/>
  <c r="O185" i="87"/>
  <c r="L185" i="87"/>
  <c r="I185" i="87"/>
  <c r="E187" i="112" s="1"/>
  <c r="F185" i="87"/>
  <c r="E68" i="112" s="1"/>
  <c r="AD184" i="87"/>
  <c r="AA184" i="87"/>
  <c r="X184" i="87"/>
  <c r="U184" i="87"/>
  <c r="R184" i="87"/>
  <c r="O184" i="87"/>
  <c r="L184" i="87"/>
  <c r="I184" i="87"/>
  <c r="E186" i="112" s="1"/>
  <c r="F184" i="87"/>
  <c r="E67" i="112" s="1"/>
  <c r="AD183" i="87"/>
  <c r="AA183" i="87"/>
  <c r="X183" i="87"/>
  <c r="U183" i="87"/>
  <c r="R183" i="87"/>
  <c r="O183" i="87"/>
  <c r="L183" i="87"/>
  <c r="I183" i="87"/>
  <c r="E185" i="112" s="1"/>
  <c r="F183" i="87"/>
  <c r="E66" i="112" s="1"/>
  <c r="AD179" i="87"/>
  <c r="AA179" i="87"/>
  <c r="X179" i="87"/>
  <c r="U179" i="87"/>
  <c r="R179" i="87"/>
  <c r="O179" i="87"/>
  <c r="L179" i="87"/>
  <c r="AD178" i="87"/>
  <c r="AA178" i="87"/>
  <c r="X178" i="87"/>
  <c r="U178" i="87"/>
  <c r="R178" i="87"/>
  <c r="O178" i="87"/>
  <c r="L178" i="87"/>
  <c r="AD174" i="87"/>
  <c r="AA174" i="87"/>
  <c r="X174" i="87"/>
  <c r="U174" i="87"/>
  <c r="R174" i="87"/>
  <c r="O174" i="87"/>
  <c r="L174" i="87"/>
  <c r="AD173" i="87"/>
  <c r="AA173" i="87"/>
  <c r="X173" i="87"/>
  <c r="U173" i="87"/>
  <c r="R173" i="87"/>
  <c r="O173" i="87"/>
  <c r="L173" i="87"/>
  <c r="I173" i="87"/>
  <c r="F173" i="87"/>
  <c r="AD172" i="87"/>
  <c r="AA172" i="87"/>
  <c r="X172" i="87"/>
  <c r="U172" i="87"/>
  <c r="R172" i="87"/>
  <c r="O172" i="87"/>
  <c r="L172" i="87"/>
  <c r="I172" i="87"/>
  <c r="F172" i="87"/>
  <c r="AD171" i="87"/>
  <c r="AA171" i="87"/>
  <c r="X171" i="87"/>
  <c r="U171" i="87"/>
  <c r="R171" i="87"/>
  <c r="O171" i="87"/>
  <c r="L171" i="87"/>
  <c r="I171" i="87"/>
  <c r="F171" i="87"/>
  <c r="I170" i="87"/>
  <c r="F170" i="87"/>
  <c r="AD169" i="87"/>
  <c r="AA169" i="87"/>
  <c r="X169" i="87"/>
  <c r="U169" i="87"/>
  <c r="R169" i="87"/>
  <c r="O169" i="87"/>
  <c r="L169" i="87"/>
  <c r="I169" i="87"/>
  <c r="F169" i="87"/>
  <c r="I168" i="87"/>
  <c r="F168" i="87"/>
  <c r="AD167" i="87"/>
  <c r="AA167" i="87"/>
  <c r="X167" i="87"/>
  <c r="U167" i="87"/>
  <c r="R167" i="87"/>
  <c r="O167" i="87"/>
  <c r="L167" i="87"/>
  <c r="I167" i="87"/>
  <c r="AD166" i="87"/>
  <c r="D631" i="117" s="1"/>
  <c r="AA166" i="87"/>
  <c r="D538" i="117" s="1"/>
  <c r="X166" i="87"/>
  <c r="D445" i="117" s="1"/>
  <c r="U166" i="87"/>
  <c r="D352" i="117" s="1"/>
  <c r="R166" i="87"/>
  <c r="D259" i="117" s="1"/>
  <c r="O166" i="87"/>
  <c r="D166" i="117" s="1"/>
  <c r="L166" i="87"/>
  <c r="D73" i="117" s="1"/>
  <c r="I166" i="87"/>
  <c r="F166" i="87"/>
  <c r="I162" i="87"/>
  <c r="F162" i="87"/>
  <c r="I161" i="87"/>
  <c r="F161" i="87"/>
  <c r="AD160" i="87" a="1"/>
  <c r="AD160" i="87"/>
  <c r="AA160" i="87" a="1"/>
  <c r="AA160" i="87"/>
  <c r="X160" i="87" a="1"/>
  <c r="X160" i="87"/>
  <c r="U160" i="87" a="1"/>
  <c r="U160" i="87" s="1"/>
  <c r="R160" i="87" a="1"/>
  <c r="R160" i="87"/>
  <c r="O160" i="87" a="1"/>
  <c r="O160" i="87"/>
  <c r="L160" i="87" a="1"/>
  <c r="L160" i="87"/>
  <c r="I160" i="87"/>
  <c r="F160" i="87"/>
  <c r="AD159" i="87" a="1"/>
  <c r="AD159" i="87" s="1"/>
  <c r="AA159" i="87" a="1"/>
  <c r="AA159" i="87"/>
  <c r="X159" i="87" a="1"/>
  <c r="X159" i="87"/>
  <c r="U159" i="87" a="1"/>
  <c r="U159" i="87"/>
  <c r="R159" i="87" a="1"/>
  <c r="R159" i="87"/>
  <c r="O159" i="87" a="1"/>
  <c r="O159" i="87" s="1"/>
  <c r="L159" i="87" a="1"/>
  <c r="L159" i="87"/>
  <c r="I159" i="87"/>
  <c r="F159" i="87"/>
  <c r="I158" i="87"/>
  <c r="I157" i="87"/>
  <c r="AD156" i="87"/>
  <c r="AA156" i="87"/>
  <c r="X156" i="87"/>
  <c r="U156" i="87"/>
  <c r="R156" i="87"/>
  <c r="O156" i="87"/>
  <c r="L156" i="87"/>
  <c r="I156" i="87"/>
  <c r="F156" i="87"/>
  <c r="AD155" i="87"/>
  <c r="AA155" i="87"/>
  <c r="X155" i="87"/>
  <c r="U155" i="87"/>
  <c r="R155" i="87"/>
  <c r="O155" i="87"/>
  <c r="L155" i="87"/>
  <c r="I155" i="87"/>
  <c r="F155" i="87"/>
  <c r="AD154" i="87"/>
  <c r="AA154" i="87"/>
  <c r="X154" i="87"/>
  <c r="U154" i="87"/>
  <c r="R154" i="87"/>
  <c r="O154" i="87"/>
  <c r="L154" i="87"/>
  <c r="I154" i="87"/>
  <c r="D370" i="65" s="1"/>
  <c r="F154" i="87"/>
  <c r="AD153" i="87"/>
  <c r="AA153" i="87"/>
  <c r="X153" i="87"/>
  <c r="U153" i="87"/>
  <c r="R153" i="87"/>
  <c r="O153" i="87"/>
  <c r="L153" i="87"/>
  <c r="I153" i="87"/>
  <c r="F153" i="87"/>
  <c r="AD152" i="87"/>
  <c r="AA152" i="87"/>
  <c r="X152" i="87"/>
  <c r="U152" i="87"/>
  <c r="R152" i="87"/>
  <c r="O152" i="87"/>
  <c r="L152" i="87"/>
  <c r="I152" i="87"/>
  <c r="F152" i="87"/>
  <c r="AD151" i="87"/>
  <c r="AA151" i="87"/>
  <c r="X151" i="87"/>
  <c r="U151" i="87"/>
  <c r="R151" i="87"/>
  <c r="O151" i="87"/>
  <c r="L151" i="87"/>
  <c r="I151" i="87"/>
  <c r="F151" i="87"/>
  <c r="AD150" i="87"/>
  <c r="AA150" i="87"/>
  <c r="X150" i="87"/>
  <c r="U150" i="87"/>
  <c r="R150" i="87"/>
  <c r="O150" i="87"/>
  <c r="L150" i="87"/>
  <c r="I150" i="87"/>
  <c r="D356" i="65" s="1"/>
  <c r="F150" i="87"/>
  <c r="AD149" i="87"/>
  <c r="AA149" i="87"/>
  <c r="X149" i="87"/>
  <c r="U149" i="87"/>
  <c r="R149" i="87"/>
  <c r="O149" i="87"/>
  <c r="L149" i="87"/>
  <c r="I149" i="87"/>
  <c r="F149" i="87"/>
  <c r="F145" i="87"/>
  <c r="I144" i="87"/>
  <c r="I143" i="87"/>
  <c r="F143" i="87"/>
  <c r="I142" i="87"/>
  <c r="F142" i="87"/>
  <c r="I141" i="87"/>
  <c r="F141" i="87"/>
  <c r="I140" i="87"/>
  <c r="F140" i="87"/>
  <c r="I139" i="87"/>
  <c r="F139" i="87"/>
  <c r="I135" i="87"/>
  <c r="F135" i="87"/>
  <c r="I134" i="87"/>
  <c r="F134" i="87"/>
  <c r="I133" i="87"/>
  <c r="F133" i="87"/>
  <c r="I132" i="87"/>
  <c r="F132" i="87"/>
  <c r="I131" i="87"/>
  <c r="F131" i="87"/>
  <c r="I130" i="87"/>
  <c r="F130" i="87"/>
  <c r="I129" i="87"/>
  <c r="F129" i="87"/>
  <c r="I128" i="87"/>
  <c r="F128" i="87"/>
  <c r="I127" i="87"/>
  <c r="F127" i="87"/>
  <c r="I126" i="87"/>
  <c r="F126" i="87"/>
  <c r="I125" i="87"/>
  <c r="F125" i="87"/>
  <c r="I124" i="87"/>
  <c r="F124" i="87"/>
  <c r="I120" i="87"/>
  <c r="F120" i="87"/>
  <c r="I117" i="87"/>
  <c r="C142" i="112" s="1"/>
  <c r="F117" i="87"/>
  <c r="I116" i="87"/>
  <c r="F116" i="87"/>
  <c r="C17" i="112" s="1"/>
  <c r="AA115" i="87"/>
  <c r="O115" i="87"/>
  <c r="F115" i="87"/>
  <c r="AD114" i="87"/>
  <c r="AA114" i="87"/>
  <c r="R113" i="87"/>
  <c r="I113" i="87"/>
  <c r="F113" i="87"/>
  <c r="C14" i="112" s="1"/>
  <c r="AD112" i="87"/>
  <c r="R112" i="87"/>
  <c r="L112" i="87"/>
  <c r="I112" i="87"/>
  <c r="F112" i="87"/>
  <c r="U111" i="87"/>
  <c r="I111" i="87"/>
  <c r="F111" i="87"/>
  <c r="F373" i="87" s="1"/>
  <c r="C37" i="112" s="1"/>
  <c r="X110" i="87"/>
  <c r="R110" i="87"/>
  <c r="I110" i="87"/>
  <c r="C135" i="112" s="1"/>
  <c r="F110" i="87"/>
  <c r="D400" i="109" s="1"/>
  <c r="AD106" i="87"/>
  <c r="AA106" i="87"/>
  <c r="X106" i="87"/>
  <c r="U106" i="87"/>
  <c r="R106" i="87"/>
  <c r="O106" i="87"/>
  <c r="L106" i="87"/>
  <c r="I106" i="87"/>
  <c r="F106" i="87"/>
  <c r="AD105" i="87"/>
  <c r="AA105" i="87"/>
  <c r="X105" i="87"/>
  <c r="U105" i="87"/>
  <c r="R105" i="87"/>
  <c r="O105" i="87"/>
  <c r="L105" i="87"/>
  <c r="I105" i="87"/>
  <c r="F105" i="87"/>
  <c r="AD104" i="87"/>
  <c r="AA104" i="87"/>
  <c r="X104" i="87"/>
  <c r="U104" i="87"/>
  <c r="R104" i="87"/>
  <c r="O104" i="87"/>
  <c r="L104" i="87"/>
  <c r="I104" i="87"/>
  <c r="F104" i="87"/>
  <c r="AD103" i="87"/>
  <c r="AA103" i="87"/>
  <c r="X103" i="87"/>
  <c r="U103" i="87"/>
  <c r="R103" i="87"/>
  <c r="O103" i="87"/>
  <c r="L103" i="87"/>
  <c r="I103" i="87"/>
  <c r="F103" i="87"/>
  <c r="AD102" i="87"/>
  <c r="AA102" i="87"/>
  <c r="X102" i="87"/>
  <c r="U102" i="87"/>
  <c r="R102" i="87"/>
  <c r="O102" i="87"/>
  <c r="L102" i="87"/>
  <c r="I102" i="87"/>
  <c r="F102" i="87"/>
  <c r="AD101" i="87"/>
  <c r="AA101" i="87"/>
  <c r="X101" i="87"/>
  <c r="U101" i="87"/>
  <c r="R101" i="87"/>
  <c r="O101" i="87"/>
  <c r="L101" i="87"/>
  <c r="I101" i="87"/>
  <c r="F101" i="87"/>
  <c r="AD100" i="87"/>
  <c r="AA100" i="87"/>
  <c r="X100" i="87"/>
  <c r="U100" i="87"/>
  <c r="R100" i="87"/>
  <c r="O100" i="87"/>
  <c r="L100" i="87"/>
  <c r="I100" i="87"/>
  <c r="D341" i="109" s="1"/>
  <c r="F100" i="87"/>
  <c r="I96" i="87"/>
  <c r="I95" i="87"/>
  <c r="F95" i="87"/>
  <c r="D135" i="113" s="1"/>
  <c r="AD94" i="87"/>
  <c r="AA94" i="87"/>
  <c r="X94" i="87"/>
  <c r="U94" i="87"/>
  <c r="R94" i="87"/>
  <c r="O94" i="87"/>
  <c r="L94" i="87"/>
  <c r="I94" i="87"/>
  <c r="F94" i="87"/>
  <c r="AD93" i="87"/>
  <c r="AA93" i="87"/>
  <c r="X93" i="87"/>
  <c r="U93" i="87"/>
  <c r="R93" i="87"/>
  <c r="O93" i="87"/>
  <c r="L93" i="87"/>
  <c r="I93" i="87"/>
  <c r="G142" i="112" s="1"/>
  <c r="F93" i="87"/>
  <c r="AD92" i="87"/>
  <c r="AA92" i="87"/>
  <c r="X92" i="87"/>
  <c r="U92" i="87"/>
  <c r="R92" i="87"/>
  <c r="O92" i="87"/>
  <c r="L92" i="87"/>
  <c r="I92" i="87"/>
  <c r="F92" i="87"/>
  <c r="D16" i="113" s="1"/>
  <c r="I91" i="87"/>
  <c r="AD90" i="87"/>
  <c r="AA90" i="87"/>
  <c r="X90" i="87"/>
  <c r="U90" i="87"/>
  <c r="R90" i="87"/>
  <c r="O90" i="87"/>
  <c r="L90" i="87"/>
  <c r="I90" i="87"/>
  <c r="F90" i="87"/>
  <c r="AD89" i="87"/>
  <c r="AA89" i="87"/>
  <c r="X89" i="87"/>
  <c r="U89" i="87"/>
  <c r="R89" i="87"/>
  <c r="O89" i="87"/>
  <c r="L89" i="87"/>
  <c r="I89" i="87"/>
  <c r="F89" i="87"/>
  <c r="G15" i="112" s="1"/>
  <c r="AD88" i="87"/>
  <c r="AC88" i="87"/>
  <c r="AA88" i="87"/>
  <c r="Z88" i="87"/>
  <c r="X88" i="87"/>
  <c r="W88" i="87"/>
  <c r="U88" i="87"/>
  <c r="T88" i="87"/>
  <c r="R88" i="87"/>
  <c r="Q88" i="87"/>
  <c r="O88" i="87"/>
  <c r="N88" i="87"/>
  <c r="L88" i="87"/>
  <c r="K88" i="87"/>
  <c r="I88" i="87"/>
  <c r="G138" i="112" s="1"/>
  <c r="F88" i="87"/>
  <c r="G14" i="112" s="1"/>
  <c r="E88" i="87"/>
  <c r="AD87" i="87"/>
  <c r="AA87" i="87"/>
  <c r="X87" i="87"/>
  <c r="U87" i="87"/>
  <c r="R87" i="87"/>
  <c r="O87" i="87"/>
  <c r="L87" i="87"/>
  <c r="I87" i="87"/>
  <c r="F87" i="87"/>
  <c r="G13" i="112" s="1"/>
  <c r="AD86" i="87"/>
  <c r="AA86" i="87"/>
  <c r="X86" i="87"/>
  <c r="U86" i="87"/>
  <c r="R86" i="87"/>
  <c r="O86" i="87"/>
  <c r="L86" i="87"/>
  <c r="I86" i="87"/>
  <c r="F86" i="87"/>
  <c r="AD85" i="87"/>
  <c r="AA85" i="87"/>
  <c r="X85" i="87"/>
  <c r="U85" i="87"/>
  <c r="R85" i="87"/>
  <c r="O85" i="87"/>
  <c r="L85" i="87"/>
  <c r="I85" i="87"/>
  <c r="D239" i="120" s="1"/>
  <c r="F85" i="87"/>
  <c r="I80" i="87"/>
  <c r="H140" i="112" s="1"/>
  <c r="F80" i="87"/>
  <c r="H16" i="112" s="1"/>
  <c r="AD78" i="87"/>
  <c r="AA78" i="87"/>
  <c r="X78" i="87"/>
  <c r="U78" i="87"/>
  <c r="R78" i="87"/>
  <c r="O78" i="87"/>
  <c r="L78" i="87"/>
  <c r="F78" i="87"/>
  <c r="AD77" i="87"/>
  <c r="AA77" i="87"/>
  <c r="X77" i="87"/>
  <c r="U77" i="87"/>
  <c r="R77" i="87"/>
  <c r="O77" i="87"/>
  <c r="L77" i="87"/>
  <c r="I77" i="87"/>
  <c r="F77" i="87"/>
  <c r="AD76" i="87"/>
  <c r="AA76" i="87"/>
  <c r="X76" i="87"/>
  <c r="U76" i="87"/>
  <c r="R76" i="87"/>
  <c r="O76" i="87"/>
  <c r="L76" i="87"/>
  <c r="I76" i="87"/>
  <c r="D18" i="116" s="1"/>
  <c r="F76" i="87"/>
  <c r="I75" i="87"/>
  <c r="AD74" i="87"/>
  <c r="AA74" i="87"/>
  <c r="X74" i="87"/>
  <c r="U74" i="87"/>
  <c r="R74" i="87"/>
  <c r="O74" i="87"/>
  <c r="L74" i="87"/>
  <c r="I74" i="87"/>
  <c r="F74" i="87"/>
  <c r="AD73" i="87"/>
  <c r="AA73" i="87"/>
  <c r="X73" i="87"/>
  <c r="U73" i="87"/>
  <c r="R73" i="87"/>
  <c r="O73" i="87"/>
  <c r="L73" i="87"/>
  <c r="I73" i="87"/>
  <c r="H139" i="112" s="1"/>
  <c r="F73" i="87"/>
  <c r="H15" i="112" s="1"/>
  <c r="AD72" i="87"/>
  <c r="AC72" i="87"/>
  <c r="AA72" i="87"/>
  <c r="Z72" i="87"/>
  <c r="X72" i="87"/>
  <c r="W72" i="87"/>
  <c r="U72" i="87"/>
  <c r="T72" i="87"/>
  <c r="R72" i="87"/>
  <c r="Q72" i="87"/>
  <c r="O72" i="87"/>
  <c r="N72" i="87"/>
  <c r="L72" i="87"/>
  <c r="K72" i="87"/>
  <c r="I72" i="87"/>
  <c r="F72" i="87"/>
  <c r="H14" i="112" s="1"/>
  <c r="E72" i="87"/>
  <c r="AD71" i="87"/>
  <c r="AA71" i="87"/>
  <c r="X71" i="87"/>
  <c r="U71" i="87"/>
  <c r="R71" i="87"/>
  <c r="O71" i="87"/>
  <c r="L71" i="87"/>
  <c r="I71" i="87"/>
  <c r="F71" i="87"/>
  <c r="H13" i="112" s="1"/>
  <c r="AD70" i="87"/>
  <c r="AA70" i="87"/>
  <c r="X70" i="87"/>
  <c r="U70" i="87"/>
  <c r="R70" i="87"/>
  <c r="O70" i="87"/>
  <c r="L70" i="87"/>
  <c r="I70" i="87"/>
  <c r="H136" i="112" s="1"/>
  <c r="F70" i="87"/>
  <c r="L277" i="62" s="1"/>
  <c r="AD69" i="87"/>
  <c r="AA69" i="87"/>
  <c r="X69" i="87"/>
  <c r="U69" i="87"/>
  <c r="R69" i="87"/>
  <c r="O69" i="87"/>
  <c r="L69" i="87"/>
  <c r="I69" i="87"/>
  <c r="F69" i="87"/>
  <c r="I64" i="87"/>
  <c r="AD62" i="87"/>
  <c r="AD32" i="87" s="1"/>
  <c r="AA62" i="87"/>
  <c r="X62" i="87"/>
  <c r="U62" i="87"/>
  <c r="R62" i="87"/>
  <c r="O62" i="87"/>
  <c r="L62" i="87"/>
  <c r="I62" i="87"/>
  <c r="F62" i="87"/>
  <c r="AD61" i="87"/>
  <c r="AA61" i="87"/>
  <c r="X61" i="87"/>
  <c r="X31" i="87" s="1"/>
  <c r="U61" i="87"/>
  <c r="R61" i="87"/>
  <c r="O61" i="87"/>
  <c r="L61" i="87"/>
  <c r="L31" i="87" s="1"/>
  <c r="F61" i="87"/>
  <c r="F327" i="87" s="1"/>
  <c r="AD60" i="87"/>
  <c r="AA60" i="87"/>
  <c r="AA30" i="87" s="1"/>
  <c r="X60" i="87"/>
  <c r="U60" i="87"/>
  <c r="R60" i="87"/>
  <c r="O60" i="87"/>
  <c r="L60" i="87"/>
  <c r="L30" i="87" s="1"/>
  <c r="I59" i="87"/>
  <c r="F59" i="87"/>
  <c r="AD58" i="87"/>
  <c r="AA58" i="87"/>
  <c r="X58" i="87"/>
  <c r="U58" i="87"/>
  <c r="U28" i="87" s="1"/>
  <c r="R58" i="87"/>
  <c r="O58" i="87"/>
  <c r="L58" i="87"/>
  <c r="I58" i="87"/>
  <c r="I28" i="87" s="1"/>
  <c r="AD57" i="87"/>
  <c r="AA57" i="87"/>
  <c r="X57" i="87"/>
  <c r="X27" i="87" s="1"/>
  <c r="U57" i="87"/>
  <c r="U27" i="87" s="1"/>
  <c r="R57" i="87"/>
  <c r="O57" i="87"/>
  <c r="O27" i="87" s="1"/>
  <c r="L57" i="87"/>
  <c r="F57" i="87"/>
  <c r="C57" i="87"/>
  <c r="AD56" i="87"/>
  <c r="AA56" i="87"/>
  <c r="X56" i="87"/>
  <c r="U56" i="87"/>
  <c r="R56" i="87"/>
  <c r="O56" i="87"/>
  <c r="O26" i="87" s="1"/>
  <c r="L56" i="87"/>
  <c r="I56" i="87"/>
  <c r="C56" i="87"/>
  <c r="AD55" i="87"/>
  <c r="AA55" i="87"/>
  <c r="X55" i="87"/>
  <c r="U55" i="87"/>
  <c r="R55" i="87"/>
  <c r="O55" i="87"/>
  <c r="L55" i="87"/>
  <c r="I55" i="87"/>
  <c r="C55" i="87"/>
  <c r="O54" i="87"/>
  <c r="C54" i="87"/>
  <c r="I53" i="87"/>
  <c r="C53" i="87"/>
  <c r="C49" i="87"/>
  <c r="C48" i="87"/>
  <c r="AD47" i="87"/>
  <c r="AA47" i="87"/>
  <c r="X47" i="87"/>
  <c r="U47" i="87"/>
  <c r="R47" i="87"/>
  <c r="R32" i="87" s="1"/>
  <c r="O47" i="87"/>
  <c r="L47" i="87"/>
  <c r="I47" i="87"/>
  <c r="F143" i="112" s="1"/>
  <c r="C47" i="87"/>
  <c r="AD46" i="87"/>
  <c r="AA46" i="87"/>
  <c r="AA31" i="87" s="1"/>
  <c r="X46" i="87"/>
  <c r="U46" i="87"/>
  <c r="U31" i="87" s="1"/>
  <c r="R46" i="87"/>
  <c r="O46" i="87"/>
  <c r="L46" i="87"/>
  <c r="F46" i="87"/>
  <c r="F18" i="112" s="1" a="1"/>
  <c r="F18" i="112" s="1"/>
  <c r="C46" i="87"/>
  <c r="AD45" i="87"/>
  <c r="AA45" i="87"/>
  <c r="X45" i="87"/>
  <c r="U45" i="87"/>
  <c r="U30" i="87" s="1"/>
  <c r="R45" i="87"/>
  <c r="O45" i="87"/>
  <c r="O30" i="87" s="1"/>
  <c r="L45" i="87"/>
  <c r="I45" i="87"/>
  <c r="C45" i="87"/>
  <c r="AD44" i="87"/>
  <c r="AA44" i="87"/>
  <c r="AA28" i="87" s="1"/>
  <c r="X44" i="87"/>
  <c r="U44" i="87"/>
  <c r="R44" i="87"/>
  <c r="R28" i="87" s="1"/>
  <c r="O44" i="87"/>
  <c r="L44" i="87"/>
  <c r="I44" i="87"/>
  <c r="I29" i="87" s="1"/>
  <c r="I43" i="87"/>
  <c r="F43" i="87"/>
  <c r="AD42" i="87"/>
  <c r="AA42" i="87"/>
  <c r="AA27" i="87" s="1"/>
  <c r="X42" i="87"/>
  <c r="U42" i="87"/>
  <c r="R42" i="87"/>
  <c r="R27" i="87" s="1"/>
  <c r="O42" i="87"/>
  <c r="L42" i="87"/>
  <c r="F42" i="87"/>
  <c r="F15" i="112" s="1" a="1"/>
  <c r="F15" i="112" s="1"/>
  <c r="AD41" i="87"/>
  <c r="AC41" i="87"/>
  <c r="AA41" i="87"/>
  <c r="AA26" i="87" s="1"/>
  <c r="Z41" i="87"/>
  <c r="X41" i="87"/>
  <c r="X26" i="87" s="1"/>
  <c r="W41" i="87"/>
  <c r="U41" i="87"/>
  <c r="T41" i="87"/>
  <c r="R41" i="87"/>
  <c r="R26" i="87" s="1"/>
  <c r="Q41" i="87"/>
  <c r="O41" i="87"/>
  <c r="N41" i="87"/>
  <c r="L41" i="87"/>
  <c r="L26" i="87" s="1"/>
  <c r="K41" i="87"/>
  <c r="I41" i="87"/>
  <c r="F41" i="87"/>
  <c r="F14" i="112" s="1" a="1"/>
  <c r="F14" i="112" s="1"/>
  <c r="E41" i="87"/>
  <c r="C41" i="87"/>
  <c r="AD40" i="87"/>
  <c r="AD25" i="87" s="1"/>
  <c r="AA40" i="87"/>
  <c r="X40" i="87"/>
  <c r="U40" i="87"/>
  <c r="R40" i="87"/>
  <c r="R25" i="87" s="1"/>
  <c r="O40" i="87"/>
  <c r="L40" i="87"/>
  <c r="L25" i="87" s="1"/>
  <c r="I40" i="87"/>
  <c r="F137" i="112" s="1"/>
  <c r="F40" i="87"/>
  <c r="F13" i="112" s="1" a="1"/>
  <c r="F13" i="112" s="1"/>
  <c r="AD39" i="87"/>
  <c r="R39" i="87"/>
  <c r="O39" i="87"/>
  <c r="I39" i="87"/>
  <c r="F136" i="112" s="1"/>
  <c r="C39" i="87"/>
  <c r="C38" i="87"/>
  <c r="C36" i="87"/>
  <c r="C35" i="87"/>
  <c r="I34" i="87"/>
  <c r="E140" i="112" s="1"/>
  <c r="C34" i="87"/>
  <c r="I33" i="87"/>
  <c r="F33" i="87"/>
  <c r="X32" i="87"/>
  <c r="L32" i="87"/>
  <c r="I32" i="87"/>
  <c r="F32" i="87"/>
  <c r="AD31" i="87"/>
  <c r="O31" i="87"/>
  <c r="I31" i="87"/>
  <c r="F31" i="87"/>
  <c r="AD30" i="87"/>
  <c r="X30" i="87"/>
  <c r="R30" i="87"/>
  <c r="I30" i="87"/>
  <c r="F30" i="87"/>
  <c r="C29" i="87"/>
  <c r="X28" i="87"/>
  <c r="O28" i="87"/>
  <c r="L28" i="87"/>
  <c r="F28" i="87"/>
  <c r="C28" i="87"/>
  <c r="AD27" i="87"/>
  <c r="L27" i="87"/>
  <c r="I27" i="87"/>
  <c r="E139" i="112" s="1"/>
  <c r="F27" i="87"/>
  <c r="E15" i="112" s="1"/>
  <c r="C27" i="87"/>
  <c r="AD26" i="87"/>
  <c r="AC26" i="87"/>
  <c r="Z26" i="87"/>
  <c r="W26" i="87"/>
  <c r="T26" i="87"/>
  <c r="Q26" i="87"/>
  <c r="N26" i="87"/>
  <c r="K26" i="87"/>
  <c r="F26" i="87"/>
  <c r="E26" i="87"/>
  <c r="C26" i="87"/>
  <c r="AA25" i="87"/>
  <c r="X25" i="87"/>
  <c r="U25" i="87"/>
  <c r="O25" i="87"/>
  <c r="F25" i="87"/>
  <c r="E13" i="112" s="1"/>
  <c r="AD24" i="87"/>
  <c r="AD54" i="87" s="1"/>
  <c r="AA24" i="87"/>
  <c r="AA39" i="87" s="1"/>
  <c r="X24" i="87"/>
  <c r="X39" i="87" s="1"/>
  <c r="U24" i="87"/>
  <c r="R24" i="87"/>
  <c r="R54" i="87" s="1"/>
  <c r="O24" i="87"/>
  <c r="L24" i="87"/>
  <c r="L39" i="87" s="1"/>
  <c r="I24" i="87"/>
  <c r="F24" i="87"/>
  <c r="F39" i="87" s="1"/>
  <c r="F12" i="112" s="1" a="1"/>
  <c r="F12" i="112" s="1"/>
  <c r="C24" i="87"/>
  <c r="AD23" i="87"/>
  <c r="AA23" i="87"/>
  <c r="X23" i="87"/>
  <c r="U23" i="87"/>
  <c r="R23" i="87"/>
  <c r="O23" i="87"/>
  <c r="L23" i="87"/>
  <c r="I23" i="87"/>
  <c r="F23" i="87"/>
  <c r="E11" i="112" s="1"/>
  <c r="C23" i="87"/>
  <c r="AH22" i="87"/>
  <c r="AH21" i="87"/>
  <c r="K78" i="123" s="1"/>
  <c r="I19" i="87"/>
  <c r="D140" i="112" s="1"/>
  <c r="F19" i="87"/>
  <c r="D16" i="112" s="1"/>
  <c r="C19" i="87"/>
  <c r="AH18" i="87"/>
  <c r="I18" i="87"/>
  <c r="D144" i="112" s="1"/>
  <c r="F18" i="87"/>
  <c r="C18" i="87"/>
  <c r="AD17" i="87"/>
  <c r="AA17" i="87"/>
  <c r="X17" i="87"/>
  <c r="U17" i="87"/>
  <c r="R17" i="87"/>
  <c r="O17" i="87"/>
  <c r="L17" i="87"/>
  <c r="I17" i="87"/>
  <c r="F17" i="87"/>
  <c r="C17" i="87"/>
  <c r="AD16" i="87"/>
  <c r="AD115" i="87" s="1"/>
  <c r="AA16" i="87"/>
  <c r="X16" i="87"/>
  <c r="X115" i="87" s="1"/>
  <c r="U16" i="87"/>
  <c r="U115" i="87" s="1"/>
  <c r="R16" i="87"/>
  <c r="R115" i="87" s="1"/>
  <c r="O16" i="87"/>
  <c r="L16" i="87"/>
  <c r="L115" i="87" s="1"/>
  <c r="I16" i="87"/>
  <c r="F16" i="87"/>
  <c r="D541" i="108" s="1"/>
  <c r="C16" i="87"/>
  <c r="AD15" i="87"/>
  <c r="AA15" i="87"/>
  <c r="X15" i="87"/>
  <c r="X114" i="87" s="1"/>
  <c r="U15" i="87"/>
  <c r="U114" i="87" s="1"/>
  <c r="R15" i="87"/>
  <c r="R114" i="87" s="1"/>
  <c r="O15" i="87"/>
  <c r="O114" i="87" s="1"/>
  <c r="L15" i="87"/>
  <c r="L114" i="87" s="1"/>
  <c r="I15" i="87"/>
  <c r="F15" i="87"/>
  <c r="C15" i="87"/>
  <c r="I14" i="87"/>
  <c r="C14" i="87"/>
  <c r="AD13" i="87"/>
  <c r="AA13" i="87"/>
  <c r="X13" i="87"/>
  <c r="U13" i="87"/>
  <c r="R13" i="87"/>
  <c r="O13" i="87"/>
  <c r="L13" i="87"/>
  <c r="I13" i="87"/>
  <c r="F13" i="87"/>
  <c r="C13" i="87"/>
  <c r="AD12" i="87"/>
  <c r="AA12" i="87"/>
  <c r="X12" i="87"/>
  <c r="U12" i="87"/>
  <c r="R12" i="87"/>
  <c r="O12" i="87"/>
  <c r="L12" i="87"/>
  <c r="I12" i="87"/>
  <c r="D139" i="112" s="1"/>
  <c r="F12" i="87"/>
  <c r="D15" i="112" s="1"/>
  <c r="C12" i="87"/>
  <c r="AD11" i="87"/>
  <c r="AD113" i="87" s="1"/>
  <c r="AC11" i="87"/>
  <c r="AA11" i="87"/>
  <c r="AA113" i="87" s="1"/>
  <c r="Z11" i="87"/>
  <c r="X11" i="87"/>
  <c r="X113" i="87" s="1"/>
  <c r="W11" i="87"/>
  <c r="U11" i="87"/>
  <c r="U113" i="87" s="1"/>
  <c r="T11" i="87"/>
  <c r="R11" i="87"/>
  <c r="Q11" i="87"/>
  <c r="O11" i="87"/>
  <c r="O113" i="87" s="1"/>
  <c r="N11" i="87"/>
  <c r="L11" i="87"/>
  <c r="L113" i="87" s="1"/>
  <c r="K11" i="87"/>
  <c r="I11" i="87"/>
  <c r="D138" i="112" s="1"/>
  <c r="F11" i="87"/>
  <c r="D14" i="112" s="1"/>
  <c r="E11" i="87"/>
  <c r="C11" i="87"/>
  <c r="AD10" i="87"/>
  <c r="AA10" i="87"/>
  <c r="AA112" i="87" s="1"/>
  <c r="X10" i="87"/>
  <c r="X112" i="87" s="1"/>
  <c r="U10" i="87"/>
  <c r="U112" i="87" s="1"/>
  <c r="R10" i="87"/>
  <c r="O10" i="87"/>
  <c r="O112" i="87" s="1"/>
  <c r="L10" i="87"/>
  <c r="I10" i="87"/>
  <c r="F10" i="87"/>
  <c r="D13" i="112" s="1"/>
  <c r="C10" i="87"/>
  <c r="AD9" i="87"/>
  <c r="AD111" i="87" s="1"/>
  <c r="AA9" i="87"/>
  <c r="AA111" i="87" s="1"/>
  <c r="X9" i="87"/>
  <c r="X111" i="87" s="1"/>
  <c r="U9" i="87"/>
  <c r="R9" i="87"/>
  <c r="R111" i="87" s="1"/>
  <c r="O9" i="87"/>
  <c r="O111" i="87" s="1"/>
  <c r="L9" i="87"/>
  <c r="L111" i="87" s="1"/>
  <c r="I9" i="87"/>
  <c r="D341" i="65" s="1"/>
  <c r="F9" i="87"/>
  <c r="C9" i="87"/>
  <c r="AH8" i="87"/>
  <c r="AH10" i="87" s="1"/>
  <c r="AD8" i="87"/>
  <c r="AD110" i="87" s="1"/>
  <c r="AA8" i="87"/>
  <c r="AA110" i="87" s="1"/>
  <c r="X8" i="87"/>
  <c r="U8" i="87"/>
  <c r="U110" i="87" s="1"/>
  <c r="R8" i="87"/>
  <c r="O8" i="87"/>
  <c r="O110" i="87" s="1"/>
  <c r="L8" i="87"/>
  <c r="L110" i="87" s="1"/>
  <c r="I8" i="87"/>
  <c r="F8" i="87"/>
  <c r="D129" i="113" s="1"/>
  <c r="C8" i="87"/>
  <c r="AH7" i="87"/>
  <c r="C439" i="115"/>
  <c r="C438" i="115"/>
  <c r="C437" i="115"/>
  <c r="C436" i="115"/>
  <c r="C434" i="115"/>
  <c r="C433" i="115"/>
  <c r="C432" i="115"/>
  <c r="C431" i="115"/>
  <c r="D430" i="115" a="1"/>
  <c r="D430" i="115"/>
  <c r="D426" i="115" a="1"/>
  <c r="D426" i="115" s="1"/>
  <c r="D417" i="115"/>
  <c r="D416" i="115"/>
  <c r="D415" i="115"/>
  <c r="C414" i="115"/>
  <c r="C413" i="115"/>
  <c r="C411" i="115"/>
  <c r="C410" i="115"/>
  <c r="C409" i="115"/>
  <c r="C408" i="115"/>
  <c r="C407" i="115"/>
  <c r="E406" i="115"/>
  <c r="C405" i="115"/>
  <c r="B400" i="115"/>
  <c r="B399" i="115"/>
  <c r="B397" i="115"/>
  <c r="B396" i="115"/>
  <c r="B393" i="115"/>
  <c r="B391" i="115"/>
  <c r="B390" i="115"/>
  <c r="B387" i="115" a="1"/>
  <c r="B387" i="115"/>
  <c r="D382" i="115"/>
  <c r="D381" i="115" a="1"/>
  <c r="D381" i="115" s="1"/>
  <c r="C381" i="115"/>
  <c r="D380" i="115"/>
  <c r="D377" i="115"/>
  <c r="C377" i="115"/>
  <c r="D376" i="115" a="1"/>
  <c r="D376" i="115" s="1"/>
  <c r="D375" i="115"/>
  <c r="D372" i="115"/>
  <c r="C372" i="115"/>
  <c r="C370" i="115"/>
  <c r="C369" i="115"/>
  <c r="C380" i="115" s="1"/>
  <c r="C366" i="115"/>
  <c r="C365" i="115"/>
  <c r="C364" i="115"/>
  <c r="C363" i="115"/>
  <c r="D362" i="115" a="1"/>
  <c r="D362" i="115"/>
  <c r="C362" i="115"/>
  <c r="D360" i="115" a="1"/>
  <c r="D360" i="115" s="1"/>
  <c r="C360" i="115"/>
  <c r="C358" i="115"/>
  <c r="C417" i="115" s="1"/>
  <c r="E357" i="115"/>
  <c r="D357" i="115"/>
  <c r="C357" i="115"/>
  <c r="D356" i="115"/>
  <c r="C355" i="115"/>
  <c r="C354" i="115"/>
  <c r="C353" i="115"/>
  <c r="C352" i="115"/>
  <c r="C351" i="115"/>
  <c r="C376" i="115" s="1"/>
  <c r="C350" i="115"/>
  <c r="C344" i="115"/>
  <c r="C416" i="115" s="1"/>
  <c r="C343" i="115"/>
  <c r="C342" i="115"/>
  <c r="D338" i="115"/>
  <c r="C338" i="115"/>
  <c r="D337" i="115"/>
  <c r="C337" i="115"/>
  <c r="D336" i="115"/>
  <c r="D335" i="115"/>
  <c r="D333" i="115"/>
  <c r="C328" i="115"/>
  <c r="C323" i="115"/>
  <c r="C320" i="115"/>
  <c r="C313" i="115"/>
  <c r="C312" i="115"/>
  <c r="C311" i="115"/>
  <c r="C309" i="115"/>
  <c r="C307" i="115"/>
  <c r="C305" i="115"/>
  <c r="C304" i="115"/>
  <c r="C303" i="115"/>
  <c r="C301" i="115"/>
  <c r="C299" i="115"/>
  <c r="B298" i="115"/>
  <c r="C297" i="115"/>
  <c r="C296" i="115"/>
  <c r="C295" i="115"/>
  <c r="C293" i="115"/>
  <c r="C291" i="115"/>
  <c r="C289" i="115"/>
  <c r="C288" i="115"/>
  <c r="C287" i="115"/>
  <c r="C285" i="115"/>
  <c r="C283" i="115"/>
  <c r="E280" i="115"/>
  <c r="C276" i="115"/>
  <c r="C275" i="115"/>
  <c r="C274" i="115"/>
  <c r="C273" i="115"/>
  <c r="C272" i="115"/>
  <c r="C271" i="115"/>
  <c r="C270" i="115"/>
  <c r="C269" i="115"/>
  <c r="C268" i="115"/>
  <c r="C267" i="115"/>
  <c r="C266" i="115"/>
  <c r="C265" i="115"/>
  <c r="C264" i="115"/>
  <c r="C263" i="115"/>
  <c r="C262" i="115"/>
  <c r="C261" i="115"/>
  <c r="C258" i="115"/>
  <c r="C257" i="115"/>
  <c r="C256" i="115"/>
  <c r="E249" i="115"/>
  <c r="E248" i="115"/>
  <c r="E247" i="115"/>
  <c r="C246" i="115"/>
  <c r="C242" i="115"/>
  <c r="E240" i="115"/>
  <c r="C239" i="115"/>
  <c r="C238" i="115"/>
  <c r="C237" i="115"/>
  <c r="C236" i="115"/>
  <c r="C234" i="115"/>
  <c r="C231" i="115"/>
  <c r="C230" i="115"/>
  <c r="E221" i="115"/>
  <c r="C220" i="115"/>
  <c r="E218" i="115"/>
  <c r="E217" i="115"/>
  <c r="E216" i="115"/>
  <c r="E215" i="115"/>
  <c r="C215" i="115"/>
  <c r="B214" i="115"/>
  <c r="E213" i="115"/>
  <c r="E212" i="115"/>
  <c r="E211" i="115"/>
  <c r="E210" i="115"/>
  <c r="C210" i="115"/>
  <c r="E208" i="115"/>
  <c r="E207" i="115"/>
  <c r="E206" i="115"/>
  <c r="C205" i="115"/>
  <c r="E203" i="115"/>
  <c r="E202" i="115"/>
  <c r="E201" i="115"/>
  <c r="C200" i="115"/>
  <c r="D198" i="115"/>
  <c r="E195" i="115"/>
  <c r="E194" i="115"/>
  <c r="E193" i="115"/>
  <c r="E192" i="115"/>
  <c r="C192" i="115"/>
  <c r="E191" i="115"/>
  <c r="C189" i="115"/>
  <c r="D187" i="115" a="1"/>
  <c r="D187" i="115" s="1"/>
  <c r="E184" i="115"/>
  <c r="E183" i="115"/>
  <c r="E182" i="115"/>
  <c r="E181" i="115"/>
  <c r="C181" i="115"/>
  <c r="E180" i="115"/>
  <c r="D176" i="115"/>
  <c r="C176" i="115"/>
  <c r="E173" i="115"/>
  <c r="E172" i="115"/>
  <c r="E171" i="115"/>
  <c r="E170" i="115"/>
  <c r="C170" i="115"/>
  <c r="E169" i="115"/>
  <c r="C167" i="115"/>
  <c r="D155" i="115"/>
  <c r="D141" i="115" a="1"/>
  <c r="C136" i="115"/>
  <c r="C135" i="115"/>
  <c r="C134" i="115"/>
  <c r="C133" i="115"/>
  <c r="B131" i="115"/>
  <c r="C129" i="115"/>
  <c r="C128" i="115"/>
  <c r="B124" i="115"/>
  <c r="C122" i="115"/>
  <c r="C117" i="115"/>
  <c r="C178" i="115" s="1"/>
  <c r="D112" i="115"/>
  <c r="D103" i="115"/>
  <c r="C103" i="115"/>
  <c r="D102" i="115"/>
  <c r="D101" i="115"/>
  <c r="D100" i="115"/>
  <c r="C97" i="115"/>
  <c r="C94" i="115"/>
  <c r="C87" i="115"/>
  <c r="C80" i="115"/>
  <c r="C79" i="115"/>
  <c r="C78" i="115"/>
  <c r="C76" i="115"/>
  <c r="C74" i="115"/>
  <c r="C72" i="115"/>
  <c r="C71" i="115"/>
  <c r="C70" i="115"/>
  <c r="C68" i="115"/>
  <c r="C66" i="115"/>
  <c r="B65" i="115"/>
  <c r="C64" i="115"/>
  <c r="C63" i="115"/>
  <c r="C62" i="115"/>
  <c r="C60" i="115"/>
  <c r="C58" i="115"/>
  <c r="B57" i="115"/>
  <c r="C56" i="115"/>
  <c r="C55" i="115"/>
  <c r="C54" i="115"/>
  <c r="C52" i="115"/>
  <c r="C50" i="115"/>
  <c r="C48" i="115"/>
  <c r="C44" i="115"/>
  <c r="C43" i="115"/>
  <c r="C42" i="115"/>
  <c r="C41" i="115"/>
  <c r="C40" i="115"/>
  <c r="C39" i="115"/>
  <c r="C38" i="115"/>
  <c r="C37" i="115"/>
  <c r="C36" i="115"/>
  <c r="C35" i="115"/>
  <c r="C34" i="115"/>
  <c r="C33" i="115"/>
  <c r="C32" i="115"/>
  <c r="C31" i="115"/>
  <c r="C30" i="115"/>
  <c r="C29" i="115"/>
  <c r="C26" i="115"/>
  <c r="C25" i="115"/>
  <c r="C24" i="115"/>
  <c r="C19" i="115"/>
  <c r="E14" i="115"/>
  <c r="D14" i="115"/>
  <c r="E13" i="115"/>
  <c r="E12" i="115"/>
  <c r="D12" i="115"/>
  <c r="E11" i="115"/>
  <c r="D11" i="115"/>
  <c r="E10" i="115"/>
  <c r="D10" i="115"/>
  <c r="E9" i="115"/>
  <c r="D9" i="115"/>
  <c r="E8" i="115"/>
  <c r="D8" i="115"/>
  <c r="D13" i="115" s="1"/>
  <c r="D558" i="109"/>
  <c r="C558" i="109"/>
  <c r="D557" i="109"/>
  <c r="D556" i="109"/>
  <c r="D555" i="109"/>
  <c r="C555" i="109"/>
  <c r="D551" i="109"/>
  <c r="C551" i="109"/>
  <c r="D550" i="109"/>
  <c r="D549" i="109"/>
  <c r="D546" i="109"/>
  <c r="C546" i="109"/>
  <c r="C545" i="109"/>
  <c r="D544" i="109"/>
  <c r="D541" i="109"/>
  <c r="D540" i="109"/>
  <c r="C540" i="109"/>
  <c r="D539" i="109"/>
  <c r="C539" i="109"/>
  <c r="D537" i="109"/>
  <c r="C537" i="109"/>
  <c r="D536" i="109"/>
  <c r="D533" i="109"/>
  <c r="C533" i="109"/>
  <c r="C532" i="109"/>
  <c r="C538" i="109" s="1"/>
  <c r="D531" i="109"/>
  <c r="C531" i="109"/>
  <c r="D529" i="109"/>
  <c r="C527" i="109"/>
  <c r="D526" i="109"/>
  <c r="C526" i="109"/>
  <c r="D524" i="109"/>
  <c r="C523" i="109"/>
  <c r="D522" i="109"/>
  <c r="D521" i="109"/>
  <c r="C521" i="109"/>
  <c r="C520" i="109"/>
  <c r="D519" i="109"/>
  <c r="C517" i="109"/>
  <c r="D516" i="109"/>
  <c r="D515" i="109"/>
  <c r="C515" i="109"/>
  <c r="D514" i="109"/>
  <c r="C514" i="109"/>
  <c r="C513" i="109"/>
  <c r="C512" i="109"/>
  <c r="D508" i="109"/>
  <c r="C508" i="109"/>
  <c r="D507" i="109"/>
  <c r="D506" i="109"/>
  <c r="C505" i="109"/>
  <c r="C556" i="109" s="1"/>
  <c r="D504" i="109"/>
  <c r="D500" i="109"/>
  <c r="C499" i="109"/>
  <c r="C116" i="116" s="1"/>
  <c r="D498" i="109"/>
  <c r="D497" i="109"/>
  <c r="C497" i="109"/>
  <c r="D496" i="109"/>
  <c r="C496" i="109"/>
  <c r="D494" i="109"/>
  <c r="C493" i="109"/>
  <c r="C557" i="109" s="1"/>
  <c r="D492" i="109"/>
  <c r="C492" i="109" a="1"/>
  <c r="C492" i="109" s="1"/>
  <c r="D490" i="109"/>
  <c r="D486" i="109"/>
  <c r="C486" i="109"/>
  <c r="D485" i="109"/>
  <c r="C485" i="109"/>
  <c r="D484" i="109"/>
  <c r="D483" i="109"/>
  <c r="D482" i="109"/>
  <c r="C482" i="109"/>
  <c r="C481" i="109" a="1"/>
  <c r="C481" i="109" s="1"/>
  <c r="D479" i="109"/>
  <c r="C475" i="109"/>
  <c r="D474" i="109"/>
  <c r="C470" i="109"/>
  <c r="C117" i="116" s="1"/>
  <c r="C469" i="109"/>
  <c r="C118" i="116" s="1"/>
  <c r="C467" i="109"/>
  <c r="C466" i="109"/>
  <c r="C500" i="109" s="1"/>
  <c r="D465" i="109"/>
  <c r="D461" i="109"/>
  <c r="C461" i="109"/>
  <c r="D460" i="109"/>
  <c r="D458" i="109"/>
  <c r="D454" i="109"/>
  <c r="C454" i="109"/>
  <c r="D453" i="109"/>
  <c r="D451" i="109"/>
  <c r="D447" i="109"/>
  <c r="C442" i="109"/>
  <c r="C120" i="116" s="1"/>
  <c r="D441" i="109"/>
  <c r="D437" i="109"/>
  <c r="D435" i="109"/>
  <c r="C434" i="109"/>
  <c r="D433" i="109"/>
  <c r="C429" i="109"/>
  <c r="D428" i="109"/>
  <c r="C428" i="109"/>
  <c r="D426" i="109"/>
  <c r="C426" i="109"/>
  <c r="D424" i="109"/>
  <c r="C423" i="109"/>
  <c r="D422" i="109"/>
  <c r="C422" i="109"/>
  <c r="D420" i="109"/>
  <c r="C420" i="109"/>
  <c r="C419" i="109"/>
  <c r="D418" i="109"/>
  <c r="C415" i="109"/>
  <c r="D411" i="109"/>
  <c r="C411" i="109"/>
  <c r="D410" i="109"/>
  <c r="D409" i="109"/>
  <c r="D408" i="109"/>
  <c r="C408" i="109"/>
  <c r="C405" i="109"/>
  <c r="C123" i="116" s="1"/>
  <c r="D403" i="109" a="1"/>
  <c r="D403" i="109" s="1"/>
  <c r="C403" i="109"/>
  <c r="D402" i="109" a="1"/>
  <c r="D402" i="109"/>
  <c r="C402" i="109"/>
  <c r="D401" i="109" a="1"/>
  <c r="D401" i="109" s="1"/>
  <c r="C401" i="109"/>
  <c r="C400" i="109"/>
  <c r="D399" i="109"/>
  <c r="C399" i="109"/>
  <c r="D398" i="109"/>
  <c r="D397" i="109"/>
  <c r="D396" i="109"/>
  <c r="C395" i="109"/>
  <c r="C437" i="109" s="1"/>
  <c r="D393" i="109"/>
  <c r="D392" i="109"/>
  <c r="C392" i="109"/>
  <c r="D391" i="109"/>
  <c r="C391" i="109"/>
  <c r="C388" i="109"/>
  <c r="C122" i="116" s="1"/>
  <c r="D386" i="109" a="1"/>
  <c r="D386" i="109" s="1"/>
  <c r="C386" i="109"/>
  <c r="D385" i="109" a="1"/>
  <c r="D385" i="109" s="1"/>
  <c r="C385" i="109"/>
  <c r="D384" i="109" a="1"/>
  <c r="D384" i="109" s="1"/>
  <c r="C384" i="109"/>
  <c r="D382" i="109"/>
  <c r="D381" i="109"/>
  <c r="D380" i="109"/>
  <c r="D379" i="109"/>
  <c r="C378" i="109"/>
  <c r="D376" i="109"/>
  <c r="D375" i="109"/>
  <c r="D374" i="109"/>
  <c r="C371" i="109"/>
  <c r="D366" i="109"/>
  <c r="D365" i="109"/>
  <c r="C365" i="109"/>
  <c r="D363" i="109"/>
  <c r="D362" i="109"/>
  <c r="C361" i="109"/>
  <c r="D359" i="109"/>
  <c r="C359" i="109"/>
  <c r="D353" i="109"/>
  <c r="D352" i="109"/>
  <c r="C350" i="109"/>
  <c r="C104" i="116" s="1"/>
  <c r="C345" i="109"/>
  <c r="C101" i="116" s="1"/>
  <c r="D344" i="109"/>
  <c r="C344" i="109"/>
  <c r="D340" i="109"/>
  <c r="E337" i="109"/>
  <c r="D337" i="109"/>
  <c r="D331" i="109"/>
  <c r="C331" i="109"/>
  <c r="D330" i="109"/>
  <c r="D329" i="109"/>
  <c r="C328" i="109"/>
  <c r="C95" i="116" s="1"/>
  <c r="C327" i="109"/>
  <c r="C94" i="116" s="1"/>
  <c r="C325" i="109"/>
  <c r="C92" i="116" s="1"/>
  <c r="C324" i="109"/>
  <c r="C91" i="116" s="1"/>
  <c r="C323" i="109"/>
  <c r="C90" i="116" s="1"/>
  <c r="C322" i="109"/>
  <c r="C321" i="109"/>
  <c r="E320" i="109"/>
  <c r="B316" i="109"/>
  <c r="B313" i="109"/>
  <c r="B303" i="109" a="1"/>
  <c r="B303" i="109"/>
  <c r="D298" i="109"/>
  <c r="D297" i="109"/>
  <c r="C297" i="109"/>
  <c r="D296" i="109"/>
  <c r="D293" i="109"/>
  <c r="D292" i="109"/>
  <c r="C292" i="109"/>
  <c r="D288" i="109"/>
  <c r="C288" i="109"/>
  <c r="C286" i="109"/>
  <c r="C282" i="109"/>
  <c r="F126" i="63" s="1"/>
  <c r="C281" i="109"/>
  <c r="F125" i="63" s="1"/>
  <c r="C280" i="109"/>
  <c r="C279" i="109"/>
  <c r="D278" i="109"/>
  <c r="C278" i="109"/>
  <c r="C276" i="109"/>
  <c r="C274" i="109"/>
  <c r="C97" i="116" s="1"/>
  <c r="D272" i="109"/>
  <c r="C272" i="109"/>
  <c r="C271" i="109"/>
  <c r="C270" i="109"/>
  <c r="C269" i="109"/>
  <c r="C268" i="109"/>
  <c r="C267" i="109"/>
  <c r="C287" i="109" s="1"/>
  <c r="C329" i="109" s="1"/>
  <c r="C266" i="109"/>
  <c r="C98" i="116" s="1"/>
  <c r="C265" i="109"/>
  <c r="C260" i="109"/>
  <c r="C259" i="109"/>
  <c r="C258" i="109"/>
  <c r="C65" i="116" s="1"/>
  <c r="C257" i="109"/>
  <c r="D251" i="109"/>
  <c r="C251" i="109"/>
  <c r="D250" i="109"/>
  <c r="D248" i="109"/>
  <c r="C246" i="109"/>
  <c r="C239" i="109"/>
  <c r="C238" i="109"/>
  <c r="C235" i="109"/>
  <c r="C232" i="109"/>
  <c r="C343" i="120" s="1"/>
  <c r="C227" i="109"/>
  <c r="C226" i="109"/>
  <c r="C225" i="109"/>
  <c r="C223" i="109"/>
  <c r="C221" i="109"/>
  <c r="C219" i="109"/>
  <c r="C88" i="116" s="1"/>
  <c r="C218" i="109"/>
  <c r="C87" i="116" s="1"/>
  <c r="C217" i="109"/>
  <c r="C84" i="116" s="1"/>
  <c r="C215" i="109"/>
  <c r="C213" i="109"/>
  <c r="C83" i="116" s="1"/>
  <c r="B212" i="109"/>
  <c r="C211" i="109"/>
  <c r="C210" i="109"/>
  <c r="E209" i="109"/>
  <c r="C209" i="109"/>
  <c r="C77" i="116" s="1"/>
  <c r="C207" i="109"/>
  <c r="C205" i="109"/>
  <c r="C76" i="116" s="1"/>
  <c r="C203" i="109"/>
  <c r="C73" i="116" s="1"/>
  <c r="C202" i="109"/>
  <c r="C74" i="116" s="1"/>
  <c r="C201" i="109"/>
  <c r="C70" i="116" s="1"/>
  <c r="C199" i="109"/>
  <c r="C197" i="109"/>
  <c r="C69" i="116" s="1"/>
  <c r="C195" i="109"/>
  <c r="E194" i="109"/>
  <c r="C189" i="109"/>
  <c r="C188" i="109"/>
  <c r="C187" i="109"/>
  <c r="C186" i="109"/>
  <c r="C185" i="109"/>
  <c r="C184" i="109"/>
  <c r="C183" i="109"/>
  <c r="C182" i="109"/>
  <c r="C181" i="109"/>
  <c r="C180" i="109"/>
  <c r="C179" i="109"/>
  <c r="C178" i="109"/>
  <c r="C177" i="109"/>
  <c r="C176" i="109"/>
  <c r="C175" i="109"/>
  <c r="C174" i="109"/>
  <c r="C171" i="109"/>
  <c r="C170" i="109"/>
  <c r="C169" i="109"/>
  <c r="C161" i="109"/>
  <c r="C160" i="109"/>
  <c r="B56" i="116" s="1"/>
  <c r="C159" i="109"/>
  <c r="C56" i="116" s="1"/>
  <c r="C158" i="109"/>
  <c r="C59" i="116" s="1"/>
  <c r="C157" i="109"/>
  <c r="C58" i="116" s="1"/>
  <c r="C156" i="109"/>
  <c r="C57" i="116" s="1"/>
  <c r="C155" i="109"/>
  <c r="C144" i="109"/>
  <c r="C27" i="116" s="1"/>
  <c r="C142" i="109"/>
  <c r="C141" i="109"/>
  <c r="C21" i="116" s="1"/>
  <c r="C140" i="109"/>
  <c r="C138" i="109"/>
  <c r="C137" i="109"/>
  <c r="C16" i="116" s="1"/>
  <c r="E134" i="109"/>
  <c r="C132" i="109"/>
  <c r="D129" i="109"/>
  <c r="C129" i="109"/>
  <c r="D128" i="109"/>
  <c r="D127" i="109"/>
  <c r="C127" i="109"/>
  <c r="D126" i="109"/>
  <c r="D125" i="109"/>
  <c r="D123" i="109"/>
  <c r="C123" i="109"/>
  <c r="D122" i="109"/>
  <c r="C122" i="109"/>
  <c r="D120" i="109"/>
  <c r="C120" i="109"/>
  <c r="D118" i="109"/>
  <c r="D116" i="109"/>
  <c r="C116" i="109"/>
  <c r="D111" i="109"/>
  <c r="C110" i="109"/>
  <c r="C33" i="116" s="1"/>
  <c r="C108" i="109"/>
  <c r="C20" i="116" s="1"/>
  <c r="C106" i="109"/>
  <c r="C31" i="116" s="1"/>
  <c r="C103" i="109"/>
  <c r="C30" i="116" s="1"/>
  <c r="C102" i="109"/>
  <c r="C101" i="109"/>
  <c r="C15" i="116" s="1"/>
  <c r="C99" i="109"/>
  <c r="C96" i="109"/>
  <c r="C506" i="109" s="1"/>
  <c r="E95" i="109"/>
  <c r="C95" i="109"/>
  <c r="C90" i="109"/>
  <c r="C89" i="109"/>
  <c r="C88" i="109"/>
  <c r="C87" i="109"/>
  <c r="D86" i="109"/>
  <c r="D85" i="109"/>
  <c r="D84" i="109"/>
  <c r="D78" i="109"/>
  <c r="D77" i="109"/>
  <c r="D75" i="109"/>
  <c r="D73" i="109"/>
  <c r="D71" i="109"/>
  <c r="D70" i="109"/>
  <c r="D69" i="109"/>
  <c r="C65" i="109"/>
  <c r="C26" i="116" s="1"/>
  <c r="C64" i="109"/>
  <c r="C63" i="109"/>
  <c r="C62" i="109"/>
  <c r="C61" i="109"/>
  <c r="C86" i="109"/>
  <c r="C58" i="109"/>
  <c r="D51" i="109"/>
  <c r="D49" i="109"/>
  <c r="D47" i="109"/>
  <c r="C44" i="109"/>
  <c r="C70" i="109" s="1"/>
  <c r="D43" i="109"/>
  <c r="C43" i="109"/>
  <c r="C38" i="109"/>
  <c r="C525" i="109" s="1"/>
  <c r="C36" i="109"/>
  <c r="C35" i="109"/>
  <c r="D33" i="109"/>
  <c r="D27" i="109"/>
  <c r="C27" i="109"/>
  <c r="D26" i="109"/>
  <c r="C26" i="109"/>
  <c r="D25" i="109"/>
  <c r="C25" i="109"/>
  <c r="D24" i="109"/>
  <c r="C24" i="109"/>
  <c r="D23" i="109"/>
  <c r="C23" i="109"/>
  <c r="D22" i="109"/>
  <c r="C22" i="109"/>
  <c r="D21" i="109"/>
  <c r="C21" i="109"/>
  <c r="D20" i="109"/>
  <c r="C20" i="109"/>
  <c r="D15" i="109"/>
  <c r="C113" i="109" s="1"/>
  <c r="D14" i="109"/>
  <c r="D13" i="109"/>
  <c r="D12" i="109"/>
  <c r="D11" i="109"/>
  <c r="E20" i="109" s="1"/>
  <c r="Q78" i="123"/>
  <c r="N78" i="123"/>
  <c r="E78" i="123"/>
  <c r="T77" i="123"/>
  <c r="Q77" i="123"/>
  <c r="N77" i="123"/>
  <c r="K77" i="123"/>
  <c r="H77" i="123"/>
  <c r="E77" i="123"/>
  <c r="B77" i="123"/>
  <c r="Q75" i="123"/>
  <c r="H75" i="123"/>
  <c r="E75" i="123"/>
  <c r="T74" i="123"/>
  <c r="Q74" i="123"/>
  <c r="N74" i="123"/>
  <c r="K74" i="123"/>
  <c r="H74" i="123"/>
  <c r="E74" i="123"/>
  <c r="B74" i="123"/>
  <c r="T73" i="123"/>
  <c r="Q73" i="123"/>
  <c r="N73" i="123"/>
  <c r="K73" i="123"/>
  <c r="H73" i="123"/>
  <c r="E73" i="123"/>
  <c r="B73" i="123"/>
  <c r="T72" i="123"/>
  <c r="Q72" i="123"/>
  <c r="N72" i="123"/>
  <c r="K72" i="123"/>
  <c r="H72" i="123"/>
  <c r="E72" i="123"/>
  <c r="B72" i="123"/>
  <c r="T71" i="123"/>
  <c r="Q71" i="123"/>
  <c r="N71" i="123"/>
  <c r="K71" i="123"/>
  <c r="H71" i="123"/>
  <c r="E71" i="123"/>
  <c r="B71" i="123"/>
  <c r="T64" i="123"/>
  <c r="Q64" i="123"/>
  <c r="N64" i="123"/>
  <c r="K64" i="123"/>
  <c r="H64" i="123"/>
  <c r="E64" i="123"/>
  <c r="B64" i="123"/>
  <c r="T63" i="123"/>
  <c r="Q63" i="123"/>
  <c r="N63" i="123"/>
  <c r="K63" i="123"/>
  <c r="H63" i="123"/>
  <c r="E63" i="123"/>
  <c r="B63" i="123"/>
  <c r="T62" i="123"/>
  <c r="Q62" i="123"/>
  <c r="N62" i="123"/>
  <c r="K62" i="123"/>
  <c r="H62" i="123"/>
  <c r="E62" i="123"/>
  <c r="B62" i="123"/>
  <c r="T61" i="123"/>
  <c r="Q61" i="123"/>
  <c r="N61" i="123"/>
  <c r="K61" i="123"/>
  <c r="H61" i="123"/>
  <c r="E61" i="123"/>
  <c r="B61" i="123"/>
  <c r="T60" i="123"/>
  <c r="Q60" i="123"/>
  <c r="N60" i="123"/>
  <c r="K60" i="123"/>
  <c r="H60" i="123"/>
  <c r="E60" i="123"/>
  <c r="B60" i="123"/>
  <c r="T59" i="123"/>
  <c r="Q59" i="123"/>
  <c r="N59" i="123"/>
  <c r="K59" i="123"/>
  <c r="H59" i="123"/>
  <c r="E59" i="123"/>
  <c r="B59" i="123"/>
  <c r="T58" i="123"/>
  <c r="Q58" i="123"/>
  <c r="N58" i="123"/>
  <c r="K58" i="123"/>
  <c r="H58" i="123"/>
  <c r="E58" i="123"/>
  <c r="B58" i="123"/>
  <c r="T57" i="123"/>
  <c r="Q57" i="123"/>
  <c r="N57" i="123"/>
  <c r="K57" i="123"/>
  <c r="H57" i="123"/>
  <c r="E57" i="123"/>
  <c r="B57" i="123"/>
  <c r="T56" i="123"/>
  <c r="Q56" i="123"/>
  <c r="N56" i="123"/>
  <c r="K56" i="123"/>
  <c r="H56" i="123"/>
  <c r="E56" i="123"/>
  <c r="B56" i="123"/>
  <c r="R50" i="123"/>
  <c r="P50" i="123"/>
  <c r="C50" i="123"/>
  <c r="R49" i="123"/>
  <c r="C49" i="123"/>
  <c r="R48" i="123"/>
  <c r="P48" i="123"/>
  <c r="R47" i="123"/>
  <c r="P47" i="123"/>
  <c r="R46" i="123"/>
  <c r="R45" i="123"/>
  <c r="P45" i="123"/>
  <c r="R44" i="123"/>
  <c r="R43" i="123"/>
  <c r="R41" i="123"/>
  <c r="P41" i="123"/>
  <c r="R40" i="123"/>
  <c r="P40" i="123"/>
  <c r="R38" i="123"/>
  <c r="P38" i="123"/>
  <c r="R37" i="123"/>
  <c r="P37" i="123"/>
  <c r="R35" i="123"/>
  <c r="P35" i="123"/>
  <c r="R34" i="123"/>
  <c r="P34" i="123"/>
  <c r="R32" i="123"/>
  <c r="R31" i="123"/>
  <c r="P31" i="123"/>
  <c r="R30" i="123"/>
  <c r="R29" i="123"/>
  <c r="R28" i="123"/>
  <c r="P28" i="123"/>
  <c r="R26" i="123"/>
  <c r="P26" i="123"/>
  <c r="R25" i="123"/>
  <c r="P25" i="123"/>
  <c r="R24" i="123"/>
  <c r="P24" i="123"/>
  <c r="R23" i="123"/>
  <c r="P23" i="123"/>
  <c r="R22" i="123"/>
  <c r="P22" i="123"/>
  <c r="R20" i="123"/>
  <c r="R19" i="123"/>
  <c r="P19" i="123"/>
  <c r="B19" i="123"/>
  <c r="R18" i="123"/>
  <c r="P18" i="123"/>
  <c r="B18" i="123"/>
  <c r="R17" i="123"/>
  <c r="P17" i="123"/>
  <c r="R15" i="123"/>
  <c r="P15" i="123"/>
  <c r="B15" i="123"/>
  <c r="R14" i="123"/>
  <c r="P14" i="123"/>
  <c r="B14" i="123"/>
  <c r="B13" i="123"/>
  <c r="R12" i="123"/>
  <c r="P12" i="123"/>
  <c r="B12" i="123"/>
  <c r="R11" i="123"/>
  <c r="P11" i="123"/>
  <c r="B11" i="123"/>
  <c r="C329" i="115" s="1"/>
  <c r="R9" i="123"/>
  <c r="P9" i="123"/>
  <c r="C9" i="123"/>
  <c r="A9" i="123"/>
  <c r="R8" i="123"/>
  <c r="P8" i="123"/>
  <c r="B8" i="123"/>
  <c r="B5" i="123"/>
  <c r="B4" i="123"/>
  <c r="B3" i="123"/>
  <c r="D395" i="65"/>
  <c r="C395" i="65"/>
  <c r="B395" i="65"/>
  <c r="D394" i="65"/>
  <c r="B394" i="65"/>
  <c r="D393" i="65"/>
  <c r="C393" i="65"/>
  <c r="B393" i="65"/>
  <c r="D392" i="65"/>
  <c r="C392" i="65"/>
  <c r="D391" i="65"/>
  <c r="C391" i="65"/>
  <c r="B391" i="65"/>
  <c r="D390" i="65"/>
  <c r="C390" i="65"/>
  <c r="B390" i="65"/>
  <c r="D389" i="65"/>
  <c r="B389" i="65"/>
  <c r="D388" i="65"/>
  <c r="B388" i="65"/>
  <c r="D387" i="65"/>
  <c r="B387" i="65"/>
  <c r="D386" i="65"/>
  <c r="B386" i="65"/>
  <c r="D385" i="65"/>
  <c r="B385" i="65"/>
  <c r="D384" i="65"/>
  <c r="B384" i="65"/>
  <c r="D383" i="65"/>
  <c r="B383" i="65"/>
  <c r="D382" i="65"/>
  <c r="C382" i="65"/>
  <c r="D381" i="65"/>
  <c r="C381" i="65"/>
  <c r="B381" i="65"/>
  <c r="D380" i="65"/>
  <c r="C380" i="65"/>
  <c r="B380" i="65"/>
  <c r="D378" i="65"/>
  <c r="C378" i="65"/>
  <c r="B378" i="65"/>
  <c r="D377" i="65"/>
  <c r="B377" i="65"/>
  <c r="D376" i="65"/>
  <c r="B376" i="65"/>
  <c r="D375" i="65"/>
  <c r="B375" i="65"/>
  <c r="C373" i="65"/>
  <c r="B373" i="65"/>
  <c r="C370" i="65"/>
  <c r="D369" i="65"/>
  <c r="C366" i="65"/>
  <c r="D365" i="65"/>
  <c r="D363" i="65"/>
  <c r="D362" i="65"/>
  <c r="C361" i="65"/>
  <c r="C360" i="65"/>
  <c r="D359" i="65"/>
  <c r="C359" i="65"/>
  <c r="D358" i="65"/>
  <c r="B357" i="65"/>
  <c r="D355" i="65"/>
  <c r="D354" i="65"/>
  <c r="C354" i="65"/>
  <c r="C353" i="65"/>
  <c r="C177" i="85" s="1"/>
  <c r="D352" i="65"/>
  <c r="C352" i="65"/>
  <c r="C347" i="65"/>
  <c r="C346" i="65"/>
  <c r="C51" i="116" s="1"/>
  <c r="D344" i="65"/>
  <c r="C344" i="65"/>
  <c r="D343" i="65"/>
  <c r="C343" i="65"/>
  <c r="D342" i="65"/>
  <c r="C335" i="65"/>
  <c r="C329" i="65"/>
  <c r="E321" i="65"/>
  <c r="E320" i="65"/>
  <c r="E319" i="65"/>
  <c r="C318" i="65"/>
  <c r="C314" i="65"/>
  <c r="C311" i="65"/>
  <c r="C310" i="65"/>
  <c r="C309" i="65"/>
  <c r="C369" i="65" s="1"/>
  <c r="C308" i="65"/>
  <c r="C367" i="65" s="1"/>
  <c r="C306" i="65"/>
  <c r="E305" i="65"/>
  <c r="E304" i="65"/>
  <c r="C303" i="65"/>
  <c r="C365" i="65" s="1"/>
  <c r="E302" i="65"/>
  <c r="C302" i="65"/>
  <c r="E290" i="65"/>
  <c r="E289" i="65"/>
  <c r="E288" i="65"/>
  <c r="E287" i="65"/>
  <c r="B286" i="65"/>
  <c r="E285" i="65"/>
  <c r="E284" i="65"/>
  <c r="E283" i="65"/>
  <c r="E282" i="65"/>
  <c r="E280" i="65"/>
  <c r="E279" i="65"/>
  <c r="E278" i="65"/>
  <c r="E275" i="65"/>
  <c r="E274" i="65"/>
  <c r="E273" i="65"/>
  <c r="E270" i="65"/>
  <c r="D270" i="65"/>
  <c r="E269" i="65"/>
  <c r="E268" i="65"/>
  <c r="E267" i="65"/>
  <c r="E266" i="65"/>
  <c r="E265" i="65"/>
  <c r="E264" i="65"/>
  <c r="C264" i="65"/>
  <c r="E263" i="65"/>
  <c r="E262" i="65"/>
  <c r="E261" i="65"/>
  <c r="C261" i="65"/>
  <c r="E259" i="65"/>
  <c r="D259" i="65"/>
  <c r="E258" i="65"/>
  <c r="E257" i="65"/>
  <c r="E256" i="65"/>
  <c r="E255" i="65"/>
  <c r="E254" i="65"/>
  <c r="E253" i="65"/>
  <c r="C253" i="65"/>
  <c r="E252" i="65"/>
  <c r="E251" i="65"/>
  <c r="E250" i="65"/>
  <c r="D248" i="65"/>
  <c r="E245" i="65"/>
  <c r="E244" i="65"/>
  <c r="E243" i="65"/>
  <c r="E242" i="65"/>
  <c r="C242" i="65"/>
  <c r="E241" i="65"/>
  <c r="C239" i="65"/>
  <c r="D227" i="65"/>
  <c r="D224" i="65"/>
  <c r="D214" i="65"/>
  <c r="D213" i="65" a="1"/>
  <c r="C208" i="65"/>
  <c r="C207" i="65"/>
  <c r="C206" i="65"/>
  <c r="C205" i="65"/>
  <c r="B203" i="65"/>
  <c r="D202" i="65"/>
  <c r="E200" i="65"/>
  <c r="D200" i="65"/>
  <c r="B197" i="65"/>
  <c r="D195" i="65"/>
  <c r="D194" i="65"/>
  <c r="C189" i="65"/>
  <c r="C182" i="65"/>
  <c r="C375" i="65" s="1"/>
  <c r="C181" i="65"/>
  <c r="C180" i="65"/>
  <c r="C179" i="65"/>
  <c r="C178" i="65"/>
  <c r="C377" i="65" s="1"/>
  <c r="C176" i="65"/>
  <c r="C376" i="65" s="1"/>
  <c r="C168" i="65"/>
  <c r="E164" i="65"/>
  <c r="C163" i="65"/>
  <c r="C157" i="65"/>
  <c r="C150" i="65"/>
  <c r="C51" i="119" s="1"/>
  <c r="D149" i="65"/>
  <c r="C148" i="65"/>
  <c r="C72" i="120" s="1"/>
  <c r="C258" i="120" s="1"/>
  <c r="D139" i="65"/>
  <c r="D138" i="65"/>
  <c r="D137" i="65"/>
  <c r="D136" i="65"/>
  <c r="C134" i="65"/>
  <c r="C130" i="65"/>
  <c r="C129" i="65"/>
  <c r="C126" i="65"/>
  <c r="C124" i="65"/>
  <c r="C115" i="65"/>
  <c r="C114" i="65"/>
  <c r="C113" i="65"/>
  <c r="C111" i="65"/>
  <c r="C109" i="65"/>
  <c r="C107" i="65"/>
  <c r="C106" i="65"/>
  <c r="C105" i="65"/>
  <c r="C103" i="65"/>
  <c r="C101" i="65"/>
  <c r="B100" i="65"/>
  <c r="C99" i="65"/>
  <c r="C98" i="65"/>
  <c r="E97" i="65"/>
  <c r="C97" i="65"/>
  <c r="C95" i="65"/>
  <c r="C93" i="65"/>
  <c r="C358" i="65" s="1"/>
  <c r="B92" i="65"/>
  <c r="C91" i="65"/>
  <c r="C90" i="65"/>
  <c r="C89" i="65"/>
  <c r="C178" i="85" s="1"/>
  <c r="C87" i="65"/>
  <c r="C85" i="65"/>
  <c r="C351" i="65" s="1"/>
  <c r="C83" i="65"/>
  <c r="C139" i="65" s="1"/>
  <c r="C78" i="65"/>
  <c r="C77" i="65"/>
  <c r="C76" i="65"/>
  <c r="C75" i="65"/>
  <c r="C74" i="65"/>
  <c r="C73" i="65"/>
  <c r="C72" i="65"/>
  <c r="C71" i="65"/>
  <c r="C70" i="65"/>
  <c r="C69" i="65"/>
  <c r="C68" i="65"/>
  <c r="C67" i="65"/>
  <c r="C66" i="65"/>
  <c r="C65" i="65"/>
  <c r="C64" i="65"/>
  <c r="C63" i="65"/>
  <c r="C60" i="65"/>
  <c r="C53" i="116" s="1"/>
  <c r="C59" i="65"/>
  <c r="C58" i="65"/>
  <c r="C341" i="65" s="1"/>
  <c r="C44" i="65"/>
  <c r="C31" i="65"/>
  <c r="E23" i="65"/>
  <c r="C23" i="65"/>
  <c r="E18" i="65"/>
  <c r="E17" i="65"/>
  <c r="E16" i="65"/>
  <c r="C16" i="65"/>
  <c r="E15" i="65"/>
  <c r="D15" i="65"/>
  <c r="E14" i="65"/>
  <c r="E13" i="65"/>
  <c r="D13" i="65"/>
  <c r="E12" i="65"/>
  <c r="E11" i="65"/>
  <c r="D11" i="65"/>
  <c r="D10" i="65"/>
  <c r="D14" i="65" s="1"/>
  <c r="C10" i="65"/>
  <c r="C358" i="118"/>
  <c r="C356" i="118"/>
  <c r="D355" i="118" a="1"/>
  <c r="D355" i="118" s="1"/>
  <c r="C355" i="118"/>
  <c r="C354" i="118"/>
  <c r="D351" i="118" a="1"/>
  <c r="D351" i="118" s="1"/>
  <c r="D350" i="118"/>
  <c r="D347" i="118" a="1"/>
  <c r="D347" i="118" s="1"/>
  <c r="C347" i="118"/>
  <c r="D346" i="118"/>
  <c r="D343" i="118" a="1"/>
  <c r="D343" i="118"/>
  <c r="C343" i="118"/>
  <c r="D342" i="118"/>
  <c r="C340" i="118"/>
  <c r="D336" i="118"/>
  <c r="D333" i="118"/>
  <c r="C333" i="118"/>
  <c r="C328" i="118"/>
  <c r="C325" i="118"/>
  <c r="D324" i="118"/>
  <c r="D322" i="118"/>
  <c r="C322" i="118"/>
  <c r="D321" i="118"/>
  <c r="C321" i="118"/>
  <c r="D320" i="118"/>
  <c r="C320" i="118"/>
  <c r="C317" i="118"/>
  <c r="C316" i="118"/>
  <c r="C315" i="118"/>
  <c r="C314" i="118"/>
  <c r="C312" i="118"/>
  <c r="D310" i="118"/>
  <c r="C310" i="118"/>
  <c r="C309" i="118"/>
  <c r="C308" i="118"/>
  <c r="C351" i="118" s="1"/>
  <c r="C307" i="118"/>
  <c r="C306" i="118"/>
  <c r="C305" i="118"/>
  <c r="C304" i="118"/>
  <c r="C303" i="118"/>
  <c r="C302" i="118"/>
  <c r="C295" i="118"/>
  <c r="C294" i="118"/>
  <c r="C293" i="118"/>
  <c r="D283" i="118"/>
  <c r="D282" i="118" a="1"/>
  <c r="D282" i="118"/>
  <c r="D279" i="118"/>
  <c r="C279" i="118"/>
  <c r="D278" i="118" a="1"/>
  <c r="D278" i="118"/>
  <c r="D275" i="118"/>
  <c r="D274" i="118" a="1"/>
  <c r="D274" i="118"/>
  <c r="C274" i="118"/>
  <c r="D271" i="118"/>
  <c r="C271" i="118"/>
  <c r="D270" i="118" a="1"/>
  <c r="D270" i="118"/>
  <c r="C270" i="118"/>
  <c r="D267" i="118"/>
  <c r="C267" i="118"/>
  <c r="D261" i="118" a="1"/>
  <c r="D261" i="118"/>
  <c r="C258" i="118"/>
  <c r="C254" i="118"/>
  <c r="C250" i="118"/>
  <c r="C247" i="118"/>
  <c r="D246" i="118"/>
  <c r="D244" i="118"/>
  <c r="D243" i="118"/>
  <c r="C243" i="118"/>
  <c r="D242" i="118"/>
  <c r="C242" i="118"/>
  <c r="C239" i="118"/>
  <c r="C238" i="118"/>
  <c r="C237" i="118"/>
  <c r="C236" i="118"/>
  <c r="D232" i="118" a="1"/>
  <c r="D232" i="118"/>
  <c r="C232" i="118"/>
  <c r="C231" i="118"/>
  <c r="C283" i="118" s="1"/>
  <c r="C230" i="118"/>
  <c r="C229" i="118"/>
  <c r="C275" i="118" s="1"/>
  <c r="C228" i="118"/>
  <c r="C227" i="118"/>
  <c r="C282" i="118" s="1"/>
  <c r="C226" i="118"/>
  <c r="C278" i="118" s="1"/>
  <c r="C225" i="118"/>
  <c r="C224" i="118"/>
  <c r="C217" i="118"/>
  <c r="C216" i="118"/>
  <c r="C214" i="118"/>
  <c r="C261" i="118" s="1"/>
  <c r="C186" i="118"/>
  <c r="D177" i="118"/>
  <c r="D176" i="118"/>
  <c r="C176" i="118"/>
  <c r="C173" i="118"/>
  <c r="C172" i="118"/>
  <c r="C171" i="118"/>
  <c r="C170" i="118"/>
  <c r="D168" i="118" a="1"/>
  <c r="D168" i="118" s="1"/>
  <c r="C168" i="118"/>
  <c r="C166" i="118"/>
  <c r="D165" i="118"/>
  <c r="C165" i="118"/>
  <c r="D164" i="118"/>
  <c r="C163" i="118"/>
  <c r="C161" i="118"/>
  <c r="C159" i="118"/>
  <c r="C156" i="118"/>
  <c r="C153" i="118"/>
  <c r="D150" i="118"/>
  <c r="D149" i="118"/>
  <c r="C149" i="118"/>
  <c r="D148" i="118"/>
  <c r="C148" i="118"/>
  <c r="C146" i="118"/>
  <c r="C145" i="118"/>
  <c r="C144" i="118"/>
  <c r="C143" i="118"/>
  <c r="D139" i="118"/>
  <c r="C138" i="118"/>
  <c r="C137" i="118"/>
  <c r="C130" i="118"/>
  <c r="C129" i="118"/>
  <c r="C128" i="118"/>
  <c r="E127" i="118"/>
  <c r="C116" i="118"/>
  <c r="C115" i="118"/>
  <c r="C114" i="118"/>
  <c r="C113" i="118"/>
  <c r="D110" i="118" a="1"/>
  <c r="D110" i="118"/>
  <c r="C109" i="118"/>
  <c r="D107" i="118" a="1"/>
  <c r="D107" i="118" s="1"/>
  <c r="D106" i="118" a="1"/>
  <c r="D106" i="118" s="1"/>
  <c r="D105" i="118" a="1"/>
  <c r="D105" i="118" s="1"/>
  <c r="C100" i="118"/>
  <c r="C93" i="118"/>
  <c r="D92" i="118"/>
  <c r="D90" i="118"/>
  <c r="D89" i="118"/>
  <c r="C89" i="118"/>
  <c r="D88" i="118"/>
  <c r="C88" i="118"/>
  <c r="C85" i="118"/>
  <c r="C84" i="118"/>
  <c r="C83" i="118"/>
  <c r="D81" i="118"/>
  <c r="C79" i="118"/>
  <c r="C78" i="118"/>
  <c r="C110" i="118" s="1"/>
  <c r="C77" i="118"/>
  <c r="C70" i="118"/>
  <c r="C69" i="118"/>
  <c r="C68" i="118"/>
  <c r="E67" i="118"/>
  <c r="C56" i="118"/>
  <c r="C55" i="118"/>
  <c r="C54" i="118"/>
  <c r="C53" i="118"/>
  <c r="C52" i="118"/>
  <c r="C51" i="118"/>
  <c r="C50" i="118"/>
  <c r="C45" i="118"/>
  <c r="C44" i="118"/>
  <c r="C39" i="118"/>
  <c r="C38" i="118"/>
  <c r="C37" i="118"/>
  <c r="C36" i="118"/>
  <c r="C35" i="118"/>
  <c r="C34" i="118"/>
  <c r="C33" i="118"/>
  <c r="C32" i="118"/>
  <c r="C27" i="118"/>
  <c r="C26" i="118"/>
  <c r="C23" i="118"/>
  <c r="C21" i="118"/>
  <c r="C19" i="118"/>
  <c r="C17" i="118"/>
  <c r="E11" i="118"/>
  <c r="D11" i="118"/>
  <c r="E10" i="118"/>
  <c r="D10" i="118"/>
  <c r="E9" i="118"/>
  <c r="D9" i="118"/>
  <c r="E8" i="118"/>
  <c r="D8" i="118"/>
  <c r="E7" i="118"/>
  <c r="D7" i="118"/>
  <c r="D575" i="108"/>
  <c r="D574" i="108"/>
  <c r="D573" i="108"/>
  <c r="D572" i="108"/>
  <c r="D570" i="108"/>
  <c r="C570" i="108"/>
  <c r="D569" i="108"/>
  <c r="D568" i="108"/>
  <c r="D567" i="108"/>
  <c r="D566" i="108"/>
  <c r="D565" i="108"/>
  <c r="C565" i="108"/>
  <c r="D564" i="108"/>
  <c r="C564" i="108"/>
  <c r="D563" i="108"/>
  <c r="D562" i="108"/>
  <c r="D561" i="108"/>
  <c r="D560" i="108"/>
  <c r="D559" i="108"/>
  <c r="D558" i="108"/>
  <c r="C558" i="108"/>
  <c r="D557" i="108"/>
  <c r="C557" i="108" a="1"/>
  <c r="C557" i="108"/>
  <c r="D555" i="108"/>
  <c r="D554" i="108"/>
  <c r="D553" i="108"/>
  <c r="D552" i="108"/>
  <c r="C552" i="108"/>
  <c r="D551" i="108"/>
  <c r="C551" i="108"/>
  <c r="D550" i="108"/>
  <c r="C550" i="108"/>
  <c r="D549" i="108"/>
  <c r="D548" i="108"/>
  <c r="D547" i="108"/>
  <c r="D546" i="108"/>
  <c r="C546" i="108"/>
  <c r="D545" i="108"/>
  <c r="D544" i="108"/>
  <c r="C544" i="108"/>
  <c r="D543" i="108"/>
  <c r="C543" i="108"/>
  <c r="D542" i="108"/>
  <c r="D540" i="108"/>
  <c r="C540" i="108"/>
  <c r="D539" i="108"/>
  <c r="D538" i="108"/>
  <c r="D537" i="108"/>
  <c r="D536" i="108"/>
  <c r="D534" i="108"/>
  <c r="D533" i="108"/>
  <c r="C532" i="108"/>
  <c r="C531" i="108"/>
  <c r="D529" i="108"/>
  <c r="D527" i="108"/>
  <c r="D525" i="108"/>
  <c r="D524" i="108"/>
  <c r="C523" i="108"/>
  <c r="C522" i="108"/>
  <c r="C573" i="108" s="1"/>
  <c r="D521" i="108"/>
  <c r="D519" i="108"/>
  <c r="C518" i="108"/>
  <c r="C134" i="113" s="1"/>
  <c r="D516" i="108"/>
  <c r="C516" i="108"/>
  <c r="D515" i="108"/>
  <c r="C515" i="108"/>
  <c r="D513" i="108"/>
  <c r="C512" i="108"/>
  <c r="C560" i="108" s="1"/>
  <c r="D511" i="108" a="1"/>
  <c r="D511" i="108" s="1"/>
  <c r="D509" i="108"/>
  <c r="D507" i="108"/>
  <c r="C507" i="108"/>
  <c r="D506" i="108"/>
  <c r="C506" i="108"/>
  <c r="D504" i="108"/>
  <c r="D503" i="108"/>
  <c r="D502" i="108" a="1"/>
  <c r="D502" i="108"/>
  <c r="D500" i="108"/>
  <c r="C498" i="108"/>
  <c r="C503" i="108" s="1"/>
  <c r="D497" i="108"/>
  <c r="C495" i="108"/>
  <c r="C135" i="113" s="1"/>
  <c r="C494" i="108"/>
  <c r="C136" i="113" s="1"/>
  <c r="C493" i="108"/>
  <c r="C492" i="108"/>
  <c r="C491" i="108"/>
  <c r="C519" i="108" s="1"/>
  <c r="D490" i="108"/>
  <c r="D488" i="108"/>
  <c r="C488" i="108"/>
  <c r="D487" i="108"/>
  <c r="D486" i="108"/>
  <c r="D485" i="108"/>
  <c r="D483" i="108"/>
  <c r="C483" i="108"/>
  <c r="D482" i="108"/>
  <c r="D480" i="108"/>
  <c r="D478" i="108"/>
  <c r="D476" i="108"/>
  <c r="C475" i="108"/>
  <c r="C138" i="113" s="1"/>
  <c r="D474" i="108"/>
  <c r="D472" i="108"/>
  <c r="C472" i="108"/>
  <c r="D470" i="108"/>
  <c r="C470" i="108"/>
  <c r="D468" i="108"/>
  <c r="D466" i="108"/>
  <c r="C466" i="108"/>
  <c r="D465" i="108"/>
  <c r="C465" i="108"/>
  <c r="D463" i="108"/>
  <c r="C463" i="108"/>
  <c r="D462" i="108"/>
  <c r="D461" i="108"/>
  <c r="D460" i="108"/>
  <c r="C460" i="108"/>
  <c r="D459" i="108"/>
  <c r="C459" i="108"/>
  <c r="D457" i="108"/>
  <c r="C457" i="108"/>
  <c r="D456" i="108"/>
  <c r="D455" i="108"/>
  <c r="D452" i="108"/>
  <c r="C450" i="108"/>
  <c r="C511" i="108" s="1" a="1"/>
  <c r="C511" i="108" s="1"/>
  <c r="D449" i="108"/>
  <c r="D448" i="108"/>
  <c r="D447" i="108"/>
  <c r="D446" i="108"/>
  <c r="C444" i="108"/>
  <c r="C141" i="113" s="1"/>
  <c r="C443" i="108"/>
  <c r="D442" i="108"/>
  <c r="C442" i="108"/>
  <c r="D441" i="108"/>
  <c r="C441" i="108"/>
  <c r="D440" i="108"/>
  <c r="C440" i="108"/>
  <c r="D438" i="108"/>
  <c r="D437" i="108"/>
  <c r="D436" i="108"/>
  <c r="D435" i="108"/>
  <c r="C434" i="108"/>
  <c r="C461" i="108" s="1"/>
  <c r="D432" i="108"/>
  <c r="D431" i="108"/>
  <c r="C431" i="108"/>
  <c r="D430" i="108"/>
  <c r="D429" i="108"/>
  <c r="C427" i="108"/>
  <c r="C140" i="113" s="1"/>
  <c r="D425" i="108"/>
  <c r="C425" i="108"/>
  <c r="D424" i="108"/>
  <c r="C424" i="108"/>
  <c r="D423" i="108"/>
  <c r="C423" i="108"/>
  <c r="C422" i="108"/>
  <c r="D421" i="108"/>
  <c r="C421" i="108"/>
  <c r="D420" i="108"/>
  <c r="D419" i="108"/>
  <c r="D418" i="108"/>
  <c r="C417" i="108"/>
  <c r="C455" i="108" s="1"/>
  <c r="D415" i="108"/>
  <c r="D414" i="108"/>
  <c r="C414" i="108"/>
  <c r="D413" i="108"/>
  <c r="D412" i="108"/>
  <c r="C410" i="108"/>
  <c r="D405" i="108"/>
  <c r="D404" i="108"/>
  <c r="D402" i="108"/>
  <c r="D401" i="108"/>
  <c r="C400" i="108"/>
  <c r="C409" i="108" s="1"/>
  <c r="D398" i="108"/>
  <c r="C392" i="108"/>
  <c r="C123" i="113" s="1"/>
  <c r="D391" i="108"/>
  <c r="D390" i="108"/>
  <c r="C389" i="108"/>
  <c r="C122" i="113" s="1"/>
  <c r="D387" i="108"/>
  <c r="D386" i="108"/>
  <c r="C386" i="108"/>
  <c r="C384" i="108"/>
  <c r="C119" i="113" s="1"/>
  <c r="D383" i="108"/>
  <c r="C383" i="108"/>
  <c r="D381" i="108"/>
  <c r="D380" i="108"/>
  <c r="E378" i="108"/>
  <c r="D378" i="108"/>
  <c r="D373" i="108"/>
  <c r="D372" i="108"/>
  <c r="C372" i="108"/>
  <c r="C368" i="108"/>
  <c r="C93" i="113" s="1"/>
  <c r="C365" i="108"/>
  <c r="C91" i="113" s="1"/>
  <c r="C364" i="108"/>
  <c r="C363" i="108"/>
  <c r="E362" i="108"/>
  <c r="B353" i="108"/>
  <c r="B345" i="108" a="1"/>
  <c r="D340" i="108"/>
  <c r="D339" i="108"/>
  <c r="D338" i="108"/>
  <c r="D336" i="108"/>
  <c r="D335" i="108"/>
  <c r="C335" i="108"/>
  <c r="D334" i="108"/>
  <c r="D332" i="108"/>
  <c r="C332" i="108"/>
  <c r="D331" i="108"/>
  <c r="D330" i="108"/>
  <c r="D329" i="108"/>
  <c r="C327" i="108"/>
  <c r="C326" i="108"/>
  <c r="C217" i="63" s="1"/>
  <c r="C325" i="108"/>
  <c r="C413" i="108" s="1"/>
  <c r="C324" i="108"/>
  <c r="D323" i="108"/>
  <c r="C323" i="108"/>
  <c r="D321" i="108"/>
  <c r="C319" i="108"/>
  <c r="D317" i="108"/>
  <c r="C317" i="108"/>
  <c r="C316" i="108"/>
  <c r="C315" i="108"/>
  <c r="C314" i="108"/>
  <c r="C313" i="108"/>
  <c r="C312" i="108"/>
  <c r="C311" i="108"/>
  <c r="C99" i="113" s="1"/>
  <c r="C310" i="108"/>
  <c r="C307" i="108"/>
  <c r="C67" i="113" s="1"/>
  <c r="C306" i="108"/>
  <c r="C66" i="113" s="1"/>
  <c r="C305" i="108"/>
  <c r="C65" i="113" s="1"/>
  <c r="D298" i="108"/>
  <c r="C298" i="108"/>
  <c r="D297" i="108"/>
  <c r="C294" i="108"/>
  <c r="C293" i="108"/>
  <c r="C291" i="108"/>
  <c r="C289" i="108"/>
  <c r="C287" i="108"/>
  <c r="C286" i="108"/>
  <c r="C284" i="108"/>
  <c r="C283" i="108"/>
  <c r="C281" i="108"/>
  <c r="C279" i="108"/>
  <c r="E268" i="108"/>
  <c r="C268" i="108"/>
  <c r="C84" i="113" s="1"/>
  <c r="E260" i="108"/>
  <c r="C260" i="108"/>
  <c r="C77" i="113" s="1"/>
  <c r="E252" i="108"/>
  <c r="C252" i="108"/>
  <c r="C70" i="113" s="1"/>
  <c r="C250" i="108"/>
  <c r="E249" i="108"/>
  <c r="C225" i="108"/>
  <c r="C218" i="108"/>
  <c r="C217" i="108"/>
  <c r="B57" i="113" s="1" a="1"/>
  <c r="B57" i="113" s="1"/>
  <c r="C216" i="108"/>
  <c r="C57" i="113" s="1"/>
  <c r="C215" i="108"/>
  <c r="C60" i="113" s="1"/>
  <c r="C214" i="108"/>
  <c r="C59" i="113" s="1"/>
  <c r="C213" i="108"/>
  <c r="C58" i="113" s="1"/>
  <c r="C201" i="108"/>
  <c r="C27" i="113" s="1"/>
  <c r="C199" i="108"/>
  <c r="C22" i="113" s="1"/>
  <c r="C198" i="108"/>
  <c r="C21" i="113" s="1"/>
  <c r="C197" i="108"/>
  <c r="C195" i="108"/>
  <c r="C17" i="113" s="1"/>
  <c r="C194" i="108"/>
  <c r="C16" i="113" s="1"/>
  <c r="C193" i="108"/>
  <c r="E191" i="108"/>
  <c r="D186" i="108"/>
  <c r="C186" i="108"/>
  <c r="D185" i="108"/>
  <c r="D184" i="108"/>
  <c r="D183" i="108"/>
  <c r="D182" i="108"/>
  <c r="C182" i="108"/>
  <c r="D180" i="108"/>
  <c r="C180" i="108"/>
  <c r="D179" i="108"/>
  <c r="C179" i="108"/>
  <c r="D178" i="108"/>
  <c r="D175" i="108"/>
  <c r="C175" i="108"/>
  <c r="D173" i="108"/>
  <c r="C173" i="108"/>
  <c r="E171" i="108"/>
  <c r="E170" i="108"/>
  <c r="C170" i="108"/>
  <c r="C35" i="113" s="1"/>
  <c r="D168" i="108"/>
  <c r="E167" i="108"/>
  <c r="C167" i="108"/>
  <c r="C34" i="113" s="1"/>
  <c r="C166" i="108"/>
  <c r="C165" i="108"/>
  <c r="C20" i="113" s="1"/>
  <c r="E164" i="108"/>
  <c r="E163" i="108"/>
  <c r="E160" i="108"/>
  <c r="C160" i="108"/>
  <c r="C31" i="113" s="1"/>
  <c r="C159" i="108"/>
  <c r="C158" i="108"/>
  <c r="C15" i="113" s="1"/>
  <c r="C156" i="108"/>
  <c r="C153" i="108"/>
  <c r="E152" i="108"/>
  <c r="C152" i="108"/>
  <c r="E150" i="108"/>
  <c r="E149" i="108"/>
  <c r="E147" i="108"/>
  <c r="D147" i="108"/>
  <c r="C147" i="108"/>
  <c r="E146" i="108"/>
  <c r="D146" i="108"/>
  <c r="E145" i="108"/>
  <c r="C145" i="108"/>
  <c r="E144" i="108"/>
  <c r="C144" i="108"/>
  <c r="E143" i="108"/>
  <c r="D143" i="108"/>
  <c r="D142" i="108"/>
  <c r="E141" i="108"/>
  <c r="D141" i="108"/>
  <c r="C140" i="108"/>
  <c r="C139" i="108"/>
  <c r="C138" i="108"/>
  <c r="C137" i="108"/>
  <c r="D135" i="108"/>
  <c r="E134" i="108"/>
  <c r="E133" i="108"/>
  <c r="D132" i="108"/>
  <c r="C132" i="108"/>
  <c r="D131" i="108"/>
  <c r="D130" i="108"/>
  <c r="D128" i="108"/>
  <c r="E127" i="108"/>
  <c r="D127" i="108"/>
  <c r="D126" i="108"/>
  <c r="C122" i="108"/>
  <c r="E121" i="108"/>
  <c r="C121" i="108"/>
  <c r="E120" i="108"/>
  <c r="C120" i="108"/>
  <c r="E119" i="108"/>
  <c r="C119" i="108"/>
  <c r="E118" i="108"/>
  <c r="C118" i="108"/>
  <c r="E117" i="108"/>
  <c r="C143" i="108"/>
  <c r="E115" i="108"/>
  <c r="C115" i="108"/>
  <c r="C114" i="108"/>
  <c r="C113" i="108"/>
  <c r="C112" i="108"/>
  <c r="C111" i="108"/>
  <c r="E108" i="108"/>
  <c r="D108" i="108"/>
  <c r="E107" i="108"/>
  <c r="D106" i="108"/>
  <c r="D104" i="108"/>
  <c r="C104" i="108"/>
  <c r="E103" i="108"/>
  <c r="C101" i="108"/>
  <c r="C127" i="108" s="1"/>
  <c r="D100" i="108"/>
  <c r="C95" i="108"/>
  <c r="E92" i="108"/>
  <c r="D90" i="108"/>
  <c r="C84" i="108"/>
  <c r="C82" i="108"/>
  <c r="C81" i="108"/>
  <c r="C80" i="108"/>
  <c r="C79" i="108"/>
  <c r="C78" i="108"/>
  <c r="C77" i="108"/>
  <c r="C76" i="108"/>
  <c r="C75" i="108"/>
  <c r="C73" i="108"/>
  <c r="C72" i="108"/>
  <c r="C71" i="108"/>
  <c r="C70" i="108"/>
  <c r="C69" i="108"/>
  <c r="E67" i="108"/>
  <c r="D56" i="108"/>
  <c r="C56" i="108"/>
  <c r="D54" i="108"/>
  <c r="C54" i="108"/>
  <c r="D53" i="108"/>
  <c r="C53" i="108"/>
  <c r="E52" i="108"/>
  <c r="D49" i="108"/>
  <c r="C49" i="108"/>
  <c r="D48" i="108"/>
  <c r="C48" i="108"/>
  <c r="E47" i="108"/>
  <c r="D47" i="108"/>
  <c r="C47" i="108"/>
  <c r="D44" i="108"/>
  <c r="C44" i="108"/>
  <c r="D43" i="108"/>
  <c r="C43" i="108"/>
  <c r="E42" i="108"/>
  <c r="D42" i="108"/>
  <c r="C42" i="108"/>
  <c r="D40" i="108"/>
  <c r="C40" i="108"/>
  <c r="D39" i="108"/>
  <c r="C39" i="108"/>
  <c r="D38" i="108"/>
  <c r="C38" i="108"/>
  <c r="D37" i="108"/>
  <c r="C37" i="108"/>
  <c r="E16" i="108"/>
  <c r="D16" i="108"/>
  <c r="E15" i="108"/>
  <c r="D15" i="108"/>
  <c r="E14" i="108"/>
  <c r="D14" i="108"/>
  <c r="E13" i="108"/>
  <c r="D13" i="108"/>
  <c r="E90" i="108" s="1"/>
  <c r="E12" i="108"/>
  <c r="D12" i="108"/>
  <c r="E37" i="108" s="1"/>
  <c r="K353" i="62"/>
  <c r="K352" i="62"/>
  <c r="K351" i="62"/>
  <c r="K350" i="62"/>
  <c r="K345" i="62"/>
  <c r="K344" i="62"/>
  <c r="K343" i="62"/>
  <c r="K342" i="62"/>
  <c r="K341" i="62"/>
  <c r="K340" i="62"/>
  <c r="K339" i="62"/>
  <c r="K338" i="62"/>
  <c r="K337" i="62"/>
  <c r="K336" i="62"/>
  <c r="K335" i="62"/>
  <c r="K334" i="62"/>
  <c r="K333" i="62"/>
  <c r="K332" i="62"/>
  <c r="K331" i="62"/>
  <c r="K330" i="62"/>
  <c r="J330" i="62" a="1"/>
  <c r="J343" i="62" s="1"/>
  <c r="M328" i="62"/>
  <c r="K328" i="62"/>
  <c r="J328" i="62"/>
  <c r="M327" i="62"/>
  <c r="K327" i="62"/>
  <c r="J327" i="62"/>
  <c r="M326" i="62"/>
  <c r="K326" i="62"/>
  <c r="J326" i="62"/>
  <c r="M325" i="62"/>
  <c r="K325" i="62"/>
  <c r="J325" i="62"/>
  <c r="K323" i="62"/>
  <c r="J323" i="62"/>
  <c r="M322" i="62"/>
  <c r="K322" i="62"/>
  <c r="J322" i="62"/>
  <c r="M321" i="62"/>
  <c r="K321" i="62"/>
  <c r="M319" i="62"/>
  <c r="L319" i="62"/>
  <c r="K319" i="62"/>
  <c r="M318" i="62"/>
  <c r="L318" i="62"/>
  <c r="K318" i="62"/>
  <c r="M317" i="62"/>
  <c r="L317" i="62"/>
  <c r="K317" i="62"/>
  <c r="M316" i="62"/>
  <c r="L316" i="62"/>
  <c r="K316" i="62"/>
  <c r="M315" i="62"/>
  <c r="K315" i="62"/>
  <c r="J315" i="62"/>
  <c r="M313" i="62"/>
  <c r="K313" i="62"/>
  <c r="J313" i="62"/>
  <c r="M311" i="62"/>
  <c r="K311" i="62"/>
  <c r="J311" i="62"/>
  <c r="M310" i="62"/>
  <c r="K310" i="62"/>
  <c r="C149" i="120" s="1"/>
  <c r="J310" i="62"/>
  <c r="M309" i="62"/>
  <c r="K309" i="62"/>
  <c r="C147" i="120" s="1"/>
  <c r="J309" i="62"/>
  <c r="M308" i="62"/>
  <c r="K308" i="62"/>
  <c r="C145" i="120" s="1"/>
  <c r="J308" i="62"/>
  <c r="K306" i="62"/>
  <c r="J306" i="62"/>
  <c r="L303" i="62"/>
  <c r="L302" i="62"/>
  <c r="L300" i="62"/>
  <c r="K300" i="62"/>
  <c r="L299" i="62"/>
  <c r="K299" i="62"/>
  <c r="L298" i="62"/>
  <c r="K298" i="62"/>
  <c r="L296" i="62"/>
  <c r="L295" i="62"/>
  <c r="L294" i="62"/>
  <c r="K294" i="62"/>
  <c r="K293" i="62"/>
  <c r="L292" i="62"/>
  <c r="L291" i="62"/>
  <c r="L289" i="62"/>
  <c r="K289" i="62"/>
  <c r="L288" i="62"/>
  <c r="L287" i="62"/>
  <c r="K287" i="62"/>
  <c r="L286" i="62"/>
  <c r="K286" i="62"/>
  <c r="L285" i="62"/>
  <c r="K285" i="62"/>
  <c r="K284" i="62"/>
  <c r="L282" i="62"/>
  <c r="K282" i="62"/>
  <c r="L281" i="62"/>
  <c r="L280" i="62"/>
  <c r="L279" i="62"/>
  <c r="K279" i="62"/>
  <c r="K277" i="62"/>
  <c r="L276" i="62"/>
  <c r="L275" i="62"/>
  <c r="L274" i="62"/>
  <c r="K274" i="62"/>
  <c r="M269" i="62"/>
  <c r="M268" i="62"/>
  <c r="M267" i="62"/>
  <c r="M266" i="62"/>
  <c r="K266" i="62"/>
  <c r="M265" i="62"/>
  <c r="M260" i="62"/>
  <c r="K260" i="62"/>
  <c r="M259" i="62"/>
  <c r="K259" i="62"/>
  <c r="K303" i="62" s="1"/>
  <c r="M258" i="62"/>
  <c r="K258" i="62"/>
  <c r="K302" i="62" s="1"/>
  <c r="M257" i="62"/>
  <c r="K257" i="62"/>
  <c r="M256" i="62"/>
  <c r="M255" i="62"/>
  <c r="K255" i="62"/>
  <c r="K253" i="62"/>
  <c r="M252" i="62"/>
  <c r="K252" i="62"/>
  <c r="M250" i="62"/>
  <c r="M249" i="62"/>
  <c r="M248" i="62"/>
  <c r="M247" i="62"/>
  <c r="M241" i="62"/>
  <c r="K241" i="62"/>
  <c r="M239" i="62"/>
  <c r="M238" i="62"/>
  <c r="M237" i="62"/>
  <c r="M236" i="62"/>
  <c r="K236" i="62"/>
  <c r="M234" i="62"/>
  <c r="M233" i="62"/>
  <c r="M232" i="62"/>
  <c r="M231" i="62"/>
  <c r="K231" i="62"/>
  <c r="M229" i="62"/>
  <c r="M228" i="62"/>
  <c r="M227" i="62"/>
  <c r="M226" i="62"/>
  <c r="K226" i="62"/>
  <c r="M224" i="62"/>
  <c r="M223" i="62"/>
  <c r="M222" i="62"/>
  <c r="M221" i="62"/>
  <c r="K221" i="62"/>
  <c r="M219" i="62"/>
  <c r="J219" i="62"/>
  <c r="M218" i="62"/>
  <c r="J218" i="62"/>
  <c r="M217" i="62"/>
  <c r="M216" i="62"/>
  <c r="M215" i="62"/>
  <c r="M214" i="62"/>
  <c r="M213" i="62"/>
  <c r="K213" i="62"/>
  <c r="M212" i="62"/>
  <c r="M211" i="62"/>
  <c r="M210" i="62"/>
  <c r="K210" i="62"/>
  <c r="M208" i="62"/>
  <c r="J208" i="62"/>
  <c r="M207" i="62"/>
  <c r="J207" i="62"/>
  <c r="M206" i="62"/>
  <c r="M205" i="62"/>
  <c r="M204" i="62"/>
  <c r="M203" i="62"/>
  <c r="M202" i="62"/>
  <c r="K202" i="62"/>
  <c r="M200" i="62"/>
  <c r="M199" i="62"/>
  <c r="K199" i="62"/>
  <c r="J197" i="62"/>
  <c r="J196" i="62"/>
  <c r="M194" i="62"/>
  <c r="M193" i="62"/>
  <c r="M192" i="62"/>
  <c r="M191" i="62"/>
  <c r="K191" i="62"/>
  <c r="M190" i="62"/>
  <c r="M188" i="62"/>
  <c r="K188" i="62"/>
  <c r="M183" i="62"/>
  <c r="K178" i="62"/>
  <c r="K177" i="62"/>
  <c r="K175" i="62"/>
  <c r="K174" i="62"/>
  <c r="M173" i="62"/>
  <c r="K173" i="62"/>
  <c r="K171" i="62"/>
  <c r="K296" i="62" s="1"/>
  <c r="K170" i="62"/>
  <c r="K295" i="62" s="1"/>
  <c r="K168" i="62"/>
  <c r="K167" i="62"/>
  <c r="K292" i="62" s="1"/>
  <c r="M166" i="62"/>
  <c r="K166" i="62"/>
  <c r="K291" i="62" s="1"/>
  <c r="K164" i="62"/>
  <c r="K163" i="62"/>
  <c r="K288" i="62" s="1"/>
  <c r="K161" i="62"/>
  <c r="K160" i="62"/>
  <c r="M159" i="62"/>
  <c r="K159" i="62"/>
  <c r="K156" i="62"/>
  <c r="K155" i="62"/>
  <c r="K154" i="62"/>
  <c r="M153" i="62"/>
  <c r="K150" i="62"/>
  <c r="M149" i="62"/>
  <c r="K149" i="62"/>
  <c r="M148" i="62"/>
  <c r="K148" i="62"/>
  <c r="K142" i="62"/>
  <c r="K141" i="62"/>
  <c r="K139" i="62"/>
  <c r="K137" i="62"/>
  <c r="K136" i="62"/>
  <c r="K135" i="62"/>
  <c r="K134" i="62"/>
  <c r="K132" i="62"/>
  <c r="K131" i="62"/>
  <c r="K129" i="62"/>
  <c r="M127" i="62"/>
  <c r="M122" i="62"/>
  <c r="M121" i="62"/>
  <c r="K121" i="62"/>
  <c r="M120" i="62"/>
  <c r="K120" i="62"/>
  <c r="M119" i="62"/>
  <c r="M118" i="62"/>
  <c r="M117" i="62"/>
  <c r="K117" i="62"/>
  <c r="C86" i="118" s="1"/>
  <c r="M116" i="62"/>
  <c r="M111" i="62"/>
  <c r="M110" i="62"/>
  <c r="M109" i="62"/>
  <c r="M108" i="62"/>
  <c r="M107" i="62"/>
  <c r="K107" i="62"/>
  <c r="M106" i="62"/>
  <c r="K106" i="62"/>
  <c r="M105" i="62"/>
  <c r="K105" i="62"/>
  <c r="K104" i="62"/>
  <c r="M98" i="62"/>
  <c r="M97" i="62"/>
  <c r="M96" i="62"/>
  <c r="M95" i="62"/>
  <c r="M94" i="62"/>
  <c r="K94" i="62"/>
  <c r="M93" i="62"/>
  <c r="K93" i="62"/>
  <c r="C313" i="118" s="1"/>
  <c r="M92" i="62"/>
  <c r="M91" i="62"/>
  <c r="K90" i="62"/>
  <c r="M85" i="62"/>
  <c r="M84" i="62"/>
  <c r="K84" i="62"/>
  <c r="M83" i="62"/>
  <c r="K83" i="62"/>
  <c r="M82" i="62"/>
  <c r="K82" i="62"/>
  <c r="C191" i="120" s="1"/>
  <c r="M81" i="62"/>
  <c r="K81" i="62"/>
  <c r="C189" i="120" s="1"/>
  <c r="M80" i="62"/>
  <c r="K80" i="62"/>
  <c r="C187" i="120" s="1"/>
  <c r="M79" i="62"/>
  <c r="M78" i="62"/>
  <c r="K78" i="62"/>
  <c r="C75" i="75" s="1"/>
  <c r="M77" i="62"/>
  <c r="M68" i="62"/>
  <c r="M67" i="62"/>
  <c r="M66" i="62"/>
  <c r="M65" i="62"/>
  <c r="K65" i="62"/>
  <c r="K63" i="62"/>
  <c r="M61" i="62"/>
  <c r="M60" i="62"/>
  <c r="K59" i="62"/>
  <c r="K58" i="62"/>
  <c r="K57" i="62"/>
  <c r="M56" i="62"/>
  <c r="M48" i="62"/>
  <c r="K48" i="62"/>
  <c r="M47" i="62"/>
  <c r="K47" i="62"/>
  <c r="C415" i="108" s="1"/>
  <c r="M45" i="62"/>
  <c r="K45" i="62"/>
  <c r="C170" i="85" s="1"/>
  <c r="M44" i="62"/>
  <c r="K44" i="62"/>
  <c r="C374" i="109" s="1"/>
  <c r="M43" i="62"/>
  <c r="M40" i="62"/>
  <c r="K39" i="62"/>
  <c r="K38" i="62"/>
  <c r="L37" i="62"/>
  <c r="K37" i="62"/>
  <c r="M32" i="62"/>
  <c r="M30" i="62"/>
  <c r="L25" i="62"/>
  <c r="L24" i="62"/>
  <c r="E21" i="62"/>
  <c r="C19" i="62"/>
  <c r="M18" i="62"/>
  <c r="M14" i="62"/>
  <c r="M10" i="62"/>
  <c r="K72" i="54"/>
  <c r="G72" i="54"/>
  <c r="J66" i="54"/>
  <c r="I66" i="54"/>
  <c r="J65" i="54"/>
  <c r="I65" i="54"/>
  <c r="J76" i="54" s="1"/>
  <c r="J64" i="54"/>
  <c r="I64" i="54"/>
  <c r="I63" i="54"/>
  <c r="J63" i="54" s="1"/>
  <c r="X59" i="54"/>
  <c r="W59" i="54"/>
  <c r="T59" i="54"/>
  <c r="Q59" i="54"/>
  <c r="N59" i="54"/>
  <c r="J59" i="54"/>
  <c r="G59" i="54"/>
  <c r="E59" i="54"/>
  <c r="X58" i="54"/>
  <c r="W58" i="54"/>
  <c r="T58" i="54"/>
  <c r="Q58" i="54"/>
  <c r="N58" i="54"/>
  <c r="J58" i="54"/>
  <c r="G58" i="54"/>
  <c r="E58" i="54"/>
  <c r="X57" i="54"/>
  <c r="W57" i="54"/>
  <c r="T57" i="54"/>
  <c r="Q57" i="54"/>
  <c r="N57" i="54"/>
  <c r="J57" i="54"/>
  <c r="G57" i="54"/>
  <c r="E57" i="54"/>
  <c r="X56" i="54"/>
  <c r="W56" i="54"/>
  <c r="T56" i="54"/>
  <c r="Q56" i="54"/>
  <c r="N56" i="54"/>
  <c r="J56" i="54"/>
  <c r="G56" i="54"/>
  <c r="E56" i="54"/>
  <c r="X55" i="54"/>
  <c r="W55" i="54"/>
  <c r="T55" i="54"/>
  <c r="Q55" i="54"/>
  <c r="N55" i="54"/>
  <c r="J55" i="54"/>
  <c r="G55" i="54"/>
  <c r="E55" i="54"/>
  <c r="X54" i="54"/>
  <c r="W54" i="54"/>
  <c r="T54" i="54"/>
  <c r="Q54" i="54"/>
  <c r="N54" i="54"/>
  <c r="J54" i="54"/>
  <c r="G54" i="54"/>
  <c r="E54" i="54"/>
  <c r="X53" i="54"/>
  <c r="W53" i="54"/>
  <c r="T53" i="54"/>
  <c r="Q53" i="54"/>
  <c r="N53" i="54"/>
  <c r="J53" i="54"/>
  <c r="G53" i="54"/>
  <c r="E53" i="54"/>
  <c r="X52" i="54"/>
  <c r="W52" i="54"/>
  <c r="T52" i="54"/>
  <c r="Q52" i="54"/>
  <c r="N52" i="54"/>
  <c r="J52" i="54"/>
  <c r="G52" i="54"/>
  <c r="E52" i="54"/>
  <c r="X51" i="54"/>
  <c r="W51" i="54"/>
  <c r="T51" i="54"/>
  <c r="Q51" i="54"/>
  <c r="N51" i="54"/>
  <c r="J51" i="54"/>
  <c r="G51" i="54"/>
  <c r="E51" i="54"/>
  <c r="X50" i="54"/>
  <c r="W50" i="54"/>
  <c r="T50" i="54"/>
  <c r="Q50" i="54"/>
  <c r="N50" i="54"/>
  <c r="J50" i="54"/>
  <c r="G50" i="54"/>
  <c r="E50" i="54"/>
  <c r="X49" i="54"/>
  <c r="W49" i="54"/>
  <c r="T49" i="54"/>
  <c r="Q49" i="54"/>
  <c r="N49" i="54"/>
  <c r="J49" i="54"/>
  <c r="G49" i="54"/>
  <c r="E49" i="54"/>
  <c r="X48" i="54"/>
  <c r="W48" i="54"/>
  <c r="T48" i="54"/>
  <c r="Q48" i="54"/>
  <c r="N48" i="54"/>
  <c r="J48" i="54"/>
  <c r="G48" i="54"/>
  <c r="E48" i="54"/>
  <c r="X47" i="54"/>
  <c r="W47" i="54"/>
  <c r="T47" i="54"/>
  <c r="Q47" i="54"/>
  <c r="N47" i="54"/>
  <c r="J47" i="54"/>
  <c r="G47" i="54"/>
  <c r="E47" i="54"/>
  <c r="X46" i="54"/>
  <c r="W46" i="54"/>
  <c r="T46" i="54"/>
  <c r="Q46" i="54"/>
  <c r="N46" i="54"/>
  <c r="J46" i="54"/>
  <c r="G46" i="54"/>
  <c r="E46" i="54"/>
  <c r="X45" i="54"/>
  <c r="W45" i="54"/>
  <c r="T45" i="54"/>
  <c r="Q45" i="54"/>
  <c r="N45" i="54"/>
  <c r="J45" i="54"/>
  <c r="G45" i="54"/>
  <c r="E45" i="54"/>
  <c r="X44" i="54"/>
  <c r="W44" i="54"/>
  <c r="T44" i="54"/>
  <c r="Q44" i="54"/>
  <c r="N44" i="54"/>
  <c r="J44" i="54"/>
  <c r="G44" i="54"/>
  <c r="E44" i="54"/>
  <c r="X43" i="54"/>
  <c r="W43" i="54"/>
  <c r="T43" i="54"/>
  <c r="Q43" i="54"/>
  <c r="N43" i="54"/>
  <c r="J43" i="54"/>
  <c r="G43" i="54"/>
  <c r="E43" i="54"/>
  <c r="X42" i="54"/>
  <c r="W42" i="54"/>
  <c r="T42" i="54"/>
  <c r="Q42" i="54"/>
  <c r="N42" i="54"/>
  <c r="J42" i="54"/>
  <c r="G42" i="54"/>
  <c r="E42" i="54"/>
  <c r="X41" i="54"/>
  <c r="W41" i="54"/>
  <c r="T41" i="54"/>
  <c r="Q41" i="54"/>
  <c r="N41" i="54"/>
  <c r="J41" i="54"/>
  <c r="G41" i="54"/>
  <c r="E41" i="54"/>
  <c r="X40" i="54"/>
  <c r="W40" i="54"/>
  <c r="T40" i="54"/>
  <c r="Q40" i="54"/>
  <c r="N40" i="54"/>
  <c r="J40" i="54"/>
  <c r="G40" i="54"/>
  <c r="E40" i="54"/>
  <c r="X39" i="54"/>
  <c r="W39" i="54"/>
  <c r="T39" i="54"/>
  <c r="Q39" i="54"/>
  <c r="N39" i="54"/>
  <c r="J39" i="54"/>
  <c r="G39" i="54"/>
  <c r="E39" i="54"/>
  <c r="X38" i="54"/>
  <c r="W38" i="54"/>
  <c r="T38" i="54"/>
  <c r="Q38" i="54"/>
  <c r="N38" i="54"/>
  <c r="J38" i="54"/>
  <c r="G38" i="54"/>
  <c r="E38" i="54"/>
  <c r="X37" i="54"/>
  <c r="W37" i="54"/>
  <c r="T37" i="54"/>
  <c r="Q37" i="54"/>
  <c r="N37" i="54"/>
  <c r="J37" i="54"/>
  <c r="G37" i="54"/>
  <c r="E37" i="54"/>
  <c r="X36" i="54"/>
  <c r="W36" i="54"/>
  <c r="T36" i="54"/>
  <c r="Q36" i="54"/>
  <c r="N36" i="54"/>
  <c r="J36" i="54"/>
  <c r="G36" i="54"/>
  <c r="E36" i="54"/>
  <c r="X32" i="54"/>
  <c r="V32" i="54"/>
  <c r="R32" i="54"/>
  <c r="P32" i="54"/>
  <c r="M32" i="54"/>
  <c r="J32" i="54"/>
  <c r="G32" i="54"/>
  <c r="E32" i="54"/>
  <c r="M26" i="54"/>
  <c r="K26" i="54"/>
  <c r="J26" i="54"/>
  <c r="L26" i="54" s="1"/>
  <c r="M25" i="54"/>
  <c r="L25" i="54"/>
  <c r="K25" i="54"/>
  <c r="J25" i="54"/>
  <c r="M24" i="54"/>
  <c r="L24" i="54"/>
  <c r="K24" i="54"/>
  <c r="J24" i="54"/>
  <c r="M23" i="54"/>
  <c r="L23" i="54"/>
  <c r="K23" i="54"/>
  <c r="J23" i="54"/>
  <c r="M22" i="54"/>
  <c r="L22" i="54"/>
  <c r="K22" i="54"/>
  <c r="J22" i="54"/>
  <c r="M21" i="54"/>
  <c r="L21" i="54"/>
  <c r="K21" i="54"/>
  <c r="J21" i="54"/>
  <c r="M20" i="54"/>
  <c r="L20" i="54"/>
  <c r="K20" i="54"/>
  <c r="J20" i="54"/>
  <c r="M19" i="54"/>
  <c r="L19" i="54"/>
  <c r="K19" i="54"/>
  <c r="J19" i="54"/>
  <c r="M18" i="54"/>
  <c r="L18" i="54"/>
  <c r="K18" i="54"/>
  <c r="J18" i="54"/>
  <c r="M17" i="54"/>
  <c r="L17" i="54"/>
  <c r="K17" i="54"/>
  <c r="J17" i="54"/>
  <c r="M16" i="54"/>
  <c r="L16" i="54"/>
  <c r="K16" i="54"/>
  <c r="J16" i="54"/>
  <c r="M15" i="54"/>
  <c r="L15" i="54"/>
  <c r="K15" i="54"/>
  <c r="J15" i="54"/>
  <c r="M14" i="54"/>
  <c r="L14" i="54"/>
  <c r="K14" i="54"/>
  <c r="J14" i="54"/>
  <c r="M13" i="54"/>
  <c r="L13" i="54"/>
  <c r="K13" i="54"/>
  <c r="J13" i="54"/>
  <c r="L12" i="54"/>
  <c r="K12" i="54"/>
  <c r="J12" i="54"/>
  <c r="M12" i="54" s="1"/>
  <c r="M11" i="54"/>
  <c r="L11" i="54"/>
  <c r="K11" i="54"/>
  <c r="J11" i="54"/>
  <c r="M10" i="54"/>
  <c r="L10" i="54"/>
  <c r="K10" i="54"/>
  <c r="M8" i="54"/>
  <c r="L8" i="54"/>
  <c r="K8" i="54"/>
  <c r="L19" i="106"/>
  <c r="L18" i="106"/>
  <c r="L17" i="106"/>
  <c r="L16" i="106"/>
  <c r="M19" i="106" s="1"/>
  <c r="K16" i="106"/>
  <c r="J11" i="106"/>
  <c r="C11" i="63" a="1"/>
  <c r="G76" i="54" l="1"/>
  <c r="H76" i="54"/>
  <c r="M17" i="106"/>
  <c r="C542" i="109"/>
  <c r="C11" i="63"/>
  <c r="M3" i="106" s="1"/>
  <c r="C208" i="85"/>
  <c r="C164" i="86"/>
  <c r="C227" i="119"/>
  <c r="C531" i="75"/>
  <c r="C250" i="119"/>
  <c r="C239" i="119"/>
  <c r="C221" i="119"/>
  <c r="E10" i="65"/>
  <c r="C25" i="87"/>
  <c r="M201" i="62"/>
  <c r="C40" i="95"/>
  <c r="C68" i="108"/>
  <c r="C340" i="108"/>
  <c r="C331" i="108"/>
  <c r="B354" i="108"/>
  <c r="B355" i="108"/>
  <c r="B345" i="108"/>
  <c r="B352" i="108"/>
  <c r="B350" i="108"/>
  <c r="B360" i="108"/>
  <c r="B349" i="108"/>
  <c r="B359" i="108"/>
  <c r="B348" i="108"/>
  <c r="B358" i="108"/>
  <c r="B347" i="108"/>
  <c r="C464" i="75"/>
  <c r="C410" i="75"/>
  <c r="C461" i="75"/>
  <c r="C413" i="75"/>
  <c r="C107" i="118"/>
  <c r="C235" i="118"/>
  <c r="C246" i="118"/>
  <c r="C38" i="116"/>
  <c r="C125" i="116"/>
  <c r="C518" i="109"/>
  <c r="C543" i="109"/>
  <c r="C347" i="109"/>
  <c r="C459" i="109"/>
  <c r="C436" i="109"/>
  <c r="C418" i="109"/>
  <c r="C387" i="109"/>
  <c r="J74" i="54"/>
  <c r="H74" i="54"/>
  <c r="C482" i="108"/>
  <c r="C474" i="108"/>
  <c r="C154" i="120" a="1"/>
  <c r="C154" i="120" s="1"/>
  <c r="C162" i="120" a="1"/>
  <c r="C162" i="120" s="1"/>
  <c r="C135" i="120" a="1"/>
  <c r="C135" i="120" s="1"/>
  <c r="C196" i="120" a="1"/>
  <c r="C196" i="120" s="1"/>
  <c r="C123" i="120" a="1"/>
  <c r="C123" i="120" s="1"/>
  <c r="C203" i="120" a="1"/>
  <c r="C203" i="120" s="1"/>
  <c r="C141" i="120" a="1"/>
  <c r="C141" i="120" s="1"/>
  <c r="C183" i="120" a="1"/>
  <c r="C183" i="120" s="1"/>
  <c r="C129" i="120" a="1"/>
  <c r="C129" i="120" s="1"/>
  <c r="C177" i="120" a="1"/>
  <c r="C177" i="120" s="1"/>
  <c r="C132" i="116"/>
  <c r="C45" i="116"/>
  <c r="G74" i="54"/>
  <c r="C19" i="119"/>
  <c r="C112" i="116"/>
  <c r="C53" i="113"/>
  <c r="C130" i="113"/>
  <c r="C11" i="113"/>
  <c r="C377" i="120"/>
  <c r="C407" i="109"/>
  <c r="C429" i="108"/>
  <c r="C108" i="108"/>
  <c r="C390" i="109"/>
  <c r="C134" i="108"/>
  <c r="C446" i="108"/>
  <c r="C412" i="108"/>
  <c r="C151" i="113"/>
  <c r="C47" i="113"/>
  <c r="B346" i="108"/>
  <c r="I74" i="54"/>
  <c r="C378" i="108"/>
  <c r="C509" i="108"/>
  <c r="C490" i="108"/>
  <c r="C380" i="108"/>
  <c r="C54" i="113"/>
  <c r="C12" i="113"/>
  <c r="C107" i="108"/>
  <c r="K281" i="62"/>
  <c r="C133" i="108"/>
  <c r="C236" i="75"/>
  <c r="C160" i="75"/>
  <c r="C265" i="120"/>
  <c r="K280" i="62"/>
  <c r="C447" i="108"/>
  <c r="B351" i="108"/>
  <c r="C430" i="108"/>
  <c r="C292" i="65"/>
  <c r="C287" i="65"/>
  <c r="C277" i="65"/>
  <c r="C272" i="65"/>
  <c r="C282" i="65"/>
  <c r="B315" i="109"/>
  <c r="B305" i="109"/>
  <c r="B311" i="109"/>
  <c r="B309" i="109"/>
  <c r="B314" i="109"/>
  <c r="B312" i="109"/>
  <c r="B310" i="109"/>
  <c r="B308" i="109"/>
  <c r="B307" i="109"/>
  <c r="B306" i="109"/>
  <c r="B318" i="109"/>
  <c r="B304" i="109"/>
  <c r="C118" i="85"/>
  <c r="C18" i="119"/>
  <c r="C374" i="120"/>
  <c r="C237" i="120"/>
  <c r="C336" i="65"/>
  <c r="C324" i="118"/>
  <c r="M16" i="106"/>
  <c r="C42" i="113"/>
  <c r="C146" i="113"/>
  <c r="C92" i="118"/>
  <c r="C281" i="115"/>
  <c r="C336" i="115" s="1"/>
  <c r="B46" i="115"/>
  <c r="D127" i="115"/>
  <c r="D334" i="115"/>
  <c r="E130" i="115"/>
  <c r="J341" i="62"/>
  <c r="J331" i="62"/>
  <c r="J339" i="62"/>
  <c r="J330" i="62"/>
  <c r="J337" i="62"/>
  <c r="J336" i="62"/>
  <c r="J345" i="62"/>
  <c r="J335" i="62"/>
  <c r="J344" i="62"/>
  <c r="J334" i="62"/>
  <c r="B356" i="108"/>
  <c r="C111" i="120"/>
  <c r="C527" i="108"/>
  <c r="C504" i="108"/>
  <c r="C521" i="108"/>
  <c r="C497" i="108"/>
  <c r="C480" i="108"/>
  <c r="C478" i="108"/>
  <c r="C502" i="108" a="1"/>
  <c r="C502" i="108" s="1"/>
  <c r="C476" i="108"/>
  <c r="C485" i="108"/>
  <c r="C500" i="108"/>
  <c r="E404" i="115"/>
  <c r="E403" i="115"/>
  <c r="U39" i="87"/>
  <c r="U54" i="87"/>
  <c r="B317" i="109"/>
  <c r="C121" i="116"/>
  <c r="C425" i="109"/>
  <c r="C516" i="109"/>
  <c r="C127" i="116"/>
  <c r="C40" i="116"/>
  <c r="C373" i="109"/>
  <c r="C393" i="109"/>
  <c r="C58" i="85"/>
  <c r="C47" i="86"/>
  <c r="C125" i="86"/>
  <c r="C396" i="109"/>
  <c r="C379" i="109"/>
  <c r="C362" i="109"/>
  <c r="C435" i="108"/>
  <c r="C339" i="108"/>
  <c r="C401" i="108"/>
  <c r="C25" i="113"/>
  <c r="C141" i="108"/>
  <c r="C385" i="75"/>
  <c r="C439" i="75"/>
  <c r="C436" i="75"/>
  <c r="C388" i="75"/>
  <c r="C164" i="118"/>
  <c r="C566" i="108"/>
  <c r="C554" i="108"/>
  <c r="C548" i="108"/>
  <c r="C574" i="108"/>
  <c r="C524" i="108"/>
  <c r="C533" i="108"/>
  <c r="C542" i="108"/>
  <c r="C82" i="118"/>
  <c r="C115" i="86"/>
  <c r="C142" i="86"/>
  <c r="J78" i="54"/>
  <c r="G78" i="54"/>
  <c r="H78" i="54"/>
  <c r="C134" i="86"/>
  <c r="C126" i="86"/>
  <c r="C97" i="86"/>
  <c r="C107" i="85"/>
  <c r="C139" i="85"/>
  <c r="C12" i="119"/>
  <c r="C10" i="119"/>
  <c r="C369" i="120"/>
  <c r="C397" i="109"/>
  <c r="C380" i="109"/>
  <c r="C363" i="109"/>
  <c r="C366" i="120"/>
  <c r="C436" i="108"/>
  <c r="F167" i="87"/>
  <c r="C361" i="108"/>
  <c r="C402" i="108"/>
  <c r="C419" i="108"/>
  <c r="J332" i="62"/>
  <c r="C26" i="113"/>
  <c r="C146" i="108"/>
  <c r="C143" i="113"/>
  <c r="C39" i="113"/>
  <c r="C562" i="108"/>
  <c r="C218" i="63"/>
  <c r="C293" i="109"/>
  <c r="C336" i="108"/>
  <c r="B357" i="108"/>
  <c r="C418" i="108"/>
  <c r="C471" i="108"/>
  <c r="C513" i="108"/>
  <c r="C536" i="108"/>
  <c r="C440" i="75"/>
  <c r="C389" i="75"/>
  <c r="E15" i="109"/>
  <c r="AA107" i="63"/>
  <c r="AA104" i="63"/>
  <c r="E13" i="109"/>
  <c r="D17" i="65"/>
  <c r="E12" i="109"/>
  <c r="D16" i="65"/>
  <c r="E292" i="65" s="1"/>
  <c r="E11" i="109"/>
  <c r="E14" i="109"/>
  <c r="D18" i="65"/>
  <c r="C17" i="116"/>
  <c r="C117" i="109"/>
  <c r="I78" i="54"/>
  <c r="C115" i="85"/>
  <c r="C105" i="86"/>
  <c r="K275" i="62"/>
  <c r="J333" i="62"/>
  <c r="C126" i="108"/>
  <c r="C139" i="113"/>
  <c r="C462" i="108"/>
  <c r="C456" i="108"/>
  <c r="C142" i="118"/>
  <c r="C152" i="118"/>
  <c r="C336" i="118"/>
  <c r="J338" i="62"/>
  <c r="C56" i="112"/>
  <c r="H61" i="112"/>
  <c r="C52" i="112"/>
  <c r="F44" i="112"/>
  <c r="F61" i="112"/>
  <c r="C50" i="112"/>
  <c r="G43" i="112"/>
  <c r="G61" i="112"/>
  <c r="C36" i="112"/>
  <c r="H44" i="112"/>
  <c r="G42" i="112"/>
  <c r="E25" i="116"/>
  <c r="D61" i="112"/>
  <c r="C61" i="112"/>
  <c r="H43" i="112"/>
  <c r="C54" i="112"/>
  <c r="E43" i="112"/>
  <c r="G36" i="112"/>
  <c r="E26" i="113"/>
  <c r="C53" i="112"/>
  <c r="H42" i="112"/>
  <c r="H40" i="112"/>
  <c r="F36" i="112"/>
  <c r="E26" i="116"/>
  <c r="E42" i="112"/>
  <c r="D36" i="112"/>
  <c r="E327" i="117"/>
  <c r="E544" i="120"/>
  <c r="E61" i="112"/>
  <c r="D42" i="112"/>
  <c r="C55" i="112"/>
  <c r="C42" i="112"/>
  <c r="E25" i="113"/>
  <c r="C51" i="112"/>
  <c r="E44" i="112"/>
  <c r="E420" i="117"/>
  <c r="E552" i="120"/>
  <c r="E606" i="117"/>
  <c r="E513" i="117"/>
  <c r="E48" i="117"/>
  <c r="E560" i="120"/>
  <c r="E520" i="120"/>
  <c r="E234" i="117"/>
  <c r="E528" i="120"/>
  <c r="G44" i="112"/>
  <c r="F43" i="112"/>
  <c r="E36" i="112"/>
  <c r="E141" i="117"/>
  <c r="E324" i="109"/>
  <c r="E359" i="65"/>
  <c r="E113" i="65"/>
  <c r="E536" i="120"/>
  <c r="F42" i="112"/>
  <c r="E62" i="115"/>
  <c r="E217" i="109"/>
  <c r="E105" i="65"/>
  <c r="H36" i="112"/>
  <c r="E512" i="120"/>
  <c r="E306" i="108"/>
  <c r="M292" i="62"/>
  <c r="E78" i="115"/>
  <c r="E258" i="109"/>
  <c r="E225" i="109"/>
  <c r="E272" i="108"/>
  <c r="E70" i="115"/>
  <c r="C541" i="108"/>
  <c r="C575" i="108"/>
  <c r="C553" i="108"/>
  <c r="C535" i="108"/>
  <c r="C525" i="108"/>
  <c r="C556" i="108"/>
  <c r="E264" i="108"/>
  <c r="C98" i="113"/>
  <c r="C373" i="108"/>
  <c r="C330" i="108"/>
  <c r="C486" i="108"/>
  <c r="C537" i="108"/>
  <c r="C105" i="118"/>
  <c r="D222" i="65"/>
  <c r="D213" i="65"/>
  <c r="D228" i="65"/>
  <c r="D218" i="65"/>
  <c r="D226" i="65"/>
  <c r="D216" i="65"/>
  <c r="D225" i="65"/>
  <c r="D223" i="65"/>
  <c r="D220" i="65"/>
  <c r="D219" i="65"/>
  <c r="D217" i="65"/>
  <c r="D215" i="65"/>
  <c r="C171" i="120"/>
  <c r="C165" i="120"/>
  <c r="J340" i="62"/>
  <c r="C100" i="108"/>
  <c r="C321" i="108"/>
  <c r="C426" i="108"/>
  <c r="C572" i="108" a="1"/>
  <c r="C572" i="108" s="1"/>
  <c r="C29" i="116"/>
  <c r="C100" i="116"/>
  <c r="C341" i="109"/>
  <c r="J342" i="62"/>
  <c r="C487" i="108"/>
  <c r="C529" i="108"/>
  <c r="C538" i="108"/>
  <c r="D221" i="65"/>
  <c r="C298" i="109"/>
  <c r="D156" i="115"/>
  <c r="D146" i="115"/>
  <c r="D152" i="115"/>
  <c r="D142" i="115"/>
  <c r="D150" i="115"/>
  <c r="D141" i="115"/>
  <c r="D153" i="115"/>
  <c r="D151" i="115"/>
  <c r="D149" i="115"/>
  <c r="D148" i="115"/>
  <c r="D147" i="115"/>
  <c r="D145" i="115"/>
  <c r="D144" i="115"/>
  <c r="D143" i="115"/>
  <c r="D154" i="115"/>
  <c r="C85" i="115"/>
  <c r="C326" i="115"/>
  <c r="AD28" i="87"/>
  <c r="E142" i="112"/>
  <c r="I61" i="87"/>
  <c r="I331" i="87" s="1"/>
  <c r="H135" i="112"/>
  <c r="D13" i="116"/>
  <c r="D54" i="116"/>
  <c r="H19" i="112"/>
  <c r="D28" i="113"/>
  <c r="G11" i="112"/>
  <c r="D11" i="113"/>
  <c r="D112" i="116"/>
  <c r="D53" i="113"/>
  <c r="D130" i="113"/>
  <c r="D407" i="109"/>
  <c r="D390" i="109"/>
  <c r="D373" i="109"/>
  <c r="D377" i="120"/>
  <c r="G136" i="112"/>
  <c r="D168" i="85"/>
  <c r="D282" i="120"/>
  <c r="AD42" i="63"/>
  <c r="D328" i="75" a="1"/>
  <c r="D328" i="75" s="1"/>
  <c r="D251" i="75" a="1"/>
  <c r="D251" i="75" s="1"/>
  <c r="D347" i="75" a="1"/>
  <c r="D347" i="75" s="1"/>
  <c r="D268" i="75" a="1"/>
  <c r="D268" i="75" s="1"/>
  <c r="C136" i="112"/>
  <c r="D190" i="85"/>
  <c r="D189" i="85"/>
  <c r="D165" i="85"/>
  <c r="D164" i="85"/>
  <c r="D192" i="85"/>
  <c r="I379" i="87"/>
  <c r="C161" i="112" s="1"/>
  <c r="D234" i="120"/>
  <c r="C138" i="112"/>
  <c r="I381" i="87"/>
  <c r="C163" i="112" s="1"/>
  <c r="C141" i="112"/>
  <c r="I384" i="87"/>
  <c r="C166" i="112" s="1" a="1"/>
  <c r="C166" i="112" s="1"/>
  <c r="D125" i="116"/>
  <c r="D38" i="116"/>
  <c r="D543" i="109"/>
  <c r="D518" i="109"/>
  <c r="E45" i="112"/>
  <c r="E20" i="112"/>
  <c r="D136" i="113"/>
  <c r="F315" i="87"/>
  <c r="F48" i="87"/>
  <c r="I76" i="54"/>
  <c r="K133" i="62"/>
  <c r="K143" i="62"/>
  <c r="L284" i="62"/>
  <c r="AA102" i="63"/>
  <c r="AA101" i="63"/>
  <c r="C427" i="115"/>
  <c r="AA100" i="63"/>
  <c r="AA103" i="63"/>
  <c r="C174" i="108"/>
  <c r="C181" i="108"/>
  <c r="C285" i="108"/>
  <c r="C322" i="108"/>
  <c r="C438" i="108"/>
  <c r="C168" i="85"/>
  <c r="C282" i="120"/>
  <c r="C342" i="65"/>
  <c r="C132" i="65"/>
  <c r="C52" i="116"/>
  <c r="C239" i="120"/>
  <c r="H160" i="112"/>
  <c r="F160" i="112"/>
  <c r="E160" i="112"/>
  <c r="C160" i="112"/>
  <c r="G160" i="112"/>
  <c r="D160" i="112"/>
  <c r="C468" i="109"/>
  <c r="C128" i="116"/>
  <c r="C41" i="116"/>
  <c r="C133" i="116"/>
  <c r="C46" i="116"/>
  <c r="C240" i="109"/>
  <c r="C382" i="109"/>
  <c r="C409" i="109"/>
  <c r="C89" i="115"/>
  <c r="C375" i="115"/>
  <c r="E17" i="112"/>
  <c r="D17" i="113"/>
  <c r="F45" i="87"/>
  <c r="F17" i="112" s="1" a="1"/>
  <c r="F17" i="112" s="1"/>
  <c r="F312" i="87"/>
  <c r="E144" i="112"/>
  <c r="D118" i="116"/>
  <c r="I63" i="87"/>
  <c r="I48" i="87"/>
  <c r="X54" i="87"/>
  <c r="F60" i="87"/>
  <c r="F326" i="87" s="1"/>
  <c r="D18" i="113"/>
  <c r="H17" i="112"/>
  <c r="H142" i="112"/>
  <c r="D23" i="116"/>
  <c r="D527" i="109"/>
  <c r="G18" i="112"/>
  <c r="D21" i="113"/>
  <c r="G143" i="112"/>
  <c r="D26" i="116"/>
  <c r="D89" i="109"/>
  <c r="G140" i="112"/>
  <c r="D334" i="120"/>
  <c r="D347" i="120"/>
  <c r="D337" i="120"/>
  <c r="D350" i="120"/>
  <c r="D353" i="120"/>
  <c r="D331" i="120"/>
  <c r="D344" i="120"/>
  <c r="D284" i="120"/>
  <c r="D340" i="120"/>
  <c r="I349" i="87"/>
  <c r="G165" i="112" s="1"/>
  <c r="D31" i="113"/>
  <c r="C26" i="112"/>
  <c r="D119" i="113"/>
  <c r="C151" i="112"/>
  <c r="D31" i="116"/>
  <c r="C176" i="112"/>
  <c r="D102" i="116"/>
  <c r="D548" i="109"/>
  <c r="D542" i="109"/>
  <c r="C18" i="112"/>
  <c r="F379" i="87"/>
  <c r="I347" i="87"/>
  <c r="G168" i="112" s="1"/>
  <c r="C57" i="85"/>
  <c r="C124" i="86"/>
  <c r="C138" i="85"/>
  <c r="C45" i="85"/>
  <c r="C94" i="86"/>
  <c r="C104" i="85"/>
  <c r="C133" i="86"/>
  <c r="C50" i="85"/>
  <c r="C46" i="86"/>
  <c r="C360" i="120"/>
  <c r="C148" i="75"/>
  <c r="C70" i="85"/>
  <c r="C97" i="120"/>
  <c r="C151" i="75"/>
  <c r="C452" i="108"/>
  <c r="C365" i="120"/>
  <c r="C40" i="113"/>
  <c r="C144" i="113"/>
  <c r="C338" i="108"/>
  <c r="C468" i="108"/>
  <c r="C462" i="75"/>
  <c r="C411" i="75"/>
  <c r="C106" i="118"/>
  <c r="C437" i="75"/>
  <c r="C386" i="75"/>
  <c r="C139" i="118"/>
  <c r="C173" i="85"/>
  <c r="C161" i="85"/>
  <c r="C197" i="85"/>
  <c r="C63" i="85"/>
  <c r="C183" i="85"/>
  <c r="C123" i="85"/>
  <c r="C241" i="119"/>
  <c r="C182" i="119"/>
  <c r="C154" i="85"/>
  <c r="C129" i="85"/>
  <c r="C402" i="120"/>
  <c r="C392" i="120"/>
  <c r="C223" i="120"/>
  <c r="C170" i="119"/>
  <c r="C257" i="120"/>
  <c r="C413" i="120"/>
  <c r="C61" i="119"/>
  <c r="C264" i="120"/>
  <c r="C289" i="120"/>
  <c r="C395" i="120"/>
  <c r="C163" i="85"/>
  <c r="C228" i="120"/>
  <c r="C412" i="120"/>
  <c r="C275" i="120"/>
  <c r="C254" i="120"/>
  <c r="C126" i="85"/>
  <c r="C490" i="109"/>
  <c r="C337" i="109"/>
  <c r="C494" i="109"/>
  <c r="C465" i="109"/>
  <c r="D367" i="65"/>
  <c r="C127" i="85"/>
  <c r="C71" i="85"/>
  <c r="C51" i="85"/>
  <c r="C117" i="85"/>
  <c r="C124" i="85"/>
  <c r="C171" i="85"/>
  <c r="C241" i="120"/>
  <c r="C9" i="119"/>
  <c r="C627" i="117"/>
  <c r="C614" i="117"/>
  <c r="C532" i="117"/>
  <c r="C519" i="117"/>
  <c r="C438" i="117"/>
  <c r="C343" i="117"/>
  <c r="C249" i="117"/>
  <c r="C161" i="117"/>
  <c r="C149" i="117"/>
  <c r="C61" i="117"/>
  <c r="C240" i="120"/>
  <c r="C626" i="117"/>
  <c r="C613" i="117"/>
  <c r="C531" i="117"/>
  <c r="C436" i="117"/>
  <c r="C339" i="117"/>
  <c r="C248" i="117"/>
  <c r="C160" i="117"/>
  <c r="C148" i="117"/>
  <c r="C60" i="117"/>
  <c r="C379" i="120"/>
  <c r="C625" i="117"/>
  <c r="C612" i="117"/>
  <c r="C530" i="117"/>
  <c r="C435" i="117"/>
  <c r="C338" i="117"/>
  <c r="C336" i="117"/>
  <c r="C55" i="117"/>
  <c r="C8" i="63"/>
  <c r="C361" i="115"/>
  <c r="C331" i="115"/>
  <c r="C321" i="115"/>
  <c r="C92" i="115"/>
  <c r="C247" i="109"/>
  <c r="C237" i="109"/>
  <c r="C127" i="65"/>
  <c r="C335" i="117"/>
  <c r="C54" i="117"/>
  <c r="C529" i="117"/>
  <c r="C334" i="117"/>
  <c r="C260" i="120"/>
  <c r="C238" i="120"/>
  <c r="C526" i="117"/>
  <c r="C255" i="117"/>
  <c r="C279" i="120"/>
  <c r="C525" i="117"/>
  <c r="C247" i="117"/>
  <c r="C159" i="117"/>
  <c r="C68" i="117"/>
  <c r="C378" i="120"/>
  <c r="C327" i="115"/>
  <c r="C317" i="115"/>
  <c r="C98" i="115"/>
  <c r="C88" i="115"/>
  <c r="C243" i="109"/>
  <c r="C233" i="109"/>
  <c r="C346" i="120" s="1"/>
  <c r="P46" i="123"/>
  <c r="C133" i="65"/>
  <c r="C123" i="65"/>
  <c r="C43" i="65"/>
  <c r="C624" i="117"/>
  <c r="C523" i="117"/>
  <c r="C246" i="117"/>
  <c r="C158" i="117"/>
  <c r="C67" i="117"/>
  <c r="C623" i="117"/>
  <c r="C432" i="117"/>
  <c r="C245" i="117"/>
  <c r="C155" i="117"/>
  <c r="C66" i="117"/>
  <c r="C325" i="115"/>
  <c r="C96" i="115"/>
  <c r="C86" i="115"/>
  <c r="C241" i="109"/>
  <c r="P49" i="123"/>
  <c r="P29" i="123"/>
  <c r="C131" i="65"/>
  <c r="C121" i="65"/>
  <c r="C41" i="65"/>
  <c r="C234" i="118"/>
  <c r="C619" i="117"/>
  <c r="C431" i="117"/>
  <c r="C348" i="117"/>
  <c r="C244" i="117"/>
  <c r="C154" i="117"/>
  <c r="C58" i="117"/>
  <c r="C618" i="117"/>
  <c r="C430" i="117"/>
  <c r="C347" i="117"/>
  <c r="C242" i="117"/>
  <c r="C153" i="117"/>
  <c r="C57" i="117"/>
  <c r="C429" i="117"/>
  <c r="C337" i="117"/>
  <c r="C147" i="117"/>
  <c r="C56" i="117"/>
  <c r="C121" i="109"/>
  <c r="C22" i="116"/>
  <c r="C124" i="109"/>
  <c r="C242" i="109"/>
  <c r="C435" i="109"/>
  <c r="C441" i="109"/>
  <c r="C453" i="109"/>
  <c r="C547" i="109"/>
  <c r="C90" i="115"/>
  <c r="C330" i="115"/>
  <c r="C649" i="117"/>
  <c r="C594" i="117"/>
  <c r="C184" i="117"/>
  <c r="C129" i="117"/>
  <c r="C516" i="120"/>
  <c r="C463" i="117"/>
  <c r="C370" i="117"/>
  <c r="C222" i="117"/>
  <c r="C556" i="117"/>
  <c r="C501" i="117"/>
  <c r="C102" i="117"/>
  <c r="C548" i="120"/>
  <c r="C508" i="120"/>
  <c r="C323" i="117"/>
  <c r="C44" i="117"/>
  <c r="C381" i="117"/>
  <c r="C556" i="120"/>
  <c r="C416" i="117"/>
  <c r="C230" i="117"/>
  <c r="AH9" i="87"/>
  <c r="O263" i="87" s="1"/>
  <c r="C602" i="117"/>
  <c r="C567" i="117"/>
  <c r="C195" i="117"/>
  <c r="C408" i="117"/>
  <c r="C288" i="117"/>
  <c r="C137" i="117"/>
  <c r="C9" i="117"/>
  <c r="C315" i="117"/>
  <c r="C277" i="117"/>
  <c r="C91" i="117"/>
  <c r="C36" i="117"/>
  <c r="C532" i="120"/>
  <c r="C509" i="117"/>
  <c r="C474" i="117"/>
  <c r="C540" i="120"/>
  <c r="C524" i="120"/>
  <c r="AA54" i="87"/>
  <c r="G162" i="112"/>
  <c r="D70" i="116"/>
  <c r="C432" i="108"/>
  <c r="C168" i="86"/>
  <c r="C212" i="85"/>
  <c r="C35" i="86"/>
  <c r="C127" i="86" s="1"/>
  <c r="C40" i="120"/>
  <c r="C152" i="75"/>
  <c r="C509" i="75"/>
  <c r="C520" i="75"/>
  <c r="C14" i="119"/>
  <c r="C366" i="109"/>
  <c r="C439" i="108"/>
  <c r="C206" i="120"/>
  <c r="C211" i="120"/>
  <c r="E33" i="108"/>
  <c r="E75" i="108"/>
  <c r="C41" i="113"/>
  <c r="C145" i="113"/>
  <c r="C118" i="113"/>
  <c r="C30" i="113"/>
  <c r="C381" i="108"/>
  <c r="D439" i="108"/>
  <c r="C463" i="75"/>
  <c r="C412" i="75"/>
  <c r="C438" i="75"/>
  <c r="C387" i="75"/>
  <c r="C10" i="116"/>
  <c r="K262" i="87"/>
  <c r="M254" i="87"/>
  <c r="C12" i="116"/>
  <c r="C11" i="116"/>
  <c r="O264" i="87"/>
  <c r="M255" i="87"/>
  <c r="K263" i="87"/>
  <c r="M260" i="87"/>
  <c r="M258" i="87"/>
  <c r="K260" i="87"/>
  <c r="O262" i="87"/>
  <c r="M257" i="87"/>
  <c r="C348" i="65"/>
  <c r="C76" i="109" s="1"/>
  <c r="O261" i="87"/>
  <c r="M259" i="87"/>
  <c r="K265" i="87"/>
  <c r="K261" i="87"/>
  <c r="K259" i="87" a="1"/>
  <c r="K259" i="87" s="1"/>
  <c r="M256" i="87"/>
  <c r="C386" i="65"/>
  <c r="C388" i="65"/>
  <c r="C394" i="65"/>
  <c r="C384" i="65"/>
  <c r="C120" i="65"/>
  <c r="C135" i="65"/>
  <c r="C290" i="120"/>
  <c r="C357" i="117"/>
  <c r="C264" i="117"/>
  <c r="C78" i="119"/>
  <c r="C97" i="119" s="1"/>
  <c r="C636" i="117"/>
  <c r="C450" i="117"/>
  <c r="C232" i="120"/>
  <c r="C229" i="120"/>
  <c r="C276" i="120"/>
  <c r="C319" i="109"/>
  <c r="C543" i="117"/>
  <c r="C171" i="117"/>
  <c r="C385" i="65"/>
  <c r="C389" i="65"/>
  <c r="P20" i="123"/>
  <c r="P30" i="123"/>
  <c r="C34" i="116"/>
  <c r="C128" i="109"/>
  <c r="C50" i="109"/>
  <c r="C77" i="109"/>
  <c r="C109" i="109"/>
  <c r="D121" i="109"/>
  <c r="C244" i="109"/>
  <c r="C359" i="115"/>
  <c r="C330" i="109"/>
  <c r="C285" i="109"/>
  <c r="C296" i="109"/>
  <c r="D347" i="109"/>
  <c r="C375" i="109"/>
  <c r="C383" i="109"/>
  <c r="C410" i="109"/>
  <c r="C443" i="109"/>
  <c r="C460" i="109"/>
  <c r="C529" i="109"/>
  <c r="C535" i="109"/>
  <c r="C541" i="109"/>
  <c r="C548" i="109"/>
  <c r="C91" i="115"/>
  <c r="C318" i="115"/>
  <c r="C332" i="115"/>
  <c r="B398" i="115"/>
  <c r="B388" i="115"/>
  <c r="B394" i="115"/>
  <c r="B402" i="115"/>
  <c r="B392" i="115"/>
  <c r="B401" i="115"/>
  <c r="E14" i="112"/>
  <c r="F56" i="87"/>
  <c r="F141" i="112"/>
  <c r="I315" i="87"/>
  <c r="I46" i="87"/>
  <c r="I49" i="87"/>
  <c r="F140" i="112" s="1"/>
  <c r="I57" i="87"/>
  <c r="C13" i="112"/>
  <c r="F374" i="87"/>
  <c r="C38" i="112" s="1"/>
  <c r="D41" i="113"/>
  <c r="D145" i="113"/>
  <c r="D42" i="116"/>
  <c r="D129" i="116"/>
  <c r="E210" i="112"/>
  <c r="I268" i="87"/>
  <c r="D37" i="112"/>
  <c r="AE8" i="63"/>
  <c r="E58" i="108"/>
  <c r="C106" i="108"/>
  <c r="D134" i="108"/>
  <c r="D177" i="108"/>
  <c r="C288" i="108"/>
  <c r="C371" i="108"/>
  <c r="C390" i="108"/>
  <c r="C469" i="108"/>
  <c r="C568" i="108"/>
  <c r="C104" i="118"/>
  <c r="C122" i="65"/>
  <c r="B382" i="65"/>
  <c r="K75" i="123"/>
  <c r="C51" i="109"/>
  <c r="C69" i="109"/>
  <c r="C245" i="109"/>
  <c r="C352" i="120" s="1"/>
  <c r="C64" i="85"/>
  <c r="C185" i="85"/>
  <c r="C143" i="119"/>
  <c r="C175" i="119" s="1"/>
  <c r="D383" i="109"/>
  <c r="C433" i="109"/>
  <c r="C507" i="109"/>
  <c r="C93" i="115"/>
  <c r="C319" i="115"/>
  <c r="B389" i="115"/>
  <c r="D27" i="113"/>
  <c r="E19" i="112"/>
  <c r="F314" i="87"/>
  <c r="F47" i="87"/>
  <c r="F19" i="112" s="1"/>
  <c r="I42" i="87"/>
  <c r="F139" i="112" s="1"/>
  <c r="O32" i="87"/>
  <c r="G139" i="112"/>
  <c r="D366" i="65"/>
  <c r="F53" i="87"/>
  <c r="C376" i="109"/>
  <c r="D135" i="112"/>
  <c r="D10" i="116"/>
  <c r="D51" i="116"/>
  <c r="D12" i="112"/>
  <c r="AD8" i="63"/>
  <c r="E12" i="112"/>
  <c r="D54" i="113"/>
  <c r="D12" i="113"/>
  <c r="D113" i="116"/>
  <c r="D131" i="113"/>
  <c r="AD17" i="63"/>
  <c r="D382" i="120"/>
  <c r="F54" i="87"/>
  <c r="D104" i="86" s="1"/>
  <c r="C187" i="112"/>
  <c r="D336" i="120"/>
  <c r="C192" i="112"/>
  <c r="I225" i="87"/>
  <c r="D192" i="112" s="1"/>
  <c r="I230" i="87"/>
  <c r="D197" i="112" s="1"/>
  <c r="C197" i="112"/>
  <c r="M18" i="106"/>
  <c r="C106" i="86"/>
  <c r="C116" i="85"/>
  <c r="C169" i="85"/>
  <c r="C137" i="119"/>
  <c r="C112" i="75"/>
  <c r="C380" i="120"/>
  <c r="C22" i="119"/>
  <c r="C244" i="118"/>
  <c r="C90" i="118"/>
  <c r="C242" i="120"/>
  <c r="K70" i="62"/>
  <c r="C98" i="86"/>
  <c r="C108" i="85"/>
  <c r="C13" i="119"/>
  <c r="C370" i="120"/>
  <c r="C404" i="108"/>
  <c r="K128" i="62"/>
  <c r="K138" i="62"/>
  <c r="C167" i="85"/>
  <c r="C104" i="86"/>
  <c r="C114" i="85"/>
  <c r="C131" i="113"/>
  <c r="C382" i="120"/>
  <c r="C113" i="116"/>
  <c r="C130" i="108"/>
  <c r="C185" i="108"/>
  <c r="C280" i="108"/>
  <c r="C290" i="108"/>
  <c r="C334" i="108"/>
  <c r="C405" i="108"/>
  <c r="C448" i="108"/>
  <c r="C29" i="65"/>
  <c r="C125" i="65"/>
  <c r="C175" i="65"/>
  <c r="D162" i="120"/>
  <c r="D135" i="120"/>
  <c r="D196" i="120"/>
  <c r="D123" i="120"/>
  <c r="D141" i="120"/>
  <c r="D111" i="120"/>
  <c r="D183" i="120"/>
  <c r="D129" i="120"/>
  <c r="D177" i="120"/>
  <c r="D154" i="120"/>
  <c r="D203" i="120"/>
  <c r="C234" i="109"/>
  <c r="C349" i="120" s="1"/>
  <c r="C277" i="109"/>
  <c r="C340" i="109"/>
  <c r="C404" i="109"/>
  <c r="C424" i="109"/>
  <c r="E223" i="115"/>
  <c r="D130" i="115"/>
  <c r="C95" i="115"/>
  <c r="E220" i="115"/>
  <c r="C322" i="115"/>
  <c r="AD29" i="63"/>
  <c r="D136" i="112"/>
  <c r="D137" i="112"/>
  <c r="D351" i="65"/>
  <c r="D17" i="112"/>
  <c r="D15" i="113"/>
  <c r="D535" i="108"/>
  <c r="D20" i="113"/>
  <c r="D18" i="112"/>
  <c r="D556" i="108"/>
  <c r="D25" i="113"/>
  <c r="D19" i="112"/>
  <c r="D45" i="112"/>
  <c r="D134" i="113"/>
  <c r="D20" i="112"/>
  <c r="E135" i="112"/>
  <c r="D12" i="116"/>
  <c r="I38" i="87"/>
  <c r="F135" i="112" s="1"/>
  <c r="E136" i="112"/>
  <c r="D53" i="116"/>
  <c r="D244" i="120"/>
  <c r="AD37" i="63"/>
  <c r="D281" i="120"/>
  <c r="I25" i="87"/>
  <c r="U26" i="87"/>
  <c r="R31" i="87"/>
  <c r="U32" i="87"/>
  <c r="F63" i="87"/>
  <c r="I317" i="87"/>
  <c r="F168" i="112" s="1"/>
  <c r="C156" i="119"/>
  <c r="C193" i="119"/>
  <c r="C371" i="115"/>
  <c r="C415" i="115" s="1"/>
  <c r="C382" i="115"/>
  <c r="D135" i="86"/>
  <c r="D128" i="86"/>
  <c r="D96" i="86" a="1"/>
  <c r="D96" i="86" s="1"/>
  <c r="F38" i="87"/>
  <c r="F11" i="112" s="1" a="1"/>
  <c r="F11" i="112" s="1"/>
  <c r="H12" i="112"/>
  <c r="AD25" i="63"/>
  <c r="D179" i="85"/>
  <c r="H137" i="112"/>
  <c r="H138" i="112"/>
  <c r="D361" i="65"/>
  <c r="B122" i="116"/>
  <c r="F37" i="63"/>
  <c r="D436" i="109" s="1"/>
  <c r="AA94" i="63"/>
  <c r="AA95" i="63"/>
  <c r="K130" i="62"/>
  <c r="K140" i="62"/>
  <c r="C129" i="113"/>
  <c r="C52" i="113"/>
  <c r="C111" i="116"/>
  <c r="C10" i="113"/>
  <c r="C109" i="85"/>
  <c r="C99" i="86"/>
  <c r="C371" i="120"/>
  <c r="K276" i="62"/>
  <c r="L293" i="62"/>
  <c r="C46" i="113"/>
  <c r="C150" i="113"/>
  <c r="C163" i="108"/>
  <c r="C282" i="108"/>
  <c r="C292" i="108"/>
  <c r="C329" i="108"/>
  <c r="C385" i="108"/>
  <c r="C120" i="113" s="1"/>
  <c r="C398" i="108"/>
  <c r="D422" i="108"/>
  <c r="C449" i="108"/>
  <c r="C559" i="108"/>
  <c r="C81" i="118"/>
  <c r="C141" i="118"/>
  <c r="C150" i="118"/>
  <c r="C42" i="65"/>
  <c r="C128" i="65"/>
  <c r="C177" i="65"/>
  <c r="C250" i="65"/>
  <c r="C383" i="65"/>
  <c r="C387" i="65"/>
  <c r="C125" i="109"/>
  <c r="C236" i="109"/>
  <c r="C291" i="109"/>
  <c r="C370" i="109"/>
  <c r="C519" i="109"/>
  <c r="C84" i="115"/>
  <c r="C99" i="115"/>
  <c r="E222" i="115"/>
  <c r="C324" i="115"/>
  <c r="B395" i="115"/>
  <c r="C423" i="115"/>
  <c r="C346" i="109"/>
  <c r="C102" i="116" s="1"/>
  <c r="T78" i="123"/>
  <c r="B75" i="123"/>
  <c r="C351" i="109"/>
  <c r="C105" i="116" s="1"/>
  <c r="H78" i="123"/>
  <c r="T75" i="123"/>
  <c r="B78" i="123"/>
  <c r="N75" i="123"/>
  <c r="F138" i="112"/>
  <c r="I26" i="87"/>
  <c r="AA32" i="87"/>
  <c r="I54" i="87"/>
  <c r="I332" i="87"/>
  <c r="D90" i="109"/>
  <c r="K264" i="87"/>
  <c r="D123" i="113"/>
  <c r="C30" i="112"/>
  <c r="D35" i="113"/>
  <c r="C155" i="112"/>
  <c r="D106" i="116"/>
  <c r="C180" i="112"/>
  <c r="D35" i="116"/>
  <c r="D70" i="113"/>
  <c r="D38" i="112"/>
  <c r="E37" i="112"/>
  <c r="F321" i="87"/>
  <c r="AE17" i="63"/>
  <c r="G163" i="112"/>
  <c r="D77" i="116"/>
  <c r="D78" i="116"/>
  <c r="H163" i="112"/>
  <c r="E120" i="112"/>
  <c r="D108" i="113"/>
  <c r="C93" i="112"/>
  <c r="B43" i="113"/>
  <c r="D142" i="75"/>
  <c r="D149" i="75"/>
  <c r="D129" i="86"/>
  <c r="D136" i="86"/>
  <c r="D146" i="85"/>
  <c r="D88" i="85"/>
  <c r="L173" i="63"/>
  <c r="L175" i="63"/>
  <c r="D320" i="108" s="1"/>
  <c r="D198" i="85"/>
  <c r="D184" i="85"/>
  <c r="D201" i="119"/>
  <c r="D169" i="119"/>
  <c r="D58" i="119"/>
  <c r="D211" i="119"/>
  <c r="D96" i="119"/>
  <c r="D69" i="119"/>
  <c r="D142" i="119"/>
  <c r="D50" i="119"/>
  <c r="D61" i="119"/>
  <c r="D162" i="119"/>
  <c r="D161" i="119"/>
  <c r="D113" i="119"/>
  <c r="D109" i="119"/>
  <c r="D105" i="119"/>
  <c r="D97" i="120"/>
  <c r="C107" i="119"/>
  <c r="C350" i="120"/>
  <c r="C334" i="120"/>
  <c r="C347" i="120"/>
  <c r="C337" i="120"/>
  <c r="C103" i="119"/>
  <c r="C318" i="120"/>
  <c r="C340" i="120"/>
  <c r="D52" i="75"/>
  <c r="D140" i="75"/>
  <c r="D168" i="75"/>
  <c r="C111" i="119"/>
  <c r="E118" i="112"/>
  <c r="H161" i="112"/>
  <c r="D22" i="116"/>
  <c r="E141" i="112"/>
  <c r="D17" i="116"/>
  <c r="F55" i="87"/>
  <c r="I60" i="87"/>
  <c r="I330" i="87" s="1"/>
  <c r="D132" i="113"/>
  <c r="D55" i="113"/>
  <c r="D13" i="113"/>
  <c r="H11" i="112"/>
  <c r="D115" i="85"/>
  <c r="G12" i="112"/>
  <c r="D105" i="86"/>
  <c r="G137" i="112"/>
  <c r="D178" i="85"/>
  <c r="D34" i="113"/>
  <c r="C29" i="112"/>
  <c r="D122" i="113"/>
  <c r="C154" i="112"/>
  <c r="D105" i="116"/>
  <c r="C179" i="112"/>
  <c r="D34" i="116"/>
  <c r="D45" i="113"/>
  <c r="D149" i="113"/>
  <c r="D162" i="112"/>
  <c r="D69" i="116"/>
  <c r="D72" i="113"/>
  <c r="E38" i="112"/>
  <c r="G38" i="112"/>
  <c r="D71" i="113"/>
  <c r="H38" i="112"/>
  <c r="D73" i="113"/>
  <c r="I364" i="87"/>
  <c r="H165" i="112" s="1"/>
  <c r="D109" i="113"/>
  <c r="E121" i="112"/>
  <c r="D114" i="113"/>
  <c r="E126" i="112"/>
  <c r="C206" i="112"/>
  <c r="D126" i="85"/>
  <c r="C209" i="112"/>
  <c r="B37" i="116"/>
  <c r="D488" i="75"/>
  <c r="D517" i="75"/>
  <c r="D518" i="75"/>
  <c r="C176" i="119"/>
  <c r="C376" i="75"/>
  <c r="C237" i="75"/>
  <c r="C174" i="119"/>
  <c r="C194" i="119"/>
  <c r="C172" i="119"/>
  <c r="C324" i="75"/>
  <c r="C241" i="75"/>
  <c r="C217" i="75"/>
  <c r="D60" i="75"/>
  <c r="D46" i="75"/>
  <c r="D92" i="75"/>
  <c r="D225" i="75"/>
  <c r="D226" i="75"/>
  <c r="D132" i="75"/>
  <c r="D516" i="75"/>
  <c r="D486" i="75"/>
  <c r="D159" i="75"/>
  <c r="D148" i="75"/>
  <c r="D235" i="75"/>
  <c r="D216" i="75"/>
  <c r="D504" i="75"/>
  <c r="D273" i="75"/>
  <c r="D147" i="75"/>
  <c r="D125" i="75"/>
  <c r="D313" i="75"/>
  <c r="D288" i="75"/>
  <c r="D298" i="75"/>
  <c r="D530" i="75"/>
  <c r="D154" i="75"/>
  <c r="D102" i="85"/>
  <c r="D76" i="85"/>
  <c r="D134" i="85"/>
  <c r="D110" i="85"/>
  <c r="D154" i="119"/>
  <c r="D52" i="119"/>
  <c r="D59" i="119" a="1"/>
  <c r="D59" i="119" s="1"/>
  <c r="C398" i="120"/>
  <c r="C375" i="120"/>
  <c r="C391" i="120"/>
  <c r="C224" i="120"/>
  <c r="D254" i="120"/>
  <c r="D365" i="120"/>
  <c r="D405" i="120"/>
  <c r="D234" i="75"/>
  <c r="D262" i="75"/>
  <c r="D351" i="75"/>
  <c r="D67" i="113"/>
  <c r="D110" i="113"/>
  <c r="C28" i="112"/>
  <c r="D33" i="113"/>
  <c r="D121" i="113"/>
  <c r="C178" i="112"/>
  <c r="C153" i="112"/>
  <c r="D104" i="116"/>
  <c r="D33" i="116"/>
  <c r="C189" i="112"/>
  <c r="I222" i="87"/>
  <c r="D189" i="112" s="1"/>
  <c r="C199" i="112"/>
  <c r="I232" i="87"/>
  <c r="D199" i="112" s="1"/>
  <c r="D42" i="113"/>
  <c r="D146" i="113"/>
  <c r="D91" i="116"/>
  <c r="G164" i="112"/>
  <c r="AD21" i="63"/>
  <c r="E98" i="112"/>
  <c r="D206" i="120"/>
  <c r="B139" i="113"/>
  <c r="B138" i="113"/>
  <c r="O90" i="63"/>
  <c r="D208" i="85"/>
  <c r="D164" i="86"/>
  <c r="C97" i="112"/>
  <c r="D119" i="86" a="1"/>
  <c r="D119" i="86" s="1"/>
  <c r="D144" i="86"/>
  <c r="D59" i="85"/>
  <c r="D105" i="85"/>
  <c r="D242" i="120"/>
  <c r="D119" i="75"/>
  <c r="D141" i="75"/>
  <c r="D246" i="75"/>
  <c r="C184" i="119"/>
  <c r="C240" i="119"/>
  <c r="C144" i="119"/>
  <c r="C173" i="119" s="1"/>
  <c r="C81" i="120"/>
  <c r="C228" i="119"/>
  <c r="C118" i="109"/>
  <c r="D348" i="109"/>
  <c r="D517" i="109"/>
  <c r="D547" i="109"/>
  <c r="D141" i="112"/>
  <c r="D15" i="116"/>
  <c r="D20" i="116"/>
  <c r="D142" i="112"/>
  <c r="D25" i="116"/>
  <c r="D143" i="112"/>
  <c r="L54" i="87"/>
  <c r="H18" i="112"/>
  <c r="D23" i="113"/>
  <c r="D52" i="116"/>
  <c r="D11" i="116"/>
  <c r="G135" i="112"/>
  <c r="D26" i="113"/>
  <c r="G19" i="112"/>
  <c r="D117" i="116"/>
  <c r="G144" i="112"/>
  <c r="I348" i="87"/>
  <c r="G169" i="112" s="1"/>
  <c r="C27" i="112"/>
  <c r="D32" i="113"/>
  <c r="D120" i="113"/>
  <c r="C152" i="112"/>
  <c r="C177" i="112"/>
  <c r="D32" i="116"/>
  <c r="D103" i="116"/>
  <c r="F225" i="87"/>
  <c r="D73" i="112" s="1"/>
  <c r="I226" i="87"/>
  <c r="D193" i="112" s="1"/>
  <c r="C66" i="112"/>
  <c r="B176" i="75" a="1"/>
  <c r="D144" i="113"/>
  <c r="D40" i="113"/>
  <c r="D128" i="116"/>
  <c r="D41" i="116"/>
  <c r="D46" i="113"/>
  <c r="D150" i="113"/>
  <c r="D39" i="112"/>
  <c r="D77" i="113"/>
  <c r="G39" i="112"/>
  <c r="D78" i="113"/>
  <c r="E113" i="112"/>
  <c r="D101" i="113"/>
  <c r="E127" i="112"/>
  <c r="D115" i="113"/>
  <c r="F463" i="87"/>
  <c r="D126" i="112" s="1"/>
  <c r="AE21" i="63"/>
  <c r="C40" i="63"/>
  <c r="D88" i="112" s="1"/>
  <c r="C42" i="63"/>
  <c r="D90" i="112" s="1"/>
  <c r="C316" i="120"/>
  <c r="C86" i="116"/>
  <c r="C325" i="120"/>
  <c r="C314" i="120"/>
  <c r="C324" i="120"/>
  <c r="C313" i="120"/>
  <c r="C323" i="120"/>
  <c r="C312" i="120"/>
  <c r="C322" i="120"/>
  <c r="C311" i="120"/>
  <c r="D306" i="75"/>
  <c r="D281" i="75"/>
  <c r="C140" i="112"/>
  <c r="C165" i="112"/>
  <c r="D291" i="120"/>
  <c r="D278" i="120"/>
  <c r="D267" i="120"/>
  <c r="D361" i="120"/>
  <c r="D368" i="120"/>
  <c r="D98" i="86"/>
  <c r="D108" i="85"/>
  <c r="D114" i="86"/>
  <c r="D87" i="86" a="1"/>
  <c r="D87" i="86" s="1"/>
  <c r="D149" i="86"/>
  <c r="D141" i="86"/>
  <c r="D92" i="86"/>
  <c r="D52" i="85"/>
  <c r="D124" i="85"/>
  <c r="C17" i="120"/>
  <c r="D191" i="120"/>
  <c r="D275" i="120"/>
  <c r="C321" i="120"/>
  <c r="C344" i="120"/>
  <c r="C367" i="120"/>
  <c r="C71" i="116"/>
  <c r="D132" i="116"/>
  <c r="D45" i="116"/>
  <c r="D163" i="112"/>
  <c r="D76" i="116"/>
  <c r="D80" i="113"/>
  <c r="E39" i="112"/>
  <c r="F330" i="87"/>
  <c r="D92" i="113"/>
  <c r="G40" i="112"/>
  <c r="C205" i="112"/>
  <c r="D205" i="112"/>
  <c r="D348" i="75"/>
  <c r="D265" i="75"/>
  <c r="D327" i="75" a="1"/>
  <c r="D327" i="75" s="1"/>
  <c r="D250" i="75" a="1"/>
  <c r="D250" i="75" s="1"/>
  <c r="D267" i="75" a="1"/>
  <c r="D267" i="75" s="1"/>
  <c r="D346" i="75" a="1"/>
  <c r="D346" i="75" s="1"/>
  <c r="D275" i="75"/>
  <c r="D330" i="75"/>
  <c r="D357" i="75"/>
  <c r="D335" i="75"/>
  <c r="D301" i="75"/>
  <c r="D317" i="75"/>
  <c r="D408" i="75"/>
  <c r="D459" i="75"/>
  <c r="D434" i="75"/>
  <c r="D228" i="120"/>
  <c r="D330" i="120"/>
  <c r="C201" i="65"/>
  <c r="C136" i="109"/>
  <c r="D291" i="109"/>
  <c r="D415" i="109"/>
  <c r="D423" i="109"/>
  <c r="D523" i="109"/>
  <c r="C137" i="112"/>
  <c r="D175" i="85"/>
  <c r="D191" i="85"/>
  <c r="D174" i="85"/>
  <c r="I224" i="87"/>
  <c r="D191" i="112" s="1"/>
  <c r="F232" i="87"/>
  <c r="D80" i="112" s="1"/>
  <c r="D37" i="116"/>
  <c r="E209" i="112"/>
  <c r="D124" i="116"/>
  <c r="F268" i="87"/>
  <c r="D151" i="113"/>
  <c r="D47" i="113"/>
  <c r="D40" i="112"/>
  <c r="D91" i="113"/>
  <c r="E162" i="112"/>
  <c r="D71" i="116"/>
  <c r="I385" i="87"/>
  <c r="C167" i="112" s="1" a="1"/>
  <c r="C167" i="112" s="1"/>
  <c r="E115" i="112"/>
  <c r="D103" i="113"/>
  <c r="E128" i="112"/>
  <c r="D116" i="113"/>
  <c r="F459" i="87"/>
  <c r="D122" i="112" s="1"/>
  <c r="I464" i="87"/>
  <c r="D221" i="112" s="1"/>
  <c r="C115" i="112"/>
  <c r="F452" i="87"/>
  <c r="D115" i="112" s="1"/>
  <c r="D343" i="120"/>
  <c r="I458" i="87"/>
  <c r="D215" i="112" s="1"/>
  <c r="C215" i="112"/>
  <c r="C220" i="112"/>
  <c r="I463" i="87"/>
  <c r="D220" i="112" s="1"/>
  <c r="D539" i="117"/>
  <c r="D74" i="117"/>
  <c r="D632" i="117"/>
  <c r="D260" i="117"/>
  <c r="D353" i="117"/>
  <c r="C15" i="119"/>
  <c r="B140" i="113"/>
  <c r="C46" i="63"/>
  <c r="D471" i="108" s="1"/>
  <c r="D12" i="85"/>
  <c r="C176" i="85" s="1"/>
  <c r="C99" i="119"/>
  <c r="C302" i="120"/>
  <c r="C308" i="120"/>
  <c r="C297" i="120"/>
  <c r="C307" i="120"/>
  <c r="C296" i="120"/>
  <c r="C90" i="119" s="1"/>
  <c r="C306" i="120"/>
  <c r="C295" i="120"/>
  <c r="C87" i="119" s="1"/>
  <c r="C305" i="120"/>
  <c r="C294" i="120"/>
  <c r="C84" i="119" s="1"/>
  <c r="R85" i="63"/>
  <c r="D97" i="112" s="1"/>
  <c r="R87" i="63"/>
  <c r="D95" i="112" s="1"/>
  <c r="D375" i="120"/>
  <c r="D398" i="120"/>
  <c r="D391" i="120"/>
  <c r="C244" i="120"/>
  <c r="D276" i="120"/>
  <c r="C304" i="120"/>
  <c r="C331" i="120"/>
  <c r="D62" i="75"/>
  <c r="D215" i="75"/>
  <c r="D248" i="75" a="1"/>
  <c r="D248" i="75" s="1"/>
  <c r="D79" i="113"/>
  <c r="D116" i="116"/>
  <c r="G141" i="112"/>
  <c r="D16" i="116"/>
  <c r="C174" i="112"/>
  <c r="C149" i="112"/>
  <c r="D100" i="116"/>
  <c r="D29" i="116"/>
  <c r="I368" i="87"/>
  <c r="D109" i="85"/>
  <c r="D99" i="86"/>
  <c r="C12" i="112"/>
  <c r="C11" i="112"/>
  <c r="D371" i="120"/>
  <c r="C186" i="112"/>
  <c r="D333" i="120"/>
  <c r="D209" i="112"/>
  <c r="B124" i="116"/>
  <c r="D90" i="116"/>
  <c r="D164" i="112"/>
  <c r="E40" i="112"/>
  <c r="D94" i="113"/>
  <c r="F310" i="87"/>
  <c r="F40" i="112" s="1"/>
  <c r="G161" i="112"/>
  <c r="AE42" i="63"/>
  <c r="I345" i="87"/>
  <c r="G166" i="112" s="1"/>
  <c r="F378" i="87"/>
  <c r="C43" i="112" s="1"/>
  <c r="F465" i="87"/>
  <c r="D128" i="112" s="1"/>
  <c r="F30" i="63"/>
  <c r="D204" i="112" s="1"/>
  <c r="F32" i="63"/>
  <c r="D206" i="112" s="1"/>
  <c r="D84" i="75"/>
  <c r="D432" i="75"/>
  <c r="D457" i="75"/>
  <c r="D406" i="75"/>
  <c r="D453" i="75"/>
  <c r="D278" i="75"/>
  <c r="D428" i="75"/>
  <c r="D377" i="75"/>
  <c r="D106" i="85"/>
  <c r="D133" i="85"/>
  <c r="D140" i="85"/>
  <c r="D112" i="85"/>
  <c r="D122" i="85"/>
  <c r="D88" i="119" a="1"/>
  <c r="D88" i="119" s="1"/>
  <c r="D91" i="119" a="1"/>
  <c r="D91" i="119" s="1"/>
  <c r="D147" i="120"/>
  <c r="D229" i="120"/>
  <c r="C353" i="120"/>
  <c r="D370" i="120"/>
  <c r="D446" i="117"/>
  <c r="C502" i="75"/>
  <c r="C525" i="75"/>
  <c r="C90" i="75"/>
  <c r="C397" i="75"/>
  <c r="C372" i="75"/>
  <c r="C45" i="75"/>
  <c r="C448" i="75"/>
  <c r="C496" i="75"/>
  <c r="C28" i="75"/>
  <c r="D151" i="75"/>
  <c r="D133" i="116"/>
  <c r="D46" i="85" a="1"/>
  <c r="D46" i="85" s="1"/>
  <c r="F222" i="87"/>
  <c r="D70" i="112" s="1"/>
  <c r="I231" i="87"/>
  <c r="D198" i="112" s="1"/>
  <c r="D143" i="113"/>
  <c r="D39" i="113"/>
  <c r="E93" i="112"/>
  <c r="D147" i="113"/>
  <c r="E117" i="112"/>
  <c r="D105" i="113"/>
  <c r="D112" i="113"/>
  <c r="E124" i="112"/>
  <c r="F460" i="87"/>
  <c r="D123" i="112" s="1"/>
  <c r="C216" i="112"/>
  <c r="D346" i="120"/>
  <c r="C38" i="63"/>
  <c r="D86" i="112" s="1"/>
  <c r="B121" i="116"/>
  <c r="B120" i="116"/>
  <c r="B42" i="116"/>
  <c r="C210" i="112"/>
  <c r="I266" i="87"/>
  <c r="C89" i="112"/>
  <c r="C41" i="63"/>
  <c r="D89" i="112" s="1"/>
  <c r="C41" i="112"/>
  <c r="C16" i="112"/>
  <c r="D170" i="75"/>
  <c r="D139" i="85"/>
  <c r="D134" i="86"/>
  <c r="D97" i="86"/>
  <c r="D126" i="86"/>
  <c r="D366" i="120"/>
  <c r="D107" i="85"/>
  <c r="D369" i="120"/>
  <c r="D305" i="75"/>
  <c r="D280" i="75"/>
  <c r="C94" i="112"/>
  <c r="R86" i="63"/>
  <c r="D94" i="112" s="1"/>
  <c r="D345" i="75" a="1"/>
  <c r="D345" i="75" s="1"/>
  <c r="D266" i="75" a="1"/>
  <c r="D266" i="75" s="1"/>
  <c r="D249" i="75" a="1"/>
  <c r="D249" i="75" s="1"/>
  <c r="O117" i="63"/>
  <c r="D300" i="75"/>
  <c r="D356" i="75"/>
  <c r="D15" i="119"/>
  <c r="D29" i="119"/>
  <c r="D64" i="119"/>
  <c r="D155" i="119"/>
  <c r="D60" i="119"/>
  <c r="C58" i="120"/>
  <c r="C85" i="120"/>
  <c r="D279" i="120"/>
  <c r="B310" i="120" a="1"/>
  <c r="C310" i="120"/>
  <c r="C23" i="75"/>
  <c r="D316" i="75"/>
  <c r="D77" i="119"/>
  <c r="D44" i="113"/>
  <c r="D142" i="86"/>
  <c r="E204" i="112"/>
  <c r="D115" i="86"/>
  <c r="D60" i="113"/>
  <c r="D59" i="113"/>
  <c r="D123" i="85"/>
  <c r="D197" i="85"/>
  <c r="D63" i="85"/>
  <c r="D183" i="85"/>
  <c r="D173" i="85"/>
  <c r="D154" i="85"/>
  <c r="D161" i="85"/>
  <c r="D129" i="85"/>
  <c r="D163" i="85"/>
  <c r="C204" i="112"/>
  <c r="D413" i="120"/>
  <c r="D392" i="120"/>
  <c r="D223" i="120"/>
  <c r="D257" i="120"/>
  <c r="D289" i="120"/>
  <c r="D264" i="120"/>
  <c r="D412" i="120"/>
  <c r="AD47" i="63"/>
  <c r="D94" i="86"/>
  <c r="D104" i="85"/>
  <c r="D46" i="86"/>
  <c r="D45" i="85"/>
  <c r="D57" i="85"/>
  <c r="D133" i="86"/>
  <c r="D50" i="85"/>
  <c r="D138" i="85"/>
  <c r="D360" i="120"/>
  <c r="D124" i="86"/>
  <c r="C87" i="112"/>
  <c r="C91" i="112"/>
  <c r="C43" i="63"/>
  <c r="D91" i="112" s="1"/>
  <c r="D54" i="75"/>
  <c r="O118" i="63"/>
  <c r="D318" i="75"/>
  <c r="D336" i="75"/>
  <c r="D487" i="75"/>
  <c r="D477" i="75"/>
  <c r="D277" i="120"/>
  <c r="D230" i="120"/>
  <c r="D202" i="119"/>
  <c r="D212" i="119"/>
  <c r="D175" i="119"/>
  <c r="D173" i="119"/>
  <c r="D111" i="119"/>
  <c r="D107" i="119"/>
  <c r="D103" i="119"/>
  <c r="C277" i="120"/>
  <c r="C248" i="120"/>
  <c r="C230" i="120"/>
  <c r="C59" i="120"/>
  <c r="C354" i="120"/>
  <c r="C338" i="120" a="1"/>
  <c r="C338" i="120" s="1"/>
  <c r="C351" i="120" a="1"/>
  <c r="C351" i="120" s="1"/>
  <c r="C341" i="120" a="1"/>
  <c r="C341" i="120" s="1"/>
  <c r="D211" i="120"/>
  <c r="D232" i="120"/>
  <c r="D238" i="120"/>
  <c r="C253" i="120"/>
  <c r="D260" i="120"/>
  <c r="C280" i="120"/>
  <c r="C315" i="120"/>
  <c r="C332" i="120" a="1"/>
  <c r="C332" i="120" s="1"/>
  <c r="D402" i="120"/>
  <c r="D302" i="75"/>
  <c r="D358" i="75"/>
  <c r="C105" i="119"/>
  <c r="C109" i="119"/>
  <c r="D151" i="119"/>
  <c r="B101" i="113" a="1"/>
  <c r="D43" i="116"/>
  <c r="G20" i="112"/>
  <c r="C326" i="65"/>
  <c r="D285" i="109"/>
  <c r="D419" i="109"/>
  <c r="D425" i="109"/>
  <c r="D520" i="109"/>
  <c r="D525" i="109"/>
  <c r="D530" i="109"/>
  <c r="D545" i="109"/>
  <c r="C356" i="115"/>
  <c r="D111" i="116"/>
  <c r="D11" i="112"/>
  <c r="D52" i="113"/>
  <c r="D10" i="113"/>
  <c r="E18" i="112"/>
  <c r="F313" i="87"/>
  <c r="D22" i="113"/>
  <c r="E143" i="112"/>
  <c r="D27" i="116"/>
  <c r="D124" i="113"/>
  <c r="D36" i="113"/>
  <c r="C31" i="112"/>
  <c r="I115" i="87"/>
  <c r="I221" i="87"/>
  <c r="D188" i="112" s="1"/>
  <c r="C69" i="112"/>
  <c r="F221" i="87"/>
  <c r="D69" i="112" s="1"/>
  <c r="C79" i="112"/>
  <c r="F231" i="87"/>
  <c r="D79" i="112" s="1"/>
  <c r="I256" i="87"/>
  <c r="D127" i="116"/>
  <c r="D40" i="116"/>
  <c r="D161" i="112"/>
  <c r="AE29" i="63"/>
  <c r="E164" i="112"/>
  <c r="D93" i="116"/>
  <c r="H37" i="112"/>
  <c r="AE25" i="63"/>
  <c r="D72" i="116"/>
  <c r="H162" i="112"/>
  <c r="I380" i="87"/>
  <c r="C162" i="112" s="1"/>
  <c r="E119" i="112"/>
  <c r="D107" i="113"/>
  <c r="E125" i="112"/>
  <c r="D113" i="113"/>
  <c r="F461" i="87"/>
  <c r="D124" i="112" s="1"/>
  <c r="D169" i="85"/>
  <c r="D116" i="85"/>
  <c r="D106" i="86"/>
  <c r="D380" i="120"/>
  <c r="D114" i="116"/>
  <c r="D67" i="116"/>
  <c r="D211" i="85"/>
  <c r="D113" i="85"/>
  <c r="F10" i="120"/>
  <c r="C243" i="120" s="1"/>
  <c r="C60" i="120"/>
  <c r="C114" i="120" s="1"/>
  <c r="D253" i="120"/>
  <c r="D280" i="120"/>
  <c r="B293" i="120" a="1"/>
  <c r="C293" i="120"/>
  <c r="C81" i="119" s="1"/>
  <c r="C317" i="120"/>
  <c r="D339" i="120"/>
  <c r="C348" i="120" a="1"/>
  <c r="C348" i="120" s="1"/>
  <c r="C386" i="120"/>
  <c r="D167" i="117"/>
  <c r="D227" i="75"/>
  <c r="C252" i="75"/>
  <c r="D303" i="75"/>
  <c r="D152" i="119"/>
  <c r="C86" i="112"/>
  <c r="D71" i="85"/>
  <c r="D127" i="85"/>
  <c r="D112" i="119"/>
  <c r="D104" i="119"/>
  <c r="D108" i="119"/>
  <c r="D142" i="120"/>
  <c r="D204" i="120"/>
  <c r="D256" i="120"/>
  <c r="C190" i="75"/>
  <c r="C201" i="75"/>
  <c r="C407" i="75"/>
  <c r="D102" i="113"/>
  <c r="E114" i="112"/>
  <c r="D117" i="85"/>
  <c r="D51" i="85"/>
  <c r="C25" i="116"/>
  <c r="C84" i="109" s="1"/>
  <c r="C72" i="119"/>
  <c r="D185" i="85"/>
  <c r="D64" i="85"/>
  <c r="D456" i="75"/>
  <c r="D380" i="75"/>
  <c r="D143" i="86"/>
  <c r="D118" i="86"/>
  <c r="D11" i="85"/>
  <c r="C166" i="85" s="1"/>
  <c r="F9" i="86"/>
  <c r="F9" i="85"/>
  <c r="C66" i="116"/>
  <c r="C64" i="116"/>
  <c r="C469" i="75"/>
  <c r="C442" i="75"/>
  <c r="C418" i="75"/>
  <c r="C467" i="75"/>
  <c r="C433" i="75"/>
  <c r="D150" i="85"/>
  <c r="D92" i="85"/>
  <c r="F5" i="120"/>
  <c r="D178" i="120"/>
  <c r="D187" i="120"/>
  <c r="D240" i="120"/>
  <c r="D374" i="120"/>
  <c r="C62" i="117"/>
  <c r="C150" i="117"/>
  <c r="C162" i="117"/>
  <c r="C176" i="117"/>
  <c r="C251" i="117"/>
  <c r="C266" i="117"/>
  <c r="C344" i="117"/>
  <c r="C439" i="117"/>
  <c r="C454" i="117"/>
  <c r="C499" i="117"/>
  <c r="C538" i="117" s="1"/>
  <c r="C520" i="117"/>
  <c r="C533" i="117"/>
  <c r="C551" i="117"/>
  <c r="C615" i="117"/>
  <c r="C644" i="117"/>
  <c r="C109" i="75"/>
  <c r="C176" i="75"/>
  <c r="C191" i="75"/>
  <c r="C240" i="75"/>
  <c r="C391" i="75"/>
  <c r="D38" i="113"/>
  <c r="F10" i="86"/>
  <c r="D168" i="86"/>
  <c r="D212" i="85"/>
  <c r="D509" i="75"/>
  <c r="R48" i="63"/>
  <c r="D98" i="112" s="1"/>
  <c r="C208" i="75"/>
  <c r="C198" i="75"/>
  <c r="C184" i="75"/>
  <c r="C206" i="75"/>
  <c r="C195" i="75"/>
  <c r="C189" i="75"/>
  <c r="C178" i="75"/>
  <c r="C205" i="75"/>
  <c r="C194" i="75"/>
  <c r="C188" i="75"/>
  <c r="C177" i="75"/>
  <c r="D47" i="86"/>
  <c r="D58" i="85"/>
  <c r="C69" i="75"/>
  <c r="C84" i="75"/>
  <c r="F136" i="63"/>
  <c r="D275" i="109" s="1"/>
  <c r="D167" i="86"/>
  <c r="D103" i="86" a="1"/>
  <c r="D103" i="86" s="1"/>
  <c r="C108" i="119"/>
  <c r="C112" i="119"/>
  <c r="F6" i="120"/>
  <c r="C278" i="120"/>
  <c r="C64" i="117"/>
  <c r="C78" i="117"/>
  <c r="C151" i="117"/>
  <c r="C179" i="117"/>
  <c r="C240" i="117"/>
  <c r="C252" i="117"/>
  <c r="C267" i="117"/>
  <c r="C345" i="117"/>
  <c r="C359" i="117"/>
  <c r="C426" i="117"/>
  <c r="C440" i="117"/>
  <c r="C455" i="117"/>
  <c r="C521" i="117"/>
  <c r="C616" i="117"/>
  <c r="D32" i="75" a="1"/>
  <c r="D32" i="75" s="1"/>
  <c r="C110" i="75"/>
  <c r="C162" i="75"/>
  <c r="C170" i="75" s="1"/>
  <c r="C179" i="75"/>
  <c r="C203" i="75"/>
  <c r="C392" i="75"/>
  <c r="C443" i="75"/>
  <c r="D142" i="113"/>
  <c r="D39" i="116"/>
  <c r="D95" i="86"/>
  <c r="D125" i="86"/>
  <c r="D118" i="113"/>
  <c r="D30" i="113"/>
  <c r="C25" i="112"/>
  <c r="C175" i="112"/>
  <c r="D101" i="116"/>
  <c r="C150" i="112"/>
  <c r="D44" i="116"/>
  <c r="D131" i="116"/>
  <c r="E116" i="112"/>
  <c r="D104" i="113"/>
  <c r="D104" i="95"/>
  <c r="D86" i="95"/>
  <c r="D112" i="95"/>
  <c r="D108" i="95"/>
  <c r="F11" i="34"/>
  <c r="C29" i="86"/>
  <c r="C15" i="95"/>
  <c r="D11" i="34"/>
  <c r="F9" i="34"/>
  <c r="D10" i="86"/>
  <c r="C39" i="85"/>
  <c r="C200" i="85" s="1"/>
  <c r="C38" i="85"/>
  <c r="C19" i="85"/>
  <c r="C46" i="95"/>
  <c r="D9" i="86"/>
  <c r="C18" i="85"/>
  <c r="D9" i="85"/>
  <c r="C34" i="86"/>
  <c r="C109" i="86" s="1" a="1"/>
  <c r="C109" i="86" s="1"/>
  <c r="C11" i="119"/>
  <c r="C44" i="119" s="1"/>
  <c r="C17" i="86"/>
  <c r="C205" i="119"/>
  <c r="C118" i="119"/>
  <c r="C70" i="119"/>
  <c r="C42" i="119"/>
  <c r="C515" i="75"/>
  <c r="C169" i="75"/>
  <c r="C104" i="75"/>
  <c r="C621" i="117"/>
  <c r="C546" i="117"/>
  <c r="C534" i="117"/>
  <c r="C524" i="117"/>
  <c r="C437" i="117"/>
  <c r="C427" i="117"/>
  <c r="C362" i="117"/>
  <c r="C340" i="117"/>
  <c r="C253" i="117"/>
  <c r="C243" i="117"/>
  <c r="C156" i="117"/>
  <c r="C81" i="117"/>
  <c r="C69" i="117"/>
  <c r="C59" i="117"/>
  <c r="C17" i="85"/>
  <c r="C203" i="119"/>
  <c r="C129" i="119"/>
  <c r="C622" i="117"/>
  <c r="C528" i="117"/>
  <c r="C434" i="117"/>
  <c r="C342" i="117"/>
  <c r="C250" i="117"/>
  <c r="C220" i="117"/>
  <c r="C259" i="117" s="1"/>
  <c r="C157" i="117"/>
  <c r="C63" i="117"/>
  <c r="C111" i="75"/>
  <c r="C101" i="75"/>
  <c r="C105" i="75" s="1"/>
  <c r="C620" i="117"/>
  <c r="C527" i="117"/>
  <c r="C433" i="117"/>
  <c r="C341" i="117"/>
  <c r="C92" i="112"/>
  <c r="B38" i="113"/>
  <c r="AA65" i="63"/>
  <c r="D425" i="75"/>
  <c r="D323" i="75"/>
  <c r="D374" i="75"/>
  <c r="D399" i="75"/>
  <c r="D220" i="75"/>
  <c r="D400" i="75"/>
  <c r="D451" i="75"/>
  <c r="D426" i="75"/>
  <c r="D28" i="75"/>
  <c r="D502" i="75"/>
  <c r="D397" i="75"/>
  <c r="D54" i="86"/>
  <c r="D74" i="86"/>
  <c r="D447" i="117"/>
  <c r="D261" i="117"/>
  <c r="D168" i="117"/>
  <c r="D124" i="120"/>
  <c r="D241" i="120"/>
  <c r="C65" i="117"/>
  <c r="C152" i="117"/>
  <c r="C241" i="117"/>
  <c r="C254" i="117"/>
  <c r="C268" i="117"/>
  <c r="C333" i="117"/>
  <c r="C346" i="117"/>
  <c r="C360" i="117"/>
  <c r="C406" i="117"/>
  <c r="C445" i="117" s="1"/>
  <c r="C428" i="117"/>
  <c r="C441" i="117"/>
  <c r="C458" i="117"/>
  <c r="C522" i="117"/>
  <c r="C617" i="117"/>
  <c r="C99" i="75"/>
  <c r="C113" i="75"/>
  <c r="C126" i="75" s="1"/>
  <c r="C180" i="75"/>
  <c r="B193" i="75" a="1"/>
  <c r="C204" i="75"/>
  <c r="D342" i="75"/>
  <c r="D379" i="75"/>
  <c r="D209" i="85"/>
  <c r="C129" i="116" l="1"/>
  <c r="C42" i="116"/>
  <c r="D277" i="75"/>
  <c r="D293" i="75"/>
  <c r="D353" i="75"/>
  <c r="D332" i="75"/>
  <c r="C52" i="75"/>
  <c r="C77" i="75"/>
  <c r="C60" i="75"/>
  <c r="C46" i="75"/>
  <c r="C92" i="75"/>
  <c r="C44" i="95"/>
  <c r="C81" i="95"/>
  <c r="C39" i="95"/>
  <c r="D193" i="85"/>
  <c r="C193" i="85"/>
  <c r="C35" i="95"/>
  <c r="C90" i="95"/>
  <c r="C45" i="95"/>
  <c r="C58" i="95"/>
  <c r="C20" i="95"/>
  <c r="C51" i="95"/>
  <c r="C96" i="95"/>
  <c r="C94" i="95"/>
  <c r="C76" i="95"/>
  <c r="C21" i="95"/>
  <c r="AA61" i="63"/>
  <c r="C19" i="95" s="1"/>
  <c r="U14" i="63"/>
  <c r="U12" i="63"/>
  <c r="U11" i="63"/>
  <c r="D45" i="95" s="1"/>
  <c r="U9" i="63"/>
  <c r="U17" i="63"/>
  <c r="U33" i="63"/>
  <c r="U13" i="63"/>
  <c r="D96" i="95" s="1"/>
  <c r="U10" i="63"/>
  <c r="U8" i="63"/>
  <c r="U16" i="63"/>
  <c r="U21" i="63"/>
  <c r="C187" i="85"/>
  <c r="C233" i="120"/>
  <c r="C47" i="109"/>
  <c r="C73" i="109"/>
  <c r="D289" i="75"/>
  <c r="D299" i="75"/>
  <c r="D263" i="75"/>
  <c r="D274" i="75"/>
  <c r="D314" i="75"/>
  <c r="D247" i="75"/>
  <c r="AA99" i="63"/>
  <c r="J72" i="54"/>
  <c r="I72" i="54"/>
  <c r="H72" i="54"/>
  <c r="C447" i="109"/>
  <c r="C504" i="109"/>
  <c r="C479" i="109"/>
  <c r="C451" i="109"/>
  <c r="C474" i="109"/>
  <c r="C458" i="109"/>
  <c r="C483" i="109"/>
  <c r="F169" i="112"/>
  <c r="F144" i="112"/>
  <c r="E97" i="109"/>
  <c r="E185" i="65"/>
  <c r="C142" i="113"/>
  <c r="C38" i="113"/>
  <c r="C59" i="119"/>
  <c r="C52" i="119"/>
  <c r="C129" i="86"/>
  <c r="C136" i="86"/>
  <c r="B204" i="75"/>
  <c r="B194" i="75"/>
  <c r="B200" i="75"/>
  <c r="B199" i="75"/>
  <c r="B207" i="75"/>
  <c r="B206" i="75"/>
  <c r="B193" i="75"/>
  <c r="B205" i="75"/>
  <c r="B203" i="75"/>
  <c r="B202" i="75"/>
  <c r="B201" i="75"/>
  <c r="B208" i="75"/>
  <c r="B198" i="75"/>
  <c r="B197" i="75"/>
  <c r="B196" i="75"/>
  <c r="B195" i="75"/>
  <c r="B322" i="120"/>
  <c r="B312" i="120"/>
  <c r="B319" i="120"/>
  <c r="B318" i="120"/>
  <c r="B317" i="120"/>
  <c r="B316" i="120"/>
  <c r="B313" i="120"/>
  <c r="B311" i="120"/>
  <c r="B325" i="120"/>
  <c r="B310" i="120"/>
  <c r="B324" i="120"/>
  <c r="B323" i="120"/>
  <c r="B321" i="120"/>
  <c r="B320" i="120"/>
  <c r="B315" i="120"/>
  <c r="B314" i="120"/>
  <c r="C425" i="75"/>
  <c r="C238" i="75"/>
  <c r="C323" i="75"/>
  <c r="C220" i="75"/>
  <c r="C341" i="75"/>
  <c r="C239" i="75"/>
  <c r="C103" i="120"/>
  <c r="C374" i="75"/>
  <c r="AA97" i="63"/>
  <c r="AA98" i="63"/>
  <c r="I71" i="54"/>
  <c r="G71" i="54"/>
  <c r="J71" i="54"/>
  <c r="H71" i="54"/>
  <c r="I316" i="87"/>
  <c r="F142" i="112"/>
  <c r="C39" i="116"/>
  <c r="C126" i="116"/>
  <c r="C524" i="109"/>
  <c r="C352" i="109"/>
  <c r="C549" i="109"/>
  <c r="C263" i="75"/>
  <c r="C163" i="120"/>
  <c r="C136" i="120"/>
  <c r="C197" i="120"/>
  <c r="C124" i="120"/>
  <c r="C178" i="120"/>
  <c r="C112" i="120"/>
  <c r="C184" i="120"/>
  <c r="C130" i="120"/>
  <c r="C155" i="120"/>
  <c r="C204" i="120"/>
  <c r="C142" i="120"/>
  <c r="C406" i="75"/>
  <c r="C381" i="75"/>
  <c r="C30" i="75"/>
  <c r="C457" i="75"/>
  <c r="C15" i="75"/>
  <c r="C432" i="75"/>
  <c r="B110" i="113"/>
  <c r="B106" i="113"/>
  <c r="B115" i="113"/>
  <c r="B104" i="113"/>
  <c r="B107" i="113"/>
  <c r="B116" i="113"/>
  <c r="B102" i="113"/>
  <c r="B101" i="113"/>
  <c r="B114" i="113"/>
  <c r="B113" i="113"/>
  <c r="B112" i="113"/>
  <c r="B111" i="113"/>
  <c r="B109" i="113"/>
  <c r="B108" i="113"/>
  <c r="B105" i="113"/>
  <c r="B103" i="113"/>
  <c r="D292" i="75"/>
  <c r="D352" i="75"/>
  <c r="D276" i="75"/>
  <c r="D331" i="75"/>
  <c r="D210" i="112"/>
  <c r="B129" i="116"/>
  <c r="D538" i="109"/>
  <c r="D528" i="109"/>
  <c r="D532" i="109"/>
  <c r="D534" i="109"/>
  <c r="B190" i="75"/>
  <c r="B180" i="75"/>
  <c r="B183" i="75"/>
  <c r="B182" i="75"/>
  <c r="B181" i="75"/>
  <c r="B179" i="75"/>
  <c r="B178" i="75"/>
  <c r="B191" i="75"/>
  <c r="B177" i="75"/>
  <c r="B189" i="75"/>
  <c r="B188" i="75"/>
  <c r="B176" i="75"/>
  <c r="B187" i="75"/>
  <c r="B186" i="75"/>
  <c r="B185" i="75"/>
  <c r="B184" i="75"/>
  <c r="C234" i="119"/>
  <c r="C245" i="119"/>
  <c r="C289" i="75"/>
  <c r="C122" i="85"/>
  <c r="C106" i="85"/>
  <c r="C140" i="85"/>
  <c r="C133" i="85"/>
  <c r="C65" i="85"/>
  <c r="C188" i="85"/>
  <c r="C149" i="86"/>
  <c r="C92" i="86"/>
  <c r="C87" i="86" a="1"/>
  <c r="C87" i="86" s="1"/>
  <c r="C141" i="86"/>
  <c r="C114" i="86"/>
  <c r="B308" i="120"/>
  <c r="B298" i="120"/>
  <c r="B302" i="120"/>
  <c r="B301" i="120"/>
  <c r="B300" i="120"/>
  <c r="B299" i="120"/>
  <c r="B307" i="120"/>
  <c r="B293" i="120"/>
  <c r="B306" i="120"/>
  <c r="B305" i="120"/>
  <c r="B304" i="120"/>
  <c r="B303" i="120"/>
  <c r="B297" i="120"/>
  <c r="B296" i="120"/>
  <c r="B295" i="120"/>
  <c r="B294" i="120"/>
  <c r="C415" i="120"/>
  <c r="C418" i="120"/>
  <c r="C342" i="75"/>
  <c r="C426" i="75"/>
  <c r="C375" i="75"/>
  <c r="E137" i="112"/>
  <c r="D353" i="65"/>
  <c r="C299" i="75"/>
  <c r="C149" i="113"/>
  <c r="C45" i="113"/>
  <c r="C391" i="108"/>
  <c r="C569" i="108"/>
  <c r="C555" i="108"/>
  <c r="C298" i="75"/>
  <c r="C147" i="75"/>
  <c r="C119" i="75"/>
  <c r="C288" i="75"/>
  <c r="C154" i="75"/>
  <c r="C246" i="75"/>
  <c r="C313" i="75"/>
  <c r="C504" i="75"/>
  <c r="C125" i="75"/>
  <c r="C530" i="75"/>
  <c r="C273" i="75"/>
  <c r="C227" i="75"/>
  <c r="C262" i="75"/>
  <c r="C96" i="119"/>
  <c r="C69" i="119"/>
  <c r="C162" i="119"/>
  <c r="C152" i="119"/>
  <c r="C77" i="119"/>
  <c r="C161" i="119"/>
  <c r="C211" i="119"/>
  <c r="C142" i="119"/>
  <c r="C50" i="119"/>
  <c r="C169" i="119"/>
  <c r="C151" i="119"/>
  <c r="C201" i="119"/>
  <c r="C58" i="119"/>
  <c r="C135" i="86"/>
  <c r="C96" i="86" a="1"/>
  <c r="C96" i="86" s="1"/>
  <c r="C128" i="86"/>
  <c r="D406" i="109"/>
  <c r="D389" i="109"/>
  <c r="D372" i="109"/>
  <c r="D445" i="108"/>
  <c r="D411" i="108"/>
  <c r="D428" i="108"/>
  <c r="C37" i="116"/>
  <c r="C124" i="116"/>
  <c r="C80" i="119"/>
  <c r="C330" i="120"/>
  <c r="C98" i="119"/>
  <c r="C213" i="65" a="1"/>
  <c r="C141" i="115" a="1"/>
  <c r="C44" i="116"/>
  <c r="C131" i="116"/>
  <c r="C353" i="109"/>
  <c r="C550" i="109"/>
  <c r="C536" i="109"/>
  <c r="C534" i="109"/>
  <c r="C89" i="119"/>
  <c r="C110" i="119"/>
  <c r="C339" i="120"/>
  <c r="C247" i="75"/>
  <c r="C148" i="113"/>
  <c r="C44" i="113"/>
  <c r="C549" i="108"/>
  <c r="C387" i="108"/>
  <c r="C563" i="108"/>
  <c r="F45" i="112"/>
  <c r="F20" i="112" a="1"/>
  <c r="F20" i="112" s="1"/>
  <c r="E295" i="65"/>
  <c r="E293" i="65"/>
  <c r="E294" i="65"/>
  <c r="C232" i="119"/>
  <c r="C231" i="119"/>
  <c r="C171" i="119"/>
  <c r="C71" i="119"/>
  <c r="C68" i="95"/>
  <c r="C52" i="95"/>
  <c r="C67" i="95"/>
  <c r="C66" i="95"/>
  <c r="C303" i="75"/>
  <c r="C428" i="75"/>
  <c r="C377" i="75"/>
  <c r="C278" i="75"/>
  <c r="C396" i="120"/>
  <c r="C405" i="120"/>
  <c r="C32" i="113"/>
  <c r="C561" i="108"/>
  <c r="C567" i="108"/>
  <c r="C178" i="108"/>
  <c r="O265" i="87"/>
  <c r="O260" i="87"/>
  <c r="C102" i="119"/>
  <c r="C83" i="119"/>
  <c r="C333" i="120"/>
  <c r="C229" i="119"/>
  <c r="C57" i="119"/>
  <c r="C181" i="119"/>
  <c r="C64" i="119"/>
  <c r="C35" i="119"/>
  <c r="C29" i="119"/>
  <c r="C225" i="75"/>
  <c r="C226" i="75"/>
  <c r="C132" i="75"/>
  <c r="C516" i="75"/>
  <c r="C486" i="75"/>
  <c r="C159" i="75"/>
  <c r="C476" i="75"/>
  <c r="C168" i="75"/>
  <c r="C140" i="75"/>
  <c r="C216" i="75"/>
  <c r="C215" i="75"/>
  <c r="C234" i="75"/>
  <c r="C105" i="85"/>
  <c r="C59" i="85"/>
  <c r="C186" i="85"/>
  <c r="C66" i="85"/>
  <c r="C211" i="85"/>
  <c r="C113" i="85"/>
  <c r="O259" i="87"/>
  <c r="C235" i="75"/>
  <c r="C314" i="75"/>
  <c r="C547" i="108"/>
  <c r="C191" i="85"/>
  <c r="C175" i="85"/>
  <c r="C174" i="85"/>
  <c r="C95" i="86"/>
  <c r="C48" i="86" a="1"/>
  <c r="C48" i="86" s="1"/>
  <c r="C112" i="113"/>
  <c r="C101" i="113"/>
  <c r="C111" i="113"/>
  <c r="C116" i="113"/>
  <c r="C103" i="113"/>
  <c r="C108" i="113"/>
  <c r="C110" i="113"/>
  <c r="C109" i="113"/>
  <c r="C107" i="113"/>
  <c r="C80" i="113"/>
  <c r="C72" i="113"/>
  <c r="C104" i="113"/>
  <c r="C105" i="113"/>
  <c r="C102" i="113"/>
  <c r="C115" i="113"/>
  <c r="C79" i="116"/>
  <c r="C114" i="113"/>
  <c r="C113" i="113"/>
  <c r="C87" i="113"/>
  <c r="D87" i="113" s="1"/>
  <c r="C106" i="113"/>
  <c r="C256" i="108"/>
  <c r="C71" i="113" s="1"/>
  <c r="C241" i="108"/>
  <c r="C231" i="108"/>
  <c r="C265" i="108"/>
  <c r="C239" i="108"/>
  <c r="C227" i="108"/>
  <c r="C274" i="108"/>
  <c r="C89" i="113" s="1"/>
  <c r="C264" i="108"/>
  <c r="C78" i="113" s="1"/>
  <c r="C237" i="108"/>
  <c r="C370" i="108"/>
  <c r="C96" i="113" s="1"/>
  <c r="C273" i="108"/>
  <c r="C88" i="113" s="1"/>
  <c r="C262" i="108"/>
  <c r="C236" i="108"/>
  <c r="C369" i="108"/>
  <c r="C95" i="113" s="1"/>
  <c r="C245" i="108"/>
  <c r="C235" i="108"/>
  <c r="C272" i="108"/>
  <c r="C85" i="113" s="1"/>
  <c r="C244" i="108"/>
  <c r="C234" i="108"/>
  <c r="C266" i="108"/>
  <c r="C243" i="108"/>
  <c r="C242" i="108"/>
  <c r="C240" i="108"/>
  <c r="C233" i="108"/>
  <c r="C258" i="108"/>
  <c r="C74" i="113" s="1"/>
  <c r="C238" i="108"/>
  <c r="C257" i="108"/>
  <c r="C75" i="113" s="1"/>
  <c r="C254" i="108"/>
  <c r="C232" i="108"/>
  <c r="C367" i="108"/>
  <c r="C94" i="113" s="1"/>
  <c r="C230" i="108"/>
  <c r="C270" i="108"/>
  <c r="C366" i="108"/>
  <c r="C92" i="113" s="1"/>
  <c r="C226" i="108"/>
  <c r="C243" i="119"/>
  <c r="C242" i="119"/>
  <c r="C184" i="85"/>
  <c r="C198" i="85"/>
  <c r="C167" i="86"/>
  <c r="C103" i="86" a="1"/>
  <c r="C103" i="86" s="1"/>
  <c r="E138" i="112"/>
  <c r="D360" i="65"/>
  <c r="C430" i="115"/>
  <c r="C426" i="115"/>
  <c r="C608" i="117"/>
  <c r="C580" i="117"/>
  <c r="C568" i="117"/>
  <c r="C511" i="117"/>
  <c r="C493" i="117"/>
  <c r="C483" i="117"/>
  <c r="C467" i="117"/>
  <c r="C412" i="117"/>
  <c r="C396" i="117"/>
  <c r="C386" i="117"/>
  <c r="C299" i="117"/>
  <c r="C283" i="117"/>
  <c r="C228" i="117"/>
  <c r="C212" i="117"/>
  <c r="C202" i="117"/>
  <c r="C143" i="117"/>
  <c r="C115" i="117"/>
  <c r="C103" i="117"/>
  <c r="C46" i="117"/>
  <c r="C28" i="117"/>
  <c r="C18" i="117"/>
  <c r="C553" i="120"/>
  <c r="C536" i="120"/>
  <c r="C526" i="120"/>
  <c r="C654" i="117"/>
  <c r="C607" i="117"/>
  <c r="C577" i="117"/>
  <c r="C560" i="117"/>
  <c r="C514" i="117"/>
  <c r="C484" i="117"/>
  <c r="C465" i="117"/>
  <c r="C401" i="117"/>
  <c r="C390" i="117"/>
  <c r="C372" i="117"/>
  <c r="C328" i="117"/>
  <c r="C298" i="117"/>
  <c r="C281" i="117"/>
  <c r="C236" i="117"/>
  <c r="C206" i="117"/>
  <c r="C189" i="117"/>
  <c r="C142" i="117"/>
  <c r="C112" i="117"/>
  <c r="C95" i="117"/>
  <c r="C49" i="117"/>
  <c r="C19" i="117"/>
  <c r="C653" i="117"/>
  <c r="C587" i="117"/>
  <c r="C576" i="117"/>
  <c r="C558" i="117"/>
  <c r="C494" i="117"/>
  <c r="C482" i="117"/>
  <c r="C420" i="117"/>
  <c r="C400" i="117"/>
  <c r="C389" i="117"/>
  <c r="C327" i="117"/>
  <c r="C308" i="117"/>
  <c r="C297" i="117"/>
  <c r="C279" i="117"/>
  <c r="C655" i="117"/>
  <c r="C599" i="117"/>
  <c r="C581" i="117"/>
  <c r="C561" i="117"/>
  <c r="C503" i="117"/>
  <c r="C486" i="117"/>
  <c r="C388" i="117"/>
  <c r="C295" i="117"/>
  <c r="C205" i="117"/>
  <c r="C186" i="117"/>
  <c r="C135" i="117"/>
  <c r="C118" i="117"/>
  <c r="C104" i="117"/>
  <c r="C50" i="117"/>
  <c r="C17" i="117"/>
  <c r="C561" i="120"/>
  <c r="C550" i="120"/>
  <c r="C530" i="120"/>
  <c r="C521" i="120"/>
  <c r="C512" i="120"/>
  <c r="C651" i="117"/>
  <c r="C598" i="117"/>
  <c r="C579" i="117"/>
  <c r="C485" i="117"/>
  <c r="C387" i="117"/>
  <c r="C329" i="117"/>
  <c r="C307" i="117"/>
  <c r="C294" i="117"/>
  <c r="C204" i="117"/>
  <c r="C134" i="117"/>
  <c r="C117" i="117"/>
  <c r="C29" i="117"/>
  <c r="C16" i="117"/>
  <c r="C510" i="120"/>
  <c r="C596" i="117"/>
  <c r="C578" i="117"/>
  <c r="C481" i="117"/>
  <c r="C422" i="117"/>
  <c r="C399" i="117"/>
  <c r="C383" i="117"/>
  <c r="C325" i="117"/>
  <c r="C306" i="117"/>
  <c r="C293" i="117"/>
  <c r="C235" i="117"/>
  <c r="C215" i="117"/>
  <c r="C203" i="117"/>
  <c r="C133" i="117"/>
  <c r="C116" i="117"/>
  <c r="C97" i="117"/>
  <c r="C48" i="117"/>
  <c r="C27" i="117"/>
  <c r="C15" i="117"/>
  <c r="C560" i="120"/>
  <c r="C538" i="120"/>
  <c r="C529" i="120"/>
  <c r="C520" i="120"/>
  <c r="C575" i="117"/>
  <c r="C480" i="117"/>
  <c r="C421" i="117"/>
  <c r="C398" i="117"/>
  <c r="C382" i="117"/>
  <c r="C305" i="117"/>
  <c r="C290" i="117"/>
  <c r="C214" i="117"/>
  <c r="C201" i="117"/>
  <c r="C131" i="117"/>
  <c r="C114" i="117"/>
  <c r="C96" i="117"/>
  <c r="C26" i="117"/>
  <c r="C14" i="117"/>
  <c r="C558" i="120"/>
  <c r="C518" i="120"/>
  <c r="C574" i="117"/>
  <c r="C515" i="117"/>
  <c r="C492" i="117"/>
  <c r="C479" i="117"/>
  <c r="C418" i="117"/>
  <c r="C397" i="117"/>
  <c r="C321" i="117"/>
  <c r="C304" i="117"/>
  <c r="C289" i="117"/>
  <c r="C234" i="117"/>
  <c r="C213" i="117"/>
  <c r="C200" i="117"/>
  <c r="C113" i="117"/>
  <c r="C93" i="117"/>
  <c r="C42" i="117"/>
  <c r="C25" i="117"/>
  <c r="C11" i="117"/>
  <c r="C546" i="120"/>
  <c r="C537" i="120"/>
  <c r="C528" i="120"/>
  <c r="C586" i="117"/>
  <c r="C573" i="117"/>
  <c r="C513" i="117"/>
  <c r="C491" i="117"/>
  <c r="C476" i="117"/>
  <c r="C395" i="117"/>
  <c r="C376" i="117"/>
  <c r="C320" i="117"/>
  <c r="C604" i="117"/>
  <c r="C569" i="117"/>
  <c r="C414" i="117"/>
  <c r="C374" i="117"/>
  <c r="C301" i="117"/>
  <c r="C197" i="117"/>
  <c r="C111" i="117"/>
  <c r="C22" i="117"/>
  <c r="C554" i="120"/>
  <c r="B28" i="123"/>
  <c r="B24" i="123"/>
  <c r="B20" i="123"/>
  <c r="C490" i="117"/>
  <c r="C413" i="117"/>
  <c r="C300" i="117"/>
  <c r="C227" i="117"/>
  <c r="C196" i="117"/>
  <c r="C141" i="117"/>
  <c r="C110" i="117"/>
  <c r="C21" i="117"/>
  <c r="C600" i="117"/>
  <c r="C562" i="117"/>
  <c r="C489" i="117"/>
  <c r="C410" i="117"/>
  <c r="C296" i="117"/>
  <c r="C226" i="117"/>
  <c r="C139" i="117"/>
  <c r="C109" i="117"/>
  <c r="C41" i="117"/>
  <c r="C20" i="117"/>
  <c r="C552" i="120"/>
  <c r="C522" i="120"/>
  <c r="C488" i="117"/>
  <c r="C319" i="117"/>
  <c r="C224" i="117"/>
  <c r="C190" i="117"/>
  <c r="C108" i="117"/>
  <c r="C40" i="117"/>
  <c r="C10" i="117"/>
  <c r="C487" i="117"/>
  <c r="C317" i="117"/>
  <c r="C282" i="117"/>
  <c r="C188" i="117"/>
  <c r="C107" i="117"/>
  <c r="C38" i="117"/>
  <c r="C534" i="120"/>
  <c r="B43" i="123"/>
  <c r="B30" i="123"/>
  <c r="B26" i="123"/>
  <c r="C585" i="117"/>
  <c r="C475" i="117"/>
  <c r="C394" i="117"/>
  <c r="C211" i="117"/>
  <c r="C584" i="117"/>
  <c r="C393" i="117"/>
  <c r="C210" i="117"/>
  <c r="C122" i="117"/>
  <c r="C562" i="120"/>
  <c r="C545" i="120"/>
  <c r="C514" i="120"/>
  <c r="B33" i="123"/>
  <c r="B22" i="123"/>
  <c r="C583" i="117"/>
  <c r="C507" i="117"/>
  <c r="C469" i="117"/>
  <c r="C392" i="117"/>
  <c r="C209" i="117"/>
  <c r="C121" i="117"/>
  <c r="C544" i="120"/>
  <c r="C582" i="117"/>
  <c r="C506" i="117"/>
  <c r="C468" i="117"/>
  <c r="C391" i="117"/>
  <c r="C303" i="117"/>
  <c r="C208" i="117"/>
  <c r="C120" i="117"/>
  <c r="C24" i="117"/>
  <c r="C542" i="120"/>
  <c r="C513" i="120"/>
  <c r="C606" i="117"/>
  <c r="C572" i="117"/>
  <c r="C505" i="117"/>
  <c r="C375" i="117"/>
  <c r="C302" i="117"/>
  <c r="C232" i="117"/>
  <c r="C207" i="117"/>
  <c r="C119" i="117"/>
  <c r="C23" i="117"/>
  <c r="B32" i="123"/>
  <c r="B27" i="123"/>
  <c r="B23" i="123"/>
  <c r="B45" i="123"/>
  <c r="B36" i="123"/>
  <c r="B31" i="123"/>
  <c r="B21" i="123"/>
  <c r="B40" i="123"/>
  <c r="B44" i="123"/>
  <c r="B39" i="123"/>
  <c r="B35" i="123"/>
  <c r="B25" i="123"/>
  <c r="B47" i="123"/>
  <c r="B29" i="123"/>
  <c r="B38" i="123"/>
  <c r="B42" i="123"/>
  <c r="B46" i="123"/>
  <c r="B41" i="123"/>
  <c r="B37" i="123"/>
  <c r="B34" i="123"/>
  <c r="C274" i="75"/>
  <c r="C189" i="85"/>
  <c r="C165" i="85"/>
  <c r="C164" i="85"/>
  <c r="C192" i="85"/>
  <c r="C190" i="85"/>
  <c r="C234" i="120"/>
  <c r="C452" i="75"/>
  <c r="C427" i="75"/>
  <c r="C401" i="75"/>
  <c r="C86" i="119"/>
  <c r="C106" i="119"/>
  <c r="C336" i="120"/>
  <c r="C130" i="116"/>
  <c r="C43" i="116"/>
  <c r="C544" i="109"/>
  <c r="C530" i="109"/>
  <c r="C348" i="109"/>
  <c r="C528" i="109"/>
  <c r="C522" i="109"/>
  <c r="C75" i="109"/>
  <c r="C49" i="109"/>
  <c r="C43" i="113"/>
  <c r="C147" i="113"/>
  <c r="C80" i="116" l="1"/>
  <c r="C81" i="113"/>
  <c r="C153" i="115"/>
  <c r="C143" i="115"/>
  <c r="C149" i="115"/>
  <c r="C147" i="115"/>
  <c r="C155" i="115"/>
  <c r="C154" i="115"/>
  <c r="C141" i="115"/>
  <c r="C152" i="115"/>
  <c r="C151" i="115"/>
  <c r="C150" i="115"/>
  <c r="C148" i="115"/>
  <c r="C146" i="115"/>
  <c r="C145" i="115"/>
  <c r="C156" i="115"/>
  <c r="C142" i="115"/>
  <c r="C144" i="115"/>
  <c r="C219" i="65"/>
  <c r="C225" i="65"/>
  <c r="C215" i="65"/>
  <c r="C223" i="65"/>
  <c r="C228" i="65"/>
  <c r="C214" i="65"/>
  <c r="C226" i="65"/>
  <c r="C222" i="65"/>
  <c r="C221" i="65"/>
  <c r="C220" i="65"/>
  <c r="C218" i="65"/>
  <c r="C227" i="65"/>
  <c r="C224" i="65"/>
  <c r="C217" i="65"/>
  <c r="C216" i="65"/>
  <c r="C213" i="65"/>
  <c r="F167" i="112"/>
  <c r="F166" i="112"/>
  <c r="H79" i="54"/>
  <c r="M27" i="54"/>
  <c r="L27" i="54"/>
  <c r="K27" i="54"/>
  <c r="I79" i="54"/>
  <c r="G79" i="54"/>
  <c r="J27" i="54" s="1"/>
  <c r="J28" i="54" s="1"/>
  <c r="J79" i="54"/>
  <c r="C81" i="116"/>
  <c r="C82" i="113"/>
  <c r="D39" i="95"/>
  <c r="D76" i="95"/>
  <c r="D51" i="95"/>
  <c r="D94" i="95"/>
  <c r="D81" i="95"/>
  <c r="D58" i="95"/>
  <c r="D90" i="95"/>
  <c r="D44" i="95"/>
  <c r="D35" i="95"/>
  <c r="K28" i="54" l="1"/>
  <c r="R8" i="54" a="1"/>
  <c r="R8" i="54" s="1"/>
  <c r="L28" i="54"/>
  <c r="R16" i="54"/>
  <c r="R15" i="54"/>
  <c r="M28" i="54"/>
  <c r="R17" i="54" l="1"/>
  <c r="R10" i="54"/>
  <c r="R9" i="54"/>
  <c r="R20" i="54" l="1"/>
  <c r="R21" i="54" s="1"/>
  <c r="R18" i="54"/>
  <c r="R19" i="54" s="1"/>
</calcChain>
</file>

<file path=xl/sharedStrings.xml><?xml version="1.0" encoding="utf-8"?>
<sst xmlns="http://schemas.openxmlformats.org/spreadsheetml/2006/main" count="13724" uniqueCount="4030">
  <si>
    <t xml:space="preserve">         VMware Cloud Foundation Management Domain Post-Deployment </t>
  </si>
  <si>
    <t>This page contains all user required values used for associated Post-Config tasks. Each table and value maps directly to a process in the deployment guidance documentation.</t>
  </si>
  <si>
    <t>Configure SFTP Backups for SDDC Manager and NSX</t>
  </si>
  <si>
    <t>Apply Signed Certificates</t>
  </si>
  <si>
    <t>NSX Network Connectivity for the MGMT Workload Domain</t>
  </si>
  <si>
    <t xml:space="preserve">Deploy AVI Loadbalancer </t>
  </si>
  <si>
    <t>vSAN Stretched Cluster</t>
  </si>
  <si>
    <t>NSX Federation for Management Domain</t>
  </si>
  <si>
    <t>Management Domain: Post-Deployment Options</t>
  </si>
  <si>
    <t>Select Option</t>
  </si>
  <si>
    <t>Feature</t>
  </si>
  <si>
    <t>Final Result</t>
  </si>
  <si>
    <t>Information</t>
  </si>
  <si>
    <t>Exclude</t>
  </si>
  <si>
    <t>NSX Network Connectivity for MGMT Workload Domain</t>
  </si>
  <si>
    <t>Configure SFTP Backups for SDDC Manager and NSX {VCF Operations}</t>
  </si>
  <si>
    <t>Configure SFTP Settings</t>
  </si>
  <si>
    <t>Configuration</t>
  </si>
  <si>
    <t>Sample</t>
  </si>
  <si>
    <t>Your Value</t>
  </si>
  <si>
    <t>Notes</t>
  </si>
  <si>
    <t xml:space="preserve">Host FQDN or IP </t>
  </si>
  <si>
    <t>20.10.5.10</t>
  </si>
  <si>
    <t>SFTP server for NSX Backups</t>
  </si>
  <si>
    <t>Port</t>
  </si>
  <si>
    <t>Transfer Protocol</t>
  </si>
  <si>
    <t>SFTP</t>
  </si>
  <si>
    <t>Username</t>
  </si>
  <si>
    <t>svc-vcf-bck</t>
  </si>
  <si>
    <t>Password</t>
  </si>
  <si>
    <t>VMw@re1!</t>
  </si>
  <si>
    <t>Backup Directory</t>
  </si>
  <si>
    <t>/backups/</t>
  </si>
  <si>
    <t>SSH Fingerprint</t>
  </si>
  <si>
    <t>SHA256:JYFI4GSJS3V9BpPzHMX8NDpo3R0sAJvM5QpB0cWs61Y</t>
  </si>
  <si>
    <t>Encryption Passphrase</t>
  </si>
  <si>
    <t xml:space="preserve"> Minimum 8 Characters, 2 Uppercase, 2  Lower, 2 Digits </t>
  </si>
  <si>
    <t>Install Microsoft Certificate Authority Roles</t>
  </si>
  <si>
    <t>FQDN</t>
  </si>
  <si>
    <t>rpl-ad01.rainpole.io</t>
  </si>
  <si>
    <t>User</t>
  </si>
  <si>
    <t>Administrator</t>
  </si>
  <si>
    <t>Configure the Microsoft Certificate Authority for Basic Authentication</t>
  </si>
  <si>
    <t>Your_Server</t>
  </si>
  <si>
    <t>Create and Add a Microsoft Certificate Authority Template</t>
  </si>
  <si>
    <t>CA Server URL</t>
  </si>
  <si>
    <t>User Name</t>
  </si>
  <si>
    <t>Template Name</t>
  </si>
  <si>
    <t>VMware</t>
  </si>
  <si>
    <t>Assign Certificate Management Privileges to the SDDC Manager Service Account</t>
  </si>
  <si>
    <t>Active Directory Account Username</t>
  </si>
  <si>
    <t>svc-vcf-ca</t>
  </si>
  <si>
    <t>Configure a Microsoft Certificate Authority in VCF Operations</t>
  </si>
  <si>
    <t>Certificate Authority</t>
  </si>
  <si>
    <t>Microsoft</t>
  </si>
  <si>
    <t>Installing Microsoft CA-Signed Certificates using VCF Operations</t>
  </si>
  <si>
    <t>Algorithm</t>
  </si>
  <si>
    <t>RSA</t>
  </si>
  <si>
    <t>Organization</t>
  </si>
  <si>
    <t>Rainpole</t>
  </si>
  <si>
    <t>Organizational Unit</t>
  </si>
  <si>
    <t>IT</t>
  </si>
  <si>
    <t>Country</t>
  </si>
  <si>
    <t>US</t>
  </si>
  <si>
    <t>State</t>
  </si>
  <si>
    <t>CA</t>
  </si>
  <si>
    <t>Locality</t>
  </si>
  <si>
    <t>San Francisco</t>
  </si>
  <si>
    <t>Email</t>
  </si>
  <si>
    <t>administrator@rainpole.io</t>
  </si>
  <si>
    <t>Key Size</t>
  </si>
  <si>
    <t>Configure OpenSSL-signed Certificates in VCF Operations</t>
  </si>
  <si>
    <t>OpenSSL</t>
  </si>
  <si>
    <t>Common Name</t>
  </si>
  <si>
    <t>Locality Name</t>
  </si>
  <si>
    <t>Organization Name</t>
  </si>
  <si>
    <t>Organizational Unit Name</t>
  </si>
  <si>
    <t>Installing OpenSSL-signed Certificates using VCF Operations</t>
  </si>
  <si>
    <t>User name</t>
  </si>
  <si>
    <t>VCF</t>
  </si>
  <si>
    <t>NSX Routing for Management  Domain {vCenter}</t>
  </si>
  <si>
    <t>Create an NSX Edge Cluster</t>
  </si>
  <si>
    <t>Gateway Type</t>
  </si>
  <si>
    <t>Centralized Connectivity</t>
  </si>
  <si>
    <t>External Network Connectivity</t>
  </si>
  <si>
    <t>VLAN ID</t>
  </si>
  <si>
    <t>Gateway CIDR IPv4</t>
  </si>
  <si>
    <t>10.11.98.1/24</t>
  </si>
  <si>
    <t>Edge Cluster</t>
  </si>
  <si>
    <t>Edge Cluster Name</t>
  </si>
  <si>
    <t>Tunnel Endpoint MTU</t>
  </si>
  <si>
    <t xml:space="preserve">Is configured as part of the Global Fabric setting </t>
  </si>
  <si>
    <t>Edge Form Factor</t>
  </si>
  <si>
    <t>Medium</t>
  </si>
  <si>
    <t>Edge Node 1</t>
  </si>
  <si>
    <t>Edge Node 1: Edge Node Name (FQDN)</t>
  </si>
  <si>
    <t>vSphere Cluster</t>
  </si>
  <si>
    <t>Values are set based on vSphere Cluster configuration in the Deploy Management Domain Tab. Click to Redirect</t>
  </si>
  <si>
    <t>Resource Pool</t>
  </si>
  <si>
    <t xml:space="preserve">Resource Pool is optional and must be precreated in vCenter Prior to Starting this workflow </t>
  </si>
  <si>
    <t>Host Group Affinity</t>
  </si>
  <si>
    <t>No</t>
  </si>
  <si>
    <t>Host Group</t>
  </si>
  <si>
    <t>Datastore</t>
  </si>
  <si>
    <t>Values are set based on Datastore configuration in the Deploy Management Domain Tab. Click to Redirect</t>
  </si>
  <si>
    <t>IP Allocation</t>
  </si>
  <si>
    <t>Static</t>
  </si>
  <si>
    <t>Port Group</t>
  </si>
  <si>
    <t>Values are set based on VM Management Network configuration in the Deploy Management Domain Tab. Click to Redirect</t>
  </si>
  <si>
    <t>Edge Node 1: Management IP (CIDR)</t>
  </si>
  <si>
    <t>Edge Node 1: Management Gateway</t>
  </si>
  <si>
    <t>Use the host overlay network configuration from the selected vSphere Cluster</t>
  </si>
  <si>
    <t xml:space="preserve">Unselected </t>
  </si>
  <si>
    <t>Edge Node 1 Uplink Mapping</t>
  </si>
  <si>
    <t>fp-eth0</t>
  </si>
  <si>
    <t>Active PNIC</t>
  </si>
  <si>
    <t>Standby PNIC</t>
  </si>
  <si>
    <t>fp-eth1</t>
  </si>
  <si>
    <t>TEP VLAN</t>
  </si>
  <si>
    <t>IP Allocation (TEP)</t>
  </si>
  <si>
    <t>Static IP List</t>
  </si>
  <si>
    <t xml:space="preserve">IP Pool </t>
  </si>
  <si>
    <t>Edge Overlay Pool: Start IP</t>
  </si>
  <si>
    <t>Edge Overlay Pool: End IP</t>
  </si>
  <si>
    <t>IPv4 Static List - Edge Node 1: Edge TEP 1 IP</t>
  </si>
  <si>
    <t>IPv4 Static List - Edge Node 1: Edge TEP 2 IP</t>
  </si>
  <si>
    <t>Static IPv4 Gateway</t>
  </si>
  <si>
    <t>IPv4 Subnet Mask</t>
  </si>
  <si>
    <t>255.255.255.0</t>
  </si>
  <si>
    <t>Edge Node 2</t>
  </si>
  <si>
    <t>Edge Node 2: Edge Node Name (FQDN)</t>
  </si>
  <si>
    <t xml:space="preserve">Value is set based on Host Group Affinity for Edge node 1 </t>
  </si>
  <si>
    <t xml:space="preserve">Value is set based on IP allocation for Edge node 1 </t>
  </si>
  <si>
    <t>Edge Node 2: Management IP (CIDR)</t>
  </si>
  <si>
    <t>Edge Node 2: Management Gateway</t>
  </si>
  <si>
    <t xml:space="preserve">Value is set based on configuration for Edge node 1 </t>
  </si>
  <si>
    <t>Edge Node 2 Uplink Mapping</t>
  </si>
  <si>
    <t>IPv4 Static List - Edge Node 2: Edge TEP 1 IP (CIDR)</t>
  </si>
  <si>
    <t>IPv4 Static List - Edge Node 2: Edge TEP 2 IP (CIDR)</t>
  </si>
  <si>
    <t>Auto generate passwords with VCF to manage Edge node</t>
  </si>
  <si>
    <t>Edge Root Password</t>
  </si>
  <si>
    <t>VMw@re1!VMw@re1!</t>
  </si>
  <si>
    <t>Edge Admin Password</t>
  </si>
  <si>
    <t>Workload Domain Connectivity</t>
  </si>
  <si>
    <t>Skip Gateway and Routing configurations for now</t>
  </si>
  <si>
    <t>Unselected</t>
  </si>
  <si>
    <t>Gateway Name</t>
  </si>
  <si>
    <t>High Availability Mode</t>
  </si>
  <si>
    <t>Active-Active</t>
  </si>
  <si>
    <t>Gateway Routing Type</t>
  </si>
  <si>
    <t>BGP</t>
  </si>
  <si>
    <t>ASN</t>
  </si>
  <si>
    <t>Edge 01 Gateway Uplinks</t>
  </si>
  <si>
    <t xml:space="preserve">First Uplink - Gateway Interface VLAN </t>
  </si>
  <si>
    <t>NSX Edge Uplink 1 VLAN</t>
  </si>
  <si>
    <t xml:space="preserve">Gateway Interface IP </t>
  </si>
  <si>
    <t>Uplink 1 IP Address for Edge Node 1</t>
  </si>
  <si>
    <t xml:space="preserve">BGP Peer IP </t>
  </si>
  <si>
    <t>BFD</t>
  </si>
  <si>
    <t>Selected</t>
  </si>
  <si>
    <t>MTU</t>
  </si>
  <si>
    <t>BGP Peer ASN</t>
  </si>
  <si>
    <t>BGP Peer Password</t>
  </si>
  <si>
    <t xml:space="preserve">Second Uplink - Gateway Interface VLAN </t>
  </si>
  <si>
    <t>NSX Edge Uplink 2 VLAN</t>
  </si>
  <si>
    <t>Uplink 2 IP Address for Edge Node 2</t>
  </si>
  <si>
    <t>Edge 02 Gateway Uplinks</t>
  </si>
  <si>
    <t>Uplink 1 IP Address for Edge Node 2</t>
  </si>
  <si>
    <t>Top of Rack 1 - IP Address</t>
  </si>
  <si>
    <t>Top of Rack 1 - Autonomous System ID</t>
  </si>
  <si>
    <t>Top of Rack 1 - BGP Neighbor Password</t>
  </si>
  <si>
    <t>Top of Rack 2 - IP Address</t>
  </si>
  <si>
    <t>Top of Rack 2 - Autonomous System ID</t>
  </si>
  <si>
    <t>Top of Rack 2 - BGP Neighbor Password</t>
  </si>
  <si>
    <t>VPC Configuration</t>
  </si>
  <si>
    <t>VPC External IP Blocks</t>
  </si>
  <si>
    <t>192.168.21.0/24</t>
  </si>
  <si>
    <t>Provide External IPs to setup external connectivity</t>
  </si>
  <si>
    <t>Private - Transit Gateway IP Blocks</t>
  </si>
  <si>
    <t>172.23.0.0/16</t>
  </si>
  <si>
    <t>Provide Private IPs for VPC configuration</t>
  </si>
  <si>
    <t xml:space="preserve">Additonal Network Information </t>
  </si>
  <si>
    <t>Deploy Edges Using API</t>
  </si>
  <si>
    <t>Include</t>
  </si>
  <si>
    <t>Uplink 1 Network</t>
  </si>
  <si>
    <t>Distributed PortGroup Name</t>
  </si>
  <si>
    <t>System generated PortGroup names are used unless NSX Edges are deployed using API</t>
  </si>
  <si>
    <t>Gateway</t>
  </si>
  <si>
    <t>CIDR Notation</t>
  </si>
  <si>
    <t>Uplink 2 Network</t>
  </si>
  <si>
    <t xml:space="preserve">System generated PortGroup names are used unless NSX Edges are deployed using API </t>
  </si>
  <si>
    <t>Edge Overlay Network</t>
  </si>
  <si>
    <t>AVI Load Balancer  {SDDC}</t>
  </si>
  <si>
    <t>Deploy Advanced Load Balancer</t>
  </si>
  <si>
    <t>Select Version</t>
  </si>
  <si>
    <t>Version</t>
  </si>
  <si>
    <t>31.1.1</t>
  </si>
  <si>
    <t>Form Factor</t>
  </si>
  <si>
    <t>Settings</t>
  </si>
  <si>
    <t>Admin Password</t>
  </si>
  <si>
    <t>Minimum 15 Characters, 1 Uppercase, 1 Special</t>
  </si>
  <si>
    <t>Node 1 IP Address</t>
  </si>
  <si>
    <t>AVI Load Balancer Node A</t>
  </si>
  <si>
    <t>Node 2 IP Address</t>
  </si>
  <si>
    <t>AVI Load Balancer Node B</t>
  </si>
  <si>
    <t>Node 3 IP Address</t>
  </si>
  <si>
    <t>AVI Load Balancer Node C</t>
  </si>
  <si>
    <t>Cluster VIP</t>
  </si>
  <si>
    <t>AVI Load Valancer VIP</t>
  </si>
  <si>
    <t>Cluster FQDN</t>
  </si>
  <si>
    <t>Cluster Name</t>
  </si>
  <si>
    <t xml:space="preserve">vSAN Stretched Cluster </t>
  </si>
  <si>
    <t>Initial Host Configuration</t>
  </si>
  <si>
    <t>ESX Management Network</t>
  </si>
  <si>
    <t>ESX</t>
  </si>
  <si>
    <t>Host 1</t>
  </si>
  <si>
    <t>Management IP (ESX Host 1)</t>
  </si>
  <si>
    <t>Host 2</t>
  </si>
  <si>
    <t>Management IP (ESX Host 2)</t>
  </si>
  <si>
    <t>Host 3</t>
  </si>
  <si>
    <t>Management IP (ESX Host 3)</t>
  </si>
  <si>
    <t>Host 4</t>
  </si>
  <si>
    <t>Management IP (ESX Host 4)</t>
  </si>
  <si>
    <t>Host 5</t>
  </si>
  <si>
    <t>Management IP (ESX Host 5)</t>
  </si>
  <si>
    <t>Host 6</t>
  </si>
  <si>
    <t>Management IP (ESX Host 6)</t>
  </si>
  <si>
    <t>Host 7</t>
  </si>
  <si>
    <t>Management IP (ESX Host 7)</t>
  </si>
  <si>
    <t>Host 8</t>
  </si>
  <si>
    <t>Management IP (ESX Host 8)</t>
  </si>
  <si>
    <t>Host 9</t>
  </si>
  <si>
    <t>Management IP (ESX Host 9)</t>
  </si>
  <si>
    <t>Host 10</t>
  </si>
  <si>
    <t>Management IP (ESX Host 10)</t>
  </si>
  <si>
    <t>Host 11</t>
  </si>
  <si>
    <t>Management IP (ESX Host 11)</t>
  </si>
  <si>
    <t>Host 12</t>
  </si>
  <si>
    <t>Management IP (ESX Host 12)</t>
  </si>
  <si>
    <t>Host 13</t>
  </si>
  <si>
    <t>Management IP (ESX Host 13)</t>
  </si>
  <si>
    <t>Host 14</t>
  </si>
  <si>
    <t>Management IP (ESX Host 14)</t>
  </si>
  <si>
    <t>Host 15</t>
  </si>
  <si>
    <t>Management IP (ESX Host 15)</t>
  </si>
  <si>
    <t>Host 16</t>
  </si>
  <si>
    <t>Management IP (ESX Host 16)</t>
  </si>
  <si>
    <t>Create Network Pool {vCenter}</t>
  </si>
  <si>
    <t xml:space="preserve">VCF Network Pool  Type </t>
  </si>
  <si>
    <t>Create a new VCF Network Pool</t>
  </si>
  <si>
    <t>Network Pool Name</t>
  </si>
  <si>
    <t>vMotion Network</t>
  </si>
  <si>
    <t>Network</t>
  </si>
  <si>
    <t>Subnet Mask</t>
  </si>
  <si>
    <t>Default Gateway</t>
  </si>
  <si>
    <t>IP Range Start:</t>
  </si>
  <si>
    <t>IP Range End:</t>
  </si>
  <si>
    <t>vSAN Network</t>
  </si>
  <si>
    <t>NFS Network</t>
  </si>
  <si>
    <t>Commission Hosts {vCenter}</t>
  </si>
  <si>
    <t xml:space="preserve">Commission Hosts </t>
  </si>
  <si>
    <t>Name</t>
  </si>
  <si>
    <t>Reference Value</t>
  </si>
  <si>
    <t>Description</t>
  </si>
  <si>
    <t>Storage Type</t>
  </si>
  <si>
    <t>vSAN</t>
  </si>
  <si>
    <t xml:space="preserve">vSAN TYPE </t>
  </si>
  <si>
    <t>vSAN HCI</t>
  </si>
  <si>
    <t>vSAN ESA</t>
  </si>
  <si>
    <t>root</t>
  </si>
  <si>
    <t>Deploy and Configure vSAN Witness {vCenter}</t>
  </si>
  <si>
    <t>Management Domain VLAN and IP Subnet Requirements (vSAN Witness Zone)</t>
  </si>
  <si>
    <t>Deploy the vSAN Witness Host</t>
  </si>
  <si>
    <t>vcenter_server_fqdn</t>
  </si>
  <si>
    <t>vCenter Server outside of AZ1 and AZ2 to host the vSAN Witness</t>
  </si>
  <si>
    <t>vcenter_server_ip</t>
  </si>
  <si>
    <t>virtual machine name</t>
  </si>
  <si>
    <t>cluster</t>
  </si>
  <si>
    <t>vSAN Witness</t>
  </si>
  <si>
    <t>vSAN Datastore Name</t>
  </si>
  <si>
    <t>Management Network</t>
  </si>
  <si>
    <t>Secondary Network</t>
  </si>
  <si>
    <t>Root password</t>
  </si>
  <si>
    <t>IP Address</t>
  </si>
  <si>
    <t>vSAN Witness management IP</t>
  </si>
  <si>
    <t>Netmask</t>
  </si>
  <si>
    <t>DNS Domain</t>
  </si>
  <si>
    <t>Witness Hostname</t>
  </si>
  <si>
    <t>DNS Servers #1</t>
  </si>
  <si>
    <t>First DNS Server to assign to Witness Components</t>
  </si>
  <si>
    <t>DNS Servers #2</t>
  </si>
  <si>
    <t>Second DNS Server to assign to Witness Components. Should be in a different fault domain to DNS Server 1</t>
  </si>
  <si>
    <t>NTP Servers #1</t>
  </si>
  <si>
    <t>NTP Servers #2</t>
  </si>
  <si>
    <t>Register vSAN Witness Host</t>
  </si>
  <si>
    <t>data center</t>
  </si>
  <si>
    <t>vsan_witness_root_password</t>
  </si>
  <si>
    <t>Configure NTP on the Witness Host</t>
  </si>
  <si>
    <t>vSAN Witness Host</t>
  </si>
  <si>
    <t>NTP Servers</t>
  </si>
  <si>
    <t>Configure the VMkernel Adapters on the vSAN Witness Host</t>
  </si>
  <si>
    <t>Datacenter</t>
  </si>
  <si>
    <t>Hostname</t>
  </si>
  <si>
    <t>Stretch a vSAN cluster using the SDDC Manager API</t>
  </si>
  <si>
    <t>Stretch a Cluster</t>
  </si>
  <si>
    <t>64d34a69-104d-443e-bd92-d949e278da83</t>
  </si>
  <si>
    <t>&lt;ESX host 1 ID&gt;</t>
  </si>
  <si>
    <t>61ae8e47-7dee-420b-83b2-b4136af0aef6</t>
  </si>
  <si>
    <t>&lt;ESX host 2 ID&gt;</t>
  </si>
  <si>
    <t>785d7869-018a-4185-b08e-f168236adc11</t>
  </si>
  <si>
    <t>&lt;ESX host 3 ID&gt;</t>
  </si>
  <si>
    <t>eafaa6a2-a673-4dee-9cd8-8d1f4d33065d</t>
  </si>
  <si>
    <t>&lt;ESX host 4 ID&gt;</t>
  </si>
  <si>
    <t>50c63ea6-1315-4dcd-80e1-4f3e4980c193</t>
  </si>
  <si>
    <t>&lt;ESX host 5 ID&gt;</t>
  </si>
  <si>
    <t>04749811-67dd-4d6b-b60c-b1c2b0a63597</t>
  </si>
  <si>
    <t>&lt;ESX host 6 ID&gt;</t>
  </si>
  <si>
    <t>74b8959c-e258-43b7-8427-80eaa66a650e</t>
  </si>
  <si>
    <t>&lt;ESX host 7 ID&gt;</t>
  </si>
  <si>
    <t>d39235c9-7990-44f8-8c84-a720e69ed735</t>
  </si>
  <si>
    <t>&lt;ESX host 8 ID&gt;</t>
  </si>
  <si>
    <t>f10cdad4-934e-4dcf-8fd6-22f5effb10db</t>
  </si>
  <si>
    <t>&lt;ESX host 9  ID&gt;</t>
  </si>
  <si>
    <t>091218b0-0f2a-4e98-9324-2e5faa5074fd</t>
  </si>
  <si>
    <t>&lt;ESX host 10 ID&gt;</t>
  </si>
  <si>
    <t>8a8e743d-18d2-4c47-9f9c-bf3ae325cf23</t>
  </si>
  <si>
    <t>&lt;ESX host 11 ID&gt;</t>
  </si>
  <si>
    <t>3c76963e-a2a3-41f0-9d16-e8c1f3bee02a</t>
  </si>
  <si>
    <t>&lt;ESX host 12 ID&gt;</t>
  </si>
  <si>
    <t>aa3cae6a-9ec4-40aa-8fb0-07ce69c8280d</t>
  </si>
  <si>
    <t>&lt;ESX host 13 ID&gt;</t>
  </si>
  <si>
    <t>853da4cc-c508-4394-8fc8-bf792335f623</t>
  </si>
  <si>
    <t>&lt;ESX host 14 ID&gt;</t>
  </si>
  <si>
    <t>c451d185-550a-4c1d-8bc0-0d6e34bf8a73</t>
  </si>
  <si>
    <t>&lt;ESX host 15 ID&gt;</t>
  </si>
  <si>
    <t>9acfd9fd-493d-4576-8652-45809d626663</t>
  </si>
  <si>
    <t>&lt;ESX host 16 ID&gt;</t>
  </si>
  <si>
    <t>NSX Host Overlay Network Profile Name</t>
  </si>
  <si>
    <t>NSX Host Overlay Static IP Pool Type</t>
  </si>
  <si>
    <t>Create New Static IP Pool</t>
  </si>
  <si>
    <t>NSX Host Overlay Network Pool Name</t>
  </si>
  <si>
    <t xml:space="preserve">NSX Host Overlay Uplink Profile Name </t>
  </si>
  <si>
    <t>AZ2 Host Overlay VLAN ID</t>
  </si>
  <si>
    <t>AZ2 Host Overlay Default Gateway</t>
  </si>
  <si>
    <t>AZ2 Host Overlay CIDR Notation</t>
  </si>
  <si>
    <t xml:space="preserve">AZ2 Host Overlay MTU </t>
  </si>
  <si>
    <t>Witness FQDN</t>
  </si>
  <si>
    <t>Witness Subnet</t>
  </si>
  <si>
    <t>vsanIp</t>
  </si>
  <si>
    <t>Witness IP Address</t>
  </si>
  <si>
    <t>vsanCidr</t>
  </si>
  <si>
    <t>Management Cluster SDDC ID</t>
  </si>
  <si>
    <t>b39f8008-6db0-4f13-82de-c46ccfd03c49</t>
  </si>
  <si>
    <t>id (cluster)</t>
  </si>
  <si>
    <t>NSX Configuration for Availability Zone 2</t>
  </si>
  <si>
    <t>Configure IP Prefixes in the Tier-0 Gateway for Availability Zone 2</t>
  </si>
  <si>
    <t>&lt;nsx_manager_fqdn&gt;</t>
  </si>
  <si>
    <t>Configure Route Maps in the Tier-0 Gateway for Availability Zone 2</t>
  </si>
  <si>
    <t>bgp_asn</t>
  </si>
  <si>
    <t>Configure BGP in the Tier-0 Gateway for Availability Zone 2</t>
  </si>
  <si>
    <t>ip_bgp_neighbor1</t>
  </si>
  <si>
    <t>asn_bgp_neighbor1</t>
  </si>
  <si>
    <t>1st Source Address</t>
  </si>
  <si>
    <t>2nd Source Address</t>
  </si>
  <si>
    <t>bgp_password</t>
  </si>
  <si>
    <t>ip_bgp_neighbor2</t>
  </si>
  <si>
    <t>asn_bgp_neighbor2</t>
  </si>
  <si>
    <t>Deploy the Global Manager Appliances</t>
  </si>
  <si>
    <t>&lt;vcenter_server_fqdn&gt;</t>
  </si>
  <si>
    <t>NSX Global Manager #1</t>
  </si>
  <si>
    <r>
      <t>Virtual Machine Name</t>
    </r>
    <r>
      <rPr>
        <i/>
        <sz val="12"/>
        <color theme="1"/>
        <rFont val="Arial"/>
        <family val="2"/>
      </rPr>
      <t xml:space="preserve"> (Node 1)</t>
    </r>
  </si>
  <si>
    <r>
      <t xml:space="preserve">Location </t>
    </r>
    <r>
      <rPr>
        <i/>
        <sz val="12"/>
        <color theme="1"/>
        <rFont val="Arial"/>
        <family val="2"/>
      </rPr>
      <t>(Node 1)</t>
    </r>
  </si>
  <si>
    <r>
      <t>Compute Resource</t>
    </r>
    <r>
      <rPr>
        <i/>
        <sz val="12"/>
        <color theme="1"/>
        <rFont val="Arial"/>
        <family val="2"/>
      </rPr>
      <t xml:space="preserve"> (Node 1)</t>
    </r>
  </si>
  <si>
    <r>
      <t>Deployment configuration size</t>
    </r>
    <r>
      <rPr>
        <i/>
        <sz val="12"/>
        <color theme="1"/>
        <rFont val="Arial"/>
        <family val="2"/>
      </rPr>
      <t xml:space="preserve"> (Node 1)</t>
    </r>
  </si>
  <si>
    <r>
      <t>Datastore</t>
    </r>
    <r>
      <rPr>
        <i/>
        <sz val="12"/>
        <color theme="1"/>
        <rFont val="Arial"/>
        <family val="2"/>
      </rPr>
      <t xml:space="preserve"> (Node 1)</t>
    </r>
  </si>
  <si>
    <r>
      <t>Network 1 (Management Network</t>
    </r>
    <r>
      <rPr>
        <i/>
        <sz val="12"/>
        <color theme="1"/>
        <rFont val="Arial"/>
        <family val="2"/>
      </rPr>
      <t>) (Node 1)</t>
    </r>
  </si>
  <si>
    <r>
      <t xml:space="preserve">System Root User Password </t>
    </r>
    <r>
      <rPr>
        <i/>
        <sz val="12"/>
        <color theme="1"/>
        <rFont val="Arial"/>
        <family val="2"/>
      </rPr>
      <t>(Node 1)</t>
    </r>
  </si>
  <si>
    <r>
      <t>CLI "admin" User Password</t>
    </r>
    <r>
      <rPr>
        <i/>
        <sz val="12"/>
        <color theme="1"/>
        <rFont val="Arial"/>
        <family val="2"/>
      </rPr>
      <t xml:space="preserve"> (Node 1)</t>
    </r>
  </si>
  <si>
    <r>
      <t xml:space="preserve">CLI "audit" User Password </t>
    </r>
    <r>
      <rPr>
        <i/>
        <sz val="12"/>
        <color theme="1"/>
        <rFont val="Arial"/>
        <family val="2"/>
      </rPr>
      <t>(Node 1)</t>
    </r>
  </si>
  <si>
    <r>
      <t xml:space="preserve">Hostname (FQDN) </t>
    </r>
    <r>
      <rPr>
        <i/>
        <sz val="12"/>
        <color theme="1"/>
        <rFont val="Arial"/>
        <family val="2"/>
      </rPr>
      <t>(Node 1)</t>
    </r>
  </si>
  <si>
    <t xml:space="preserve"> During OVA deployment FQDN is required. </t>
  </si>
  <si>
    <r>
      <t xml:space="preserve">Management Network IPv4 Address </t>
    </r>
    <r>
      <rPr>
        <i/>
        <sz val="12"/>
        <color theme="1"/>
        <rFont val="Arial"/>
        <family val="2"/>
      </rPr>
      <t>(Node 1)</t>
    </r>
  </si>
  <si>
    <r>
      <t xml:space="preserve">Management Network Netmask </t>
    </r>
    <r>
      <rPr>
        <i/>
        <sz val="12"/>
        <color theme="1"/>
        <rFont val="Arial"/>
        <family val="2"/>
      </rPr>
      <t>(Node 1)</t>
    </r>
  </si>
  <si>
    <r>
      <t>Default IPv4 Gateway</t>
    </r>
    <r>
      <rPr>
        <i/>
        <sz val="12"/>
        <color theme="1"/>
        <rFont val="Arial"/>
        <family val="2"/>
      </rPr>
      <t xml:space="preserve"> (Node 1)</t>
    </r>
  </si>
  <si>
    <r>
      <t xml:space="preserve">DNS Server list </t>
    </r>
    <r>
      <rPr>
        <i/>
        <sz val="12"/>
        <color theme="1"/>
        <rFont val="Arial"/>
        <family val="2"/>
      </rPr>
      <t>(Node 1)</t>
    </r>
  </si>
  <si>
    <r>
      <t>Domain Search List</t>
    </r>
    <r>
      <rPr>
        <i/>
        <sz val="12"/>
        <color theme="1"/>
        <rFont val="Arial"/>
        <family val="2"/>
      </rPr>
      <t xml:space="preserve"> (Node 1)</t>
    </r>
  </si>
  <si>
    <r>
      <t>NTP Server List</t>
    </r>
    <r>
      <rPr>
        <i/>
        <sz val="12"/>
        <color theme="1"/>
        <rFont val="Arial"/>
        <family val="2"/>
      </rPr>
      <t xml:space="preserve"> (Node 1)</t>
    </r>
  </si>
  <si>
    <t>NSX Global Manager #2</t>
  </si>
  <si>
    <r>
      <t>Virtual Machine Name</t>
    </r>
    <r>
      <rPr>
        <i/>
        <sz val="12"/>
        <color theme="1"/>
        <rFont val="Arial"/>
        <family val="2"/>
      </rPr>
      <t xml:space="preserve"> (Node 2)</t>
    </r>
  </si>
  <si>
    <r>
      <t xml:space="preserve">Location </t>
    </r>
    <r>
      <rPr>
        <i/>
        <sz val="12"/>
        <color theme="1"/>
        <rFont val="Arial"/>
        <family val="2"/>
      </rPr>
      <t>(Node 2)</t>
    </r>
  </si>
  <si>
    <r>
      <t>Compute Resource</t>
    </r>
    <r>
      <rPr>
        <i/>
        <sz val="12"/>
        <color theme="1"/>
        <rFont val="Arial"/>
        <family val="2"/>
      </rPr>
      <t xml:space="preserve"> (Node 2)</t>
    </r>
  </si>
  <si>
    <r>
      <t>Deployment configuration size</t>
    </r>
    <r>
      <rPr>
        <i/>
        <sz val="12"/>
        <color theme="1"/>
        <rFont val="Arial"/>
        <family val="2"/>
      </rPr>
      <t xml:space="preserve"> (Node 2)</t>
    </r>
  </si>
  <si>
    <r>
      <t>Datastore</t>
    </r>
    <r>
      <rPr>
        <i/>
        <sz val="12"/>
        <color theme="1"/>
        <rFont val="Arial"/>
        <family val="2"/>
      </rPr>
      <t xml:space="preserve"> (Node 2)</t>
    </r>
  </si>
  <si>
    <r>
      <t>Network 1 (Management Network</t>
    </r>
    <r>
      <rPr>
        <i/>
        <sz val="12"/>
        <color theme="1"/>
        <rFont val="Arial"/>
        <family val="2"/>
      </rPr>
      <t>) (Node 2)</t>
    </r>
  </si>
  <si>
    <r>
      <t xml:space="preserve">System Root User Password </t>
    </r>
    <r>
      <rPr>
        <i/>
        <sz val="12"/>
        <color theme="1"/>
        <rFont val="Arial"/>
        <family val="2"/>
      </rPr>
      <t>(Node 2)</t>
    </r>
  </si>
  <si>
    <r>
      <t>CLI "admin" User Password</t>
    </r>
    <r>
      <rPr>
        <i/>
        <sz val="12"/>
        <color theme="1"/>
        <rFont val="Arial"/>
        <family val="2"/>
      </rPr>
      <t xml:space="preserve"> (Node 2)</t>
    </r>
  </si>
  <si>
    <r>
      <t xml:space="preserve">CLI "audit" User Password </t>
    </r>
    <r>
      <rPr>
        <i/>
        <sz val="12"/>
        <color theme="1"/>
        <rFont val="Arial"/>
        <family val="2"/>
      </rPr>
      <t>(Node 2)</t>
    </r>
  </si>
  <si>
    <r>
      <t xml:space="preserve">Hostname (FQDN) </t>
    </r>
    <r>
      <rPr>
        <i/>
        <sz val="12"/>
        <color theme="1"/>
        <rFont val="Arial"/>
        <family val="2"/>
      </rPr>
      <t>(Node 2)</t>
    </r>
  </si>
  <si>
    <r>
      <t xml:space="preserve">Management Network IPv4 Address </t>
    </r>
    <r>
      <rPr>
        <i/>
        <sz val="12"/>
        <color theme="1"/>
        <rFont val="Arial"/>
        <family val="2"/>
      </rPr>
      <t>(Node 2)</t>
    </r>
  </si>
  <si>
    <r>
      <t xml:space="preserve">Management Network Netmask </t>
    </r>
    <r>
      <rPr>
        <i/>
        <sz val="12"/>
        <color theme="1"/>
        <rFont val="Arial"/>
        <family val="2"/>
      </rPr>
      <t>(Node 2)</t>
    </r>
  </si>
  <si>
    <r>
      <t>Default IPv4 Gateway</t>
    </r>
    <r>
      <rPr>
        <i/>
        <sz val="12"/>
        <color theme="1"/>
        <rFont val="Arial"/>
        <family val="2"/>
      </rPr>
      <t xml:space="preserve"> (Node 2)</t>
    </r>
  </si>
  <si>
    <r>
      <t xml:space="preserve">DNS Server list </t>
    </r>
    <r>
      <rPr>
        <i/>
        <sz val="12"/>
        <color theme="1"/>
        <rFont val="Arial"/>
        <family val="2"/>
      </rPr>
      <t>(Node 2)</t>
    </r>
  </si>
  <si>
    <r>
      <t>Domain Search List</t>
    </r>
    <r>
      <rPr>
        <i/>
        <sz val="12"/>
        <color theme="1"/>
        <rFont val="Arial"/>
        <family val="2"/>
      </rPr>
      <t xml:space="preserve"> (Node 2)</t>
    </r>
  </si>
  <si>
    <r>
      <t>NTP Server List</t>
    </r>
    <r>
      <rPr>
        <i/>
        <sz val="12"/>
        <color theme="1"/>
        <rFont val="Arial"/>
        <family val="2"/>
      </rPr>
      <t xml:space="preserve"> (Node 2)</t>
    </r>
  </si>
  <si>
    <t>NSX Global Manager #3</t>
  </si>
  <si>
    <r>
      <t>Virtual Machine Name</t>
    </r>
    <r>
      <rPr>
        <i/>
        <sz val="12"/>
        <color theme="1"/>
        <rFont val="Arial"/>
        <family val="2"/>
      </rPr>
      <t xml:space="preserve"> (Node 3)</t>
    </r>
  </si>
  <si>
    <r>
      <t xml:space="preserve">Location </t>
    </r>
    <r>
      <rPr>
        <i/>
        <sz val="12"/>
        <color theme="1"/>
        <rFont val="Arial"/>
        <family val="2"/>
      </rPr>
      <t>(Node 3)</t>
    </r>
  </si>
  <si>
    <r>
      <t>Compute Resource</t>
    </r>
    <r>
      <rPr>
        <i/>
        <sz val="12"/>
        <color theme="1"/>
        <rFont val="Arial"/>
        <family val="2"/>
      </rPr>
      <t xml:space="preserve"> (Node 3)</t>
    </r>
  </si>
  <si>
    <r>
      <t>Deployment configuration size</t>
    </r>
    <r>
      <rPr>
        <i/>
        <sz val="12"/>
        <color theme="1"/>
        <rFont val="Arial"/>
        <family val="2"/>
      </rPr>
      <t xml:space="preserve"> (Node 3)</t>
    </r>
  </si>
  <si>
    <r>
      <t>Datastore</t>
    </r>
    <r>
      <rPr>
        <i/>
        <sz val="12"/>
        <color theme="1"/>
        <rFont val="Arial"/>
        <family val="2"/>
      </rPr>
      <t xml:space="preserve"> (Node 3)</t>
    </r>
  </si>
  <si>
    <r>
      <t>Network 1 (Management Network</t>
    </r>
    <r>
      <rPr>
        <i/>
        <sz val="12"/>
        <color theme="1"/>
        <rFont val="Arial"/>
        <family val="2"/>
      </rPr>
      <t>) (Node 3)</t>
    </r>
  </si>
  <si>
    <r>
      <t xml:space="preserve">System Root User Password </t>
    </r>
    <r>
      <rPr>
        <i/>
        <sz val="12"/>
        <color theme="1"/>
        <rFont val="Arial"/>
        <family val="2"/>
      </rPr>
      <t>(Node 3)</t>
    </r>
  </si>
  <si>
    <r>
      <t>CLI "admin" User Password</t>
    </r>
    <r>
      <rPr>
        <i/>
        <sz val="12"/>
        <color theme="1"/>
        <rFont val="Arial"/>
        <family val="2"/>
      </rPr>
      <t xml:space="preserve"> (Node 3)</t>
    </r>
  </si>
  <si>
    <r>
      <t xml:space="preserve">CLI "audit" User Password </t>
    </r>
    <r>
      <rPr>
        <i/>
        <sz val="12"/>
        <color theme="1"/>
        <rFont val="Arial"/>
        <family val="2"/>
      </rPr>
      <t>(Node 3)</t>
    </r>
  </si>
  <si>
    <r>
      <t xml:space="preserve">Hostname (FQDN) </t>
    </r>
    <r>
      <rPr>
        <i/>
        <sz val="12"/>
        <color theme="1"/>
        <rFont val="Arial"/>
        <family val="2"/>
      </rPr>
      <t>(Node 3)</t>
    </r>
  </si>
  <si>
    <r>
      <t xml:space="preserve">Management Network IPv4 Address </t>
    </r>
    <r>
      <rPr>
        <i/>
        <sz val="12"/>
        <color theme="1"/>
        <rFont val="Arial"/>
        <family val="2"/>
      </rPr>
      <t>(Node 3)</t>
    </r>
  </si>
  <si>
    <r>
      <t xml:space="preserve">Management Network Netmask </t>
    </r>
    <r>
      <rPr>
        <i/>
        <sz val="12"/>
        <color theme="1"/>
        <rFont val="Arial"/>
        <family val="2"/>
      </rPr>
      <t>(Node 3)</t>
    </r>
  </si>
  <si>
    <r>
      <t>Default IPv4 Gateway</t>
    </r>
    <r>
      <rPr>
        <i/>
        <sz val="12"/>
        <color theme="1"/>
        <rFont val="Arial"/>
        <family val="2"/>
      </rPr>
      <t xml:space="preserve"> (Node 3)</t>
    </r>
  </si>
  <si>
    <r>
      <t xml:space="preserve">DNS Server list </t>
    </r>
    <r>
      <rPr>
        <i/>
        <sz val="12"/>
        <color theme="1"/>
        <rFont val="Arial"/>
        <family val="2"/>
      </rPr>
      <t>(Node 3)</t>
    </r>
  </si>
  <si>
    <r>
      <t>Domain Search List</t>
    </r>
    <r>
      <rPr>
        <i/>
        <sz val="12"/>
        <color theme="1"/>
        <rFont val="Arial"/>
        <family val="2"/>
      </rPr>
      <t xml:space="preserve"> (Node 3)</t>
    </r>
  </si>
  <si>
    <r>
      <t>NTP Server List</t>
    </r>
    <r>
      <rPr>
        <i/>
        <sz val="12"/>
        <color theme="1"/>
        <rFont val="Arial"/>
        <family val="2"/>
      </rPr>
      <t xml:space="preserve"> (Node 3)</t>
    </r>
  </si>
  <si>
    <t xml:space="preserve">&lt;gm_node1_fqdn&gt; </t>
  </si>
  <si>
    <t>Join Global Manager Nodes to Form a Cluster</t>
  </si>
  <si>
    <t>NSX Global Manager Cluster ID</t>
  </si>
  <si>
    <t>ca3bd7dc-aa06-4f2d-a9e1-0c4999354c9b</t>
  </si>
  <si>
    <t>NSX Global Manager Cluster API Thumbprint</t>
  </si>
  <si>
    <t>c7a6264cd8f74033e851944a205110afdeb046386af42ce47240939c417acb93</t>
  </si>
  <si>
    <r>
      <t xml:space="preserve">FQDN </t>
    </r>
    <r>
      <rPr>
        <i/>
        <sz val="12"/>
        <color rgb="FF000000"/>
        <rFont val="Arial"/>
        <family val="2"/>
      </rPr>
      <t>(Node 2)</t>
    </r>
  </si>
  <si>
    <r>
      <t>first_node_IP</t>
    </r>
    <r>
      <rPr>
        <i/>
        <sz val="12"/>
        <color rgb="FF000000"/>
        <rFont val="Arial"/>
        <family val="2"/>
      </rPr>
      <t xml:space="preserve"> (Node 2)</t>
    </r>
  </si>
  <si>
    <r>
      <t>cluster_ID</t>
    </r>
    <r>
      <rPr>
        <i/>
        <sz val="12"/>
        <color rgb="FF000000"/>
        <rFont val="Arial"/>
        <family val="2"/>
      </rPr>
      <t xml:space="preserve"> (Node 2)</t>
    </r>
  </si>
  <si>
    <r>
      <t>username</t>
    </r>
    <r>
      <rPr>
        <i/>
        <sz val="12"/>
        <color rgb="FF000000"/>
        <rFont val="Arial"/>
        <family val="2"/>
      </rPr>
      <t xml:space="preserve"> (Node 2)</t>
    </r>
  </si>
  <si>
    <t>admin</t>
  </si>
  <si>
    <r>
      <t>nsx_admin_password</t>
    </r>
    <r>
      <rPr>
        <i/>
        <sz val="12"/>
        <color rgb="FF000000"/>
        <rFont val="Arial"/>
        <family val="2"/>
      </rPr>
      <t xml:space="preserve"> (Node 2)</t>
    </r>
  </si>
  <si>
    <r>
      <t>api_thumbprint</t>
    </r>
    <r>
      <rPr>
        <i/>
        <sz val="12"/>
        <color rgb="FF000000"/>
        <rFont val="Arial"/>
        <family val="2"/>
      </rPr>
      <t xml:space="preserve"> (Node 2)</t>
    </r>
  </si>
  <si>
    <r>
      <t xml:space="preserve">FQDN </t>
    </r>
    <r>
      <rPr>
        <i/>
        <sz val="12"/>
        <color rgb="FF000000"/>
        <rFont val="Arial"/>
        <family val="2"/>
      </rPr>
      <t>(Node 3)</t>
    </r>
  </si>
  <si>
    <r>
      <t xml:space="preserve">first_node_IP </t>
    </r>
    <r>
      <rPr>
        <i/>
        <sz val="12"/>
        <color rgb="FF000000"/>
        <rFont val="Arial"/>
        <family val="2"/>
      </rPr>
      <t xml:space="preserve"> (Node 3)</t>
    </r>
  </si>
  <si>
    <r>
      <t>cluster_ID</t>
    </r>
    <r>
      <rPr>
        <i/>
        <sz val="12"/>
        <color rgb="FF000000"/>
        <rFont val="Arial"/>
        <family val="2"/>
      </rPr>
      <t xml:space="preserve"> (Node 3)</t>
    </r>
  </si>
  <si>
    <r>
      <t>username</t>
    </r>
    <r>
      <rPr>
        <i/>
        <sz val="12"/>
        <color rgb="FF000000"/>
        <rFont val="Arial"/>
        <family val="2"/>
      </rPr>
      <t xml:space="preserve"> (Node 3)</t>
    </r>
  </si>
  <si>
    <r>
      <t>nsx_admin_password</t>
    </r>
    <r>
      <rPr>
        <i/>
        <sz val="12"/>
        <color rgb="FF000000"/>
        <rFont val="Arial"/>
        <family val="2"/>
      </rPr>
      <t xml:space="preserve"> (Node 3)</t>
    </r>
  </si>
  <si>
    <r>
      <t>api_thumbprint</t>
    </r>
    <r>
      <rPr>
        <i/>
        <sz val="12"/>
        <color rgb="FF000000"/>
        <rFont val="Arial"/>
        <family val="2"/>
      </rPr>
      <t xml:space="preserve"> (Node 3)</t>
    </r>
  </si>
  <si>
    <t>Create Anti-Affinity Rule for Global Manager Cluster</t>
  </si>
  <si>
    <t>Member 1</t>
  </si>
  <si>
    <t>Member 2</t>
  </si>
  <si>
    <t>Member 3</t>
  </si>
  <si>
    <t>Assign a Virtual IP Address to the Global Manager Cluster</t>
  </si>
  <si>
    <t>&lt;gm_node1_fqdn&gt;</t>
  </si>
  <si>
    <t>VIP address</t>
  </si>
  <si>
    <t>&lt;gm_vip_fqdn&gt;</t>
  </si>
  <si>
    <t>Import a CA-Signed Certificates to the NSX Global Manager Cluster</t>
  </si>
  <si>
    <t>Replace the Certificate for the First NSX Global Manager Node</t>
  </si>
  <si>
    <t>Certificate ID</t>
  </si>
  <si>
    <t>a900065b-aeb5-457e-aca6-4612b17d06d9</t>
  </si>
  <si>
    <t>gm_vip_fqdn_certificate_ID</t>
  </si>
  <si>
    <t>Replace the Certificates for the Remaining NSX Global Manager Nodes and Virtual IP</t>
  </si>
  <si>
    <t>&lt;gm_node2_fqdn&gt;</t>
  </si>
  <si>
    <t>&lt;gm_node3_fqdn&gt;</t>
  </si>
  <si>
    <t>Prepare Local Manager for NSX Federation</t>
  </si>
  <si>
    <t>&lt;lm_vip_fqdn&gt;</t>
  </si>
  <si>
    <t>IP Ranges: IP Ranges/Block - Start</t>
  </si>
  <si>
    <t xml:space="preserve">IP Ranges: IP Ranges/Block - End </t>
  </si>
  <si>
    <t>CIDR</t>
  </si>
  <si>
    <t>Gateway IP</t>
  </si>
  <si>
    <t>Set Active Global Manager</t>
  </si>
  <si>
    <t>&lt;nsx_gm_vip_fqdn&gt;</t>
  </si>
  <si>
    <t>Name for Local Manager</t>
  </si>
  <si>
    <t>Set Standby Global Manager</t>
  </si>
  <si>
    <t>&lt;standby_gm_vip_fqdn&gt;</t>
  </si>
  <si>
    <t>SHA-256 Thumbprint</t>
  </si>
  <si>
    <t>0d472de0d92da89f2b469d4d10ab23505ad4edb90cd7e68f84497008f6c89ff1</t>
  </si>
  <si>
    <t>&lt;active_gm_vip_fqdn&gt;</t>
  </si>
  <si>
    <t>Global Manager Name</t>
  </si>
  <si>
    <t>FQDN/IP</t>
  </si>
  <si>
    <t>Add Location to Global Manager</t>
  </si>
  <si>
    <t>676edbc9b8c639d9311aaea32a357c7c81226856ad4f8c73a68dd760652d6b5d</t>
  </si>
  <si>
    <t>Location Name</t>
  </si>
  <si>
    <t>Edge Switch Name</t>
  </si>
  <si>
    <t>nsxDefaultHostSwitch</t>
  </si>
  <si>
    <t>RTEP VLAN</t>
  </si>
  <si>
    <t>IP Pool for all Nodes</t>
  </si>
  <si>
    <t>Create and Configure Cross-Instance Tier-1 Gateway</t>
  </si>
  <si>
    <t>Tier-1 Gateway Name</t>
  </si>
  <si>
    <t>Linked Tier-0 Gateway</t>
  </si>
  <si>
    <t>Location</t>
  </si>
  <si>
    <t>Connect Cross-Instance Segments to Cross-Instance Tier-1 Gateway</t>
  </si>
  <si>
    <t>&lt;cross-instance_nsx_segment&gt;</t>
  </si>
  <si>
    <t>&lt;cross-instance_tier1&gt;</t>
  </si>
  <si>
    <t>Connect Additional VCF Instances to Cross-Instance Tier-0 Gateway</t>
  </si>
  <si>
    <t>&lt;cross-instance_tier0&gt;</t>
  </si>
  <si>
    <t>sfo-m01-ec01</t>
  </si>
  <si>
    <r>
      <t>Name</t>
    </r>
    <r>
      <rPr>
        <i/>
        <sz val="12"/>
        <color theme="1"/>
        <rFont val="Arial"/>
        <family val="2"/>
      </rPr>
      <t xml:space="preserve"> (1st Additional Interface)</t>
    </r>
  </si>
  <si>
    <r>
      <t xml:space="preserve">Location </t>
    </r>
    <r>
      <rPr>
        <i/>
        <sz val="12"/>
        <color theme="1"/>
        <rFont val="Arial"/>
        <family val="2"/>
      </rPr>
      <t>(1st Additional Interface)</t>
    </r>
  </si>
  <si>
    <r>
      <t>IP Address/Mask</t>
    </r>
    <r>
      <rPr>
        <i/>
        <sz val="12"/>
        <color theme="1"/>
        <rFont val="Arial"/>
        <family val="2"/>
      </rPr>
      <t xml:space="preserve"> (1st Additional Interface)</t>
    </r>
  </si>
  <si>
    <r>
      <t xml:space="preserve">Segment </t>
    </r>
    <r>
      <rPr>
        <i/>
        <sz val="12"/>
        <color theme="1"/>
        <rFont val="Arial"/>
        <family val="2"/>
      </rPr>
      <t>(1st Additional Interface)</t>
    </r>
  </si>
  <si>
    <r>
      <t>Edge Node</t>
    </r>
    <r>
      <rPr>
        <i/>
        <sz val="12"/>
        <color theme="1"/>
        <rFont val="Arial"/>
        <family val="2"/>
      </rPr>
      <t xml:space="preserve"> (1st Additional Interface)</t>
    </r>
  </si>
  <si>
    <t>sfo-m01-en1</t>
  </si>
  <si>
    <r>
      <t xml:space="preserve">MTU </t>
    </r>
    <r>
      <rPr>
        <i/>
        <sz val="12"/>
        <color theme="1"/>
        <rFont val="Arial"/>
        <family val="2"/>
      </rPr>
      <t>(1st Additional Interface)</t>
    </r>
  </si>
  <si>
    <r>
      <t>Name</t>
    </r>
    <r>
      <rPr>
        <i/>
        <sz val="12"/>
        <color theme="1"/>
        <rFont val="Arial"/>
        <family val="2"/>
      </rPr>
      <t xml:space="preserve"> (2nd Additional Interface)</t>
    </r>
  </si>
  <si>
    <r>
      <t xml:space="preserve">Location </t>
    </r>
    <r>
      <rPr>
        <i/>
        <sz val="12"/>
        <color theme="1"/>
        <rFont val="Arial"/>
        <family val="2"/>
      </rPr>
      <t>(2nd Additional Interface)</t>
    </r>
  </si>
  <si>
    <r>
      <t xml:space="preserve">IP Address/Mask </t>
    </r>
    <r>
      <rPr>
        <i/>
        <sz val="12"/>
        <color theme="1"/>
        <rFont val="Arial"/>
        <family val="2"/>
      </rPr>
      <t>(2nd Additional Interface)</t>
    </r>
  </si>
  <si>
    <r>
      <t>Segment</t>
    </r>
    <r>
      <rPr>
        <i/>
        <sz val="12"/>
        <color rgb="FF000000"/>
        <rFont val="Arial"/>
        <family val="2"/>
      </rPr>
      <t xml:space="preserve"> (2nd Additional Interface)</t>
    </r>
  </si>
  <si>
    <r>
      <t>Edge Node</t>
    </r>
    <r>
      <rPr>
        <i/>
        <sz val="12"/>
        <color theme="1"/>
        <rFont val="Arial"/>
        <family val="2"/>
      </rPr>
      <t xml:space="preserve"> (2nd Additional Interface)</t>
    </r>
  </si>
  <si>
    <t>sfo-m01-en2</t>
  </si>
  <si>
    <r>
      <t xml:space="preserve">MTU </t>
    </r>
    <r>
      <rPr>
        <i/>
        <sz val="12"/>
        <color theme="1"/>
        <rFont val="Arial"/>
        <family val="2"/>
      </rPr>
      <t>(2nd Additional Interface)</t>
    </r>
  </si>
  <si>
    <r>
      <t>Name</t>
    </r>
    <r>
      <rPr>
        <i/>
        <sz val="12"/>
        <color theme="1"/>
        <rFont val="Arial"/>
        <family val="2"/>
      </rPr>
      <t xml:space="preserve"> (3rd Additional Interface)</t>
    </r>
  </si>
  <si>
    <r>
      <t xml:space="preserve">Location </t>
    </r>
    <r>
      <rPr>
        <i/>
        <sz val="12"/>
        <color theme="1"/>
        <rFont val="Arial"/>
        <family val="2"/>
      </rPr>
      <t>(3rd Additional Interface)</t>
    </r>
  </si>
  <si>
    <r>
      <t>IP Address/Mask</t>
    </r>
    <r>
      <rPr>
        <i/>
        <sz val="12"/>
        <color theme="1"/>
        <rFont val="Arial"/>
        <family val="2"/>
      </rPr>
      <t xml:space="preserve"> (3rd Additional Interface)</t>
    </r>
  </si>
  <si>
    <r>
      <t>Segment</t>
    </r>
    <r>
      <rPr>
        <i/>
        <sz val="12"/>
        <color rgb="FF000000"/>
        <rFont val="Arial"/>
        <family val="2"/>
      </rPr>
      <t xml:space="preserve"> (3rd Additional Interface)</t>
    </r>
  </si>
  <si>
    <r>
      <t xml:space="preserve">Edge Node </t>
    </r>
    <r>
      <rPr>
        <i/>
        <sz val="12"/>
        <color theme="1"/>
        <rFont val="Arial"/>
        <family val="2"/>
      </rPr>
      <t>(3rd Additional Interface)</t>
    </r>
  </si>
  <si>
    <r>
      <t xml:space="preserve">MTU </t>
    </r>
    <r>
      <rPr>
        <i/>
        <sz val="12"/>
        <color theme="1"/>
        <rFont val="Arial"/>
        <family val="2"/>
      </rPr>
      <t>(3rd Additional Interface)</t>
    </r>
  </si>
  <si>
    <r>
      <t>Name</t>
    </r>
    <r>
      <rPr>
        <i/>
        <sz val="12"/>
        <color theme="1"/>
        <rFont val="Arial"/>
        <family val="2"/>
      </rPr>
      <t xml:space="preserve"> (4th Additional Interface)</t>
    </r>
  </si>
  <si>
    <r>
      <t xml:space="preserve">Location </t>
    </r>
    <r>
      <rPr>
        <i/>
        <sz val="12"/>
        <color theme="1"/>
        <rFont val="Arial"/>
        <family val="2"/>
      </rPr>
      <t>(4th Additional Interface)</t>
    </r>
  </si>
  <si>
    <r>
      <t xml:space="preserve">IP Address/Mask </t>
    </r>
    <r>
      <rPr>
        <i/>
        <sz val="12"/>
        <color theme="1"/>
        <rFont val="Arial"/>
        <family val="2"/>
      </rPr>
      <t>(4th Additional Interface)</t>
    </r>
  </si>
  <si>
    <r>
      <t>Segment</t>
    </r>
    <r>
      <rPr>
        <i/>
        <sz val="12"/>
        <color rgb="FF000000"/>
        <rFont val="Arial"/>
        <family val="2"/>
      </rPr>
      <t xml:space="preserve"> (4th Additional Interface)</t>
    </r>
  </si>
  <si>
    <r>
      <t>Edge Node</t>
    </r>
    <r>
      <rPr>
        <i/>
        <sz val="12"/>
        <color theme="1"/>
        <rFont val="Arial"/>
        <family val="2"/>
      </rPr>
      <t xml:space="preserve"> (4th Additional Interface)</t>
    </r>
  </si>
  <si>
    <r>
      <t>MTU</t>
    </r>
    <r>
      <rPr>
        <i/>
        <sz val="12"/>
        <color theme="1"/>
        <rFont val="Arial"/>
        <family val="2"/>
      </rPr>
      <t xml:space="preserve"> (4th Additional Interface)</t>
    </r>
  </si>
  <si>
    <r>
      <t xml:space="preserve">IP Address </t>
    </r>
    <r>
      <rPr>
        <i/>
        <sz val="12"/>
        <color theme="1"/>
        <rFont val="Arial"/>
        <family val="2"/>
      </rPr>
      <t>(1st BGP Peer)</t>
    </r>
  </si>
  <si>
    <r>
      <t>Location</t>
    </r>
    <r>
      <rPr>
        <i/>
        <sz val="12"/>
        <color theme="1"/>
        <rFont val="Arial"/>
        <family val="2"/>
      </rPr>
      <t xml:space="preserve"> (1st BGP Peer)</t>
    </r>
  </si>
  <si>
    <r>
      <t xml:space="preserve">Remote AS Number </t>
    </r>
    <r>
      <rPr>
        <i/>
        <sz val="12"/>
        <color theme="1"/>
        <rFont val="Arial"/>
        <family val="2"/>
      </rPr>
      <t>(1st BGP Peer)</t>
    </r>
  </si>
  <si>
    <r>
      <t>1st Source Address</t>
    </r>
    <r>
      <rPr>
        <i/>
        <sz val="12"/>
        <color theme="1"/>
        <rFont val="Arial"/>
        <family val="2"/>
      </rPr>
      <t xml:space="preserve"> (1st BGP Peer)</t>
    </r>
  </si>
  <si>
    <r>
      <t xml:space="preserve">2nd Source Address </t>
    </r>
    <r>
      <rPr>
        <i/>
        <sz val="12"/>
        <color theme="1"/>
        <rFont val="Arial"/>
        <family val="2"/>
      </rPr>
      <t>(1st BGP Peer)</t>
    </r>
  </si>
  <si>
    <r>
      <t>Password</t>
    </r>
    <r>
      <rPr>
        <i/>
        <sz val="12"/>
        <color theme="1"/>
        <rFont val="Arial"/>
        <family val="2"/>
      </rPr>
      <t xml:space="preserve"> (1st BGP Peer)</t>
    </r>
  </si>
  <si>
    <r>
      <t xml:space="preserve">IP Address </t>
    </r>
    <r>
      <rPr>
        <i/>
        <sz val="12"/>
        <color theme="1"/>
        <rFont val="Arial"/>
        <family val="2"/>
      </rPr>
      <t>(2nd BGP Peer)</t>
    </r>
  </si>
  <si>
    <r>
      <t>Location</t>
    </r>
    <r>
      <rPr>
        <i/>
        <sz val="12"/>
        <color theme="1"/>
        <rFont val="Arial"/>
        <family val="2"/>
      </rPr>
      <t xml:space="preserve"> (2nd BGP Peer)</t>
    </r>
  </si>
  <si>
    <r>
      <t xml:space="preserve">Remote AS Number </t>
    </r>
    <r>
      <rPr>
        <i/>
        <sz val="12"/>
        <color theme="1"/>
        <rFont val="Arial"/>
        <family val="2"/>
      </rPr>
      <t>(2nd BGP Peer)</t>
    </r>
  </si>
  <si>
    <r>
      <t xml:space="preserve">1st Source Address </t>
    </r>
    <r>
      <rPr>
        <i/>
        <sz val="12"/>
        <color theme="1"/>
        <rFont val="Arial"/>
        <family val="2"/>
      </rPr>
      <t>(2nd BGP Peer)</t>
    </r>
  </si>
  <si>
    <r>
      <t>2nd Source Address</t>
    </r>
    <r>
      <rPr>
        <i/>
        <sz val="12"/>
        <color theme="1"/>
        <rFont val="Arial"/>
        <family val="2"/>
      </rPr>
      <t xml:space="preserve"> (2nd BGP Peer)</t>
    </r>
  </si>
  <si>
    <r>
      <t xml:space="preserve">Password </t>
    </r>
    <r>
      <rPr>
        <i/>
        <sz val="12"/>
        <color theme="1"/>
        <rFont val="Arial"/>
        <family val="2"/>
      </rPr>
      <t>(2nd BGP Peer)</t>
    </r>
  </si>
  <si>
    <t>Add Additional Instance as Locations to the Cross-Instance Tier-1 Gateway</t>
  </si>
  <si>
    <t xml:space="preserve">         VMware Cloud Foundation Fleet Components Deployment</t>
  </si>
  <si>
    <t xml:space="preserve"> VMware Cloud Foundation Fleet Components Deployment</t>
  </si>
  <si>
    <t>Shared Management Network</t>
  </si>
  <si>
    <t>Networking Model for Component Deployment</t>
  </si>
  <si>
    <t xml:space="preserve">Deploy VCF Operations and Automation </t>
  </si>
  <si>
    <t>Deploy VCF Authentication</t>
  </si>
  <si>
    <t>Deploy VCF Operations for Logs</t>
  </si>
  <si>
    <t>Deploy VCF Operations for Networks</t>
  </si>
  <si>
    <t>Deploy VCF Operations and Automation  {SDDC Manager}</t>
  </si>
  <si>
    <t xml:space="preserve">Deployment Type </t>
  </si>
  <si>
    <t>Standard</t>
  </si>
  <si>
    <t xml:space="preserve">Use this section if VCF Operations and VCF Automation was skipped during the intial deployment. </t>
  </si>
  <si>
    <t xml:space="preserve">localRegionNetwork - VCF Ops Collectors </t>
  </si>
  <si>
    <t>networkName</t>
  </si>
  <si>
    <t>subnetMask</t>
  </si>
  <si>
    <t>gateway</t>
  </si>
  <si>
    <t xml:space="preserve">xRegionNetwork - VCF Ops and Automation network </t>
  </si>
  <si>
    <t>Create an overlay segment or portgroup based on these values. Must be available in vCenter prior to running workflow</t>
  </si>
  <si>
    <t>Fleet Deployment</t>
  </si>
  <si>
    <t>useExistingDeployment</t>
  </si>
  <si>
    <t>IP</t>
  </si>
  <si>
    <t>rootUserPassword</t>
  </si>
  <si>
    <t>adminUserPassword</t>
  </si>
  <si>
    <t>VCF OPS Deployment</t>
  </si>
  <si>
    <t>Operations Load Balancer FQDN</t>
  </si>
  <si>
    <t>Operations primary FQDN</t>
  </si>
  <si>
    <t>Operations replica FQDN</t>
  </si>
  <si>
    <t>Operations data node FQDN</t>
  </si>
  <si>
    <t>Operations Load Balancer IP</t>
  </si>
  <si>
    <t>Optional: For a high availability deployment, you can connect an external load balancer.</t>
  </si>
  <si>
    <t>Operation primary IP</t>
  </si>
  <si>
    <t>Operations replica IP</t>
  </si>
  <si>
    <t>Operations data node IP</t>
  </si>
  <si>
    <t>applianceSize</t>
  </si>
  <si>
    <t>Root Password</t>
  </si>
  <si>
    <t>VCF OPS Collector</t>
  </si>
  <si>
    <t>9.0.0.0</t>
  </si>
  <si>
    <t>VCF Automation Deployment</t>
  </si>
  <si>
    <t>Node Prefix</t>
  </si>
  <si>
    <t>VCF Automation virtual machines will be deployed with flt-auto-&lt;generated id&gt;</t>
  </si>
  <si>
    <t>ipPool #1</t>
  </si>
  <si>
    <t>For Small/Standard deployments model two IPs are required and for High Availability four IPs are required</t>
  </si>
  <si>
    <t>ipPool #2</t>
  </si>
  <si>
    <t>ipPool #3</t>
  </si>
  <si>
    <t>ipPool #4</t>
  </si>
  <si>
    <t>Cluster Cidr</t>
  </si>
  <si>
    <t>198.18.0.0/15</t>
  </si>
  <si>
    <t>The CIDR used for pods running the internal Kubernetes cluster</t>
  </si>
  <si>
    <t>Deploy VCF Automation  {VMware Cloud Foundation Operations}</t>
  </si>
  <si>
    <t>Deployment</t>
  </si>
  <si>
    <t>Installation Type</t>
  </si>
  <si>
    <t>New Install</t>
  </si>
  <si>
    <t xml:space="preserve">Use this section if  VCF Automation was skipped during the intial deployment. </t>
  </si>
  <si>
    <t>Small</t>
  </si>
  <si>
    <t xml:space="preserve">Certifcate </t>
  </si>
  <si>
    <t>Add Certifcate</t>
  </si>
  <si>
    <t>Generate Certificate</t>
  </si>
  <si>
    <t>Alias</t>
  </si>
  <si>
    <t>Certificate File</t>
  </si>
  <si>
    <t>Common Name (CN)</t>
  </si>
  <si>
    <t>Organization (O)</t>
  </si>
  <si>
    <t>Organization (OU)</t>
  </si>
  <si>
    <t>Country Code (C)</t>
  </si>
  <si>
    <t>Locality (L)</t>
  </si>
  <si>
    <t>State (ST)</t>
  </si>
  <si>
    <t>Key Length</t>
  </si>
  <si>
    <t>4096</t>
  </si>
  <si>
    <t>VCF Automation  FQDN</t>
  </si>
  <si>
    <t>Create a comma seperated list of IPs for the IP Address field</t>
  </si>
  <si>
    <t>Select Certificate</t>
  </si>
  <si>
    <t xml:space="preserve">Infrastructure </t>
  </si>
  <si>
    <t>Select vCenter Server</t>
  </si>
  <si>
    <t>Select Cluster</t>
  </si>
  <si>
    <t>Select Folder</t>
  </si>
  <si>
    <t>Must be available in vCenter prior to running workflow</t>
  </si>
  <si>
    <t>Select Resource Pool</t>
  </si>
  <si>
    <t>Select Network</t>
  </si>
  <si>
    <t>Select Datastore</t>
  </si>
  <si>
    <t>Domain Name</t>
  </si>
  <si>
    <t>Domain Search Path</t>
  </si>
  <si>
    <t>DNS Servers</t>
  </si>
  <si>
    <t>Time Sync Mode</t>
  </si>
  <si>
    <t>Use NTP Server</t>
  </si>
  <si>
    <t>Default IPv4 Gateway</t>
  </si>
  <si>
    <t>IPv4 Netmask</t>
  </si>
  <si>
    <t xml:space="preserve">Components </t>
  </si>
  <si>
    <t>VMware System User Password  Alias</t>
  </si>
  <si>
    <t>flt-auto01-admin-password</t>
  </si>
  <si>
    <t>VMware System User Password Password</t>
  </si>
  <si>
    <t>VMware System User Password Description</t>
  </si>
  <si>
    <t>VCF Automation Admin Password</t>
  </si>
  <si>
    <t>VMware System Username</t>
  </si>
  <si>
    <t>Root Password Alias</t>
  </si>
  <si>
    <t>Root Password Description</t>
  </si>
  <si>
    <t>VCF Automation root Password</t>
  </si>
  <si>
    <t>Root Username</t>
  </si>
  <si>
    <t>vCenter Server List</t>
  </si>
  <si>
    <t>Controller Type</t>
  </si>
  <si>
    <t>Internal Load Balancer</t>
  </si>
  <si>
    <t>flt-auto</t>
  </si>
  <si>
    <t>Primary VIP</t>
  </si>
  <si>
    <t>Internal Cluster CIDR</t>
  </si>
  <si>
    <t>192.18.0.0/15</t>
  </si>
  <si>
    <t>Additional VIPs</t>
  </si>
  <si>
    <t>N/A</t>
  </si>
  <si>
    <t>Cluster Node IP Pool #1</t>
  </si>
  <si>
    <t>Cluster Node IP Pool #2</t>
  </si>
  <si>
    <t>Cluster Node IP Pool #3</t>
  </si>
  <si>
    <t>Cluster Node IP Pool #4</t>
  </si>
  <si>
    <t xml:space="preserve">Configure Vmware Cloud Foundation Authentication </t>
  </si>
  <si>
    <t>Deploy Identity Broker  {VMware Cloud Foundation Operations}</t>
  </si>
  <si>
    <t>VIDB FQDN</t>
  </si>
  <si>
    <t>VIDB VIP IP Address</t>
  </si>
  <si>
    <t>ntp0.sfo.rainpole.io,ntp1.sfo.rainpole.io</t>
  </si>
  <si>
    <t>VMware System User Password Alias</t>
  </si>
  <si>
    <t>VCF VIDB Admin Password</t>
  </si>
  <si>
    <t>VCF Identtity Broker virtual machines will be deployed with NodePrefix-&lt;generated id&gt; E.G. flt-idb-&lt;generated id&gt;</t>
  </si>
  <si>
    <t>100.64.0.0/15</t>
  </si>
  <si>
    <t>Choose the Identity Provider</t>
  </si>
  <si>
    <t>Select A VCF Instance</t>
  </si>
  <si>
    <t>Deployment Mode</t>
  </si>
  <si>
    <t>Identity Broker Appliance</t>
  </si>
  <si>
    <t>Identity Provider</t>
  </si>
  <si>
    <t>AD/LDAP</t>
  </si>
  <si>
    <t>Directory name</t>
  </si>
  <si>
    <t>DNS Server Location</t>
  </si>
  <si>
    <t>The Identity Broker locates and connects to the optimal domain controller in your Active Directory by querying DNS Service Records.</t>
  </si>
  <si>
    <t>Global Catalog</t>
  </si>
  <si>
    <t>Global catalog has a partial read-only replica of all objects across all domains in the forest</t>
  </si>
  <si>
    <t>Encrypted Connection</t>
  </si>
  <si>
    <t>Enable LDAPS for all connections to this directory</t>
  </si>
  <si>
    <t xml:space="preserve">Certificate(s) for encrypted connection </t>
  </si>
  <si>
    <t>cert.pem</t>
  </si>
  <si>
    <t>Ensure the certificate is in PEM format and include the "BEGIN CERTIFICATE" and "END CERTIFICATE" lines.</t>
  </si>
  <si>
    <t>Primary domain controller</t>
  </si>
  <si>
    <t>sfo-ad01.sfo.rainpole.io</t>
  </si>
  <si>
    <t>Primary domain controller port number</t>
  </si>
  <si>
    <t>Secondary domain controller</t>
  </si>
  <si>
    <t>Secondary domain controller port number</t>
  </si>
  <si>
    <t>Directory search attribute</t>
  </si>
  <si>
    <t>sAMAccountName</t>
  </si>
  <si>
    <t xml:space="preserve">Base DN </t>
  </si>
  <si>
    <t>DC=rainpole,DC=io</t>
  </si>
  <si>
    <t>Bind user name</t>
  </si>
  <si>
    <t>CN=svc-idm-ad,OU=Security Users,DC=rainpole,DC=io</t>
  </si>
  <si>
    <t>Enter the account that can search for users. For example, CN=user1, CN=Users, OU=myUnit, DC=myCorp, DC=com.</t>
  </si>
  <si>
    <t xml:space="preserve">Bind user password </t>
  </si>
  <si>
    <t>Configure User and Group Provisioning  {VCF OPS}</t>
  </si>
  <si>
    <t>Atrribute Mappings</t>
  </si>
  <si>
    <t>userName</t>
  </si>
  <si>
    <t>firstName</t>
  </si>
  <si>
    <t>givenName</t>
  </si>
  <si>
    <t>lastName</t>
  </si>
  <si>
    <t>sn</t>
  </si>
  <si>
    <t>distinguisehedName</t>
  </si>
  <si>
    <t>disthinguishedName</t>
  </si>
  <si>
    <t>employeeID</t>
  </si>
  <si>
    <t>email</t>
  </si>
  <si>
    <t>mail</t>
  </si>
  <si>
    <t>userPrincipalName</t>
  </si>
  <si>
    <t>Group Provisioning</t>
  </si>
  <si>
    <t>Specify the base group DN</t>
  </si>
  <si>
    <t>OU=Security Groups,DC=rainpole,DC=io</t>
  </si>
  <si>
    <t>User Provisioning</t>
  </si>
  <si>
    <t>Specify the base user DN</t>
  </si>
  <si>
    <t>OU=Security Users,DC=rainpole,DC=io</t>
  </si>
  <si>
    <t>Deploy VCF Operations for Logs {VCF OPS}</t>
  </si>
  <si>
    <t>Passphrase</t>
  </si>
  <si>
    <t>FQDN - Cluster VIP</t>
  </si>
  <si>
    <t>FQDN - Master</t>
  </si>
  <si>
    <t>FQDN - Worker 1</t>
  </si>
  <si>
    <t>FQDN - Worker 2</t>
  </si>
  <si>
    <t>IP - Cluster Virtual IP</t>
  </si>
  <si>
    <t>IP - Master</t>
  </si>
  <si>
    <t>IP - Worker 1</t>
  </si>
  <si>
    <t>IP - Worker 2</t>
  </si>
  <si>
    <t>Select Disk Mode</t>
  </si>
  <si>
    <t>Thin</t>
  </si>
  <si>
    <t>Admin Password Alias</t>
  </si>
  <si>
    <t>Admin Password Description</t>
  </si>
  <si>
    <t>VCF Operations for Logs Admin Password</t>
  </si>
  <si>
    <t>Admin Username</t>
  </si>
  <si>
    <t>VCF Operations for Logs root Password</t>
  </si>
  <si>
    <t>Select all applicable vCenters to discover components</t>
  </si>
  <si>
    <t xml:space="preserve">Node Size </t>
  </si>
  <si>
    <t>FIPS Compliance Mode</t>
  </si>
  <si>
    <t xml:space="preserve">Certificate </t>
  </si>
  <si>
    <t>Once the component is set to be FIPS Mode Compliant, post-deployment this action cannot be reverted.</t>
  </si>
  <si>
    <t>Anti-Affinity / Affinity Rule</t>
  </si>
  <si>
    <t>Configure Cluster Vip</t>
  </si>
  <si>
    <t>Upgrade VM Compatibility</t>
  </si>
  <si>
    <t>Always Use English</t>
  </si>
  <si>
    <t>Enabling this configuration causes Operations for Logs to ignore the browser language and display English for all users.</t>
  </si>
  <si>
    <t>Admin Email</t>
  </si>
  <si>
    <t>Component Password</t>
  </si>
  <si>
    <t>Cluster Virtual IP</t>
  </si>
  <si>
    <t>vrli-master</t>
  </si>
  <si>
    <t>VM Name</t>
  </si>
  <si>
    <t>flt-logs01a</t>
  </si>
  <si>
    <t>vrli-worker-1</t>
  </si>
  <si>
    <t>flt-logs01b</t>
  </si>
  <si>
    <t>vrli-worker-2</t>
  </si>
  <si>
    <t>flt-logs01c</t>
  </si>
  <si>
    <t>Deploy VCF Operations for Networks {VCF OPS}</t>
  </si>
  <si>
    <t>Cluster</t>
  </si>
  <si>
    <t>FQDN - Platform Node #1</t>
  </si>
  <si>
    <t>FQDN - Platform Node #2</t>
  </si>
  <si>
    <t>FQDN - Platform Node #3</t>
  </si>
  <si>
    <t>FQDN - Collector</t>
  </si>
  <si>
    <t>IP - Platform Node #1</t>
  </si>
  <si>
    <t>IP - Platform Node #2</t>
  </si>
  <si>
    <t>IP - Platform Node #3</t>
  </si>
  <si>
    <t>IP - Collector</t>
  </si>
  <si>
    <t>Must be available  in vCenter prior to running workflow</t>
  </si>
  <si>
    <t>VCF Operations for Networks Admin Password</t>
  </si>
  <si>
    <t>Integrate with Identity Manager</t>
  </si>
  <si>
    <t>Operations for Networks Platform Password</t>
  </si>
  <si>
    <t>Support Password</t>
  </si>
  <si>
    <t>Console Password</t>
  </si>
  <si>
    <t xml:space="preserve">Select all applicable vCenters to discover components. </t>
  </si>
  <si>
    <t>operations-network platform node</t>
  </si>
  <si>
    <t>flt-net01a</t>
  </si>
  <si>
    <t>Node Size</t>
  </si>
  <si>
    <t>Large</t>
  </si>
  <si>
    <t>flt-net01b</t>
  </si>
  <si>
    <t>flt-net01c</t>
  </si>
  <si>
    <t>operations-network collector node</t>
  </si>
  <si>
    <t xml:space="preserve">        VMware Cloud Foundation Workload Domain Deployment using VCF Operations</t>
  </si>
  <si>
    <t>This page contains all user required values used during the deployment of a VMware Cloud Foundation Workload Domain and associated Post-Config tasks. Each table and value maps directly to a process in the deployment guidance documentation.</t>
  </si>
  <si>
    <t>Workload Domain Deployment</t>
  </si>
  <si>
    <t>Virtual Infrastructure (VI) Workload Domain: Deployment</t>
  </si>
  <si>
    <t>Number of Compute Hosts per rack for initial cluster</t>
  </si>
  <si>
    <t>Number of additional racks available for Layer 3 Multi-Rack Deployments</t>
  </si>
  <si>
    <t>Separate VLAN for Management VMs and ESX Management VMK Interfaces</t>
  </si>
  <si>
    <t>vSAN-ESA</t>
  </si>
  <si>
    <t>Principal Storage Model</t>
  </si>
  <si>
    <t xml:space="preserve">Create or Re-use an exising VCF Network Pool </t>
  </si>
  <si>
    <t>Deploy Workload Domain using ESX Hosts with External Certificates</t>
  </si>
  <si>
    <t>Enable Single Management Zone vSphere Supervisor with NSX VPC Networking</t>
  </si>
  <si>
    <t>Import VI Workload Domain</t>
  </si>
  <si>
    <t>Enter the general configuration details for this deployment</t>
  </si>
  <si>
    <t>Workload Domain Name</t>
  </si>
  <si>
    <t>Specify a vCenter</t>
  </si>
  <si>
    <t>Select vCenter</t>
  </si>
  <si>
    <t>Specify an external vCenter</t>
  </si>
  <si>
    <t>vCenter server FQDN</t>
  </si>
  <si>
    <t>vCenter Server Root Password</t>
  </si>
  <si>
    <t>SSO user name</t>
  </si>
  <si>
    <t>SSO user password</t>
  </si>
  <si>
    <t>This vCenter is connected to an NSX instance</t>
  </si>
  <si>
    <t>NSX Manager</t>
  </si>
  <si>
    <t>Provide details about the networking to use with this workload domain.</t>
  </si>
  <si>
    <t>NSX Manager Instance Options</t>
  </si>
  <si>
    <t>Create new NSX Manager Instance</t>
  </si>
  <si>
    <t>Deployment Size</t>
  </si>
  <si>
    <t>NSX Management Cluster</t>
  </si>
  <si>
    <t>Appliance Size</t>
  </si>
  <si>
    <t>Appliance 1 FQDN</t>
  </si>
  <si>
    <t>NSX Manager / Local Manager Node A</t>
  </si>
  <si>
    <t xml:space="preserve">Appliance 2 FQDN </t>
  </si>
  <si>
    <t>NSX Manager / Local Manager Node B</t>
  </si>
  <si>
    <t xml:space="preserve">Appliance 3 FQDN </t>
  </si>
  <si>
    <t>NSX Manager / Local Manager Node C</t>
  </si>
  <si>
    <t>Appliance Cluster FQDN</t>
  </si>
  <si>
    <t>NSX Manager / Local Manager VIP</t>
  </si>
  <si>
    <t>Enable Edge cluster sync and import NSX Edge node VMs</t>
  </si>
  <si>
    <t>The import process will add the discovered Edge node VMs to the VCF inventory</t>
  </si>
  <si>
    <t>Configure NSX Overlay using ESXi Management VMkernel Networking:</t>
  </si>
  <si>
    <t>If this option is unchecked, NSX will be configured only in VLAN transport zone mode</t>
  </si>
  <si>
    <t>Auto Generate Passwords</t>
  </si>
  <si>
    <t>NSX Administrator Password</t>
  </si>
  <si>
    <t>NSX Root Password</t>
  </si>
  <si>
    <t>NSX Audit Password</t>
  </si>
  <si>
    <t xml:space="preserve">Deploy VI Workload Domain </t>
  </si>
  <si>
    <t>Initial Host Configuring</t>
  </si>
  <si>
    <t>Management IP (ESXHost 3)</t>
  </si>
  <si>
    <t>Create Network Pool</t>
  </si>
  <si>
    <t xml:space="preserve">vSAN Network - vSAN Storage Cluster </t>
  </si>
  <si>
    <t>Commission Hosts</t>
  </si>
  <si>
    <t>Deploy a VI Workload Domain</t>
  </si>
  <si>
    <t>General Information</t>
  </si>
  <si>
    <t>Enable vSphere Supervisor</t>
  </si>
  <si>
    <t>Value is set based on choice in the Virtual Infrastructure (VI) Workload Domain: Deployment Options</t>
  </si>
  <si>
    <t>SSO Domain Name</t>
  </si>
  <si>
    <t>Auto-generate my passwords for newly installed appliances</t>
  </si>
  <si>
    <t>SSO Administration Password</t>
  </si>
  <si>
    <t>vCenter</t>
  </si>
  <si>
    <t>vCenter FQDN</t>
  </si>
  <si>
    <t>vCenter Root Password</t>
  </si>
  <si>
    <t>Enter the details for the first cluster that will be created as default in this new workload domain</t>
  </si>
  <si>
    <t>vSphere Zone Name</t>
  </si>
  <si>
    <t>sfo-w01-zn01</t>
  </si>
  <si>
    <t>Image</t>
  </si>
  <si>
    <t>Select an image and assign it to the selected clusters. You can import images from the Image Management catalog.</t>
  </si>
  <si>
    <t>High-Availability</t>
  </si>
  <si>
    <t>IP Address 1</t>
  </si>
  <si>
    <t>IP Address must be in the same subnet as the VM Management Network for the Management Workload Domain</t>
  </si>
  <si>
    <t>IP Address 2</t>
  </si>
  <si>
    <t>IP Address 3</t>
  </si>
  <si>
    <t>Cluster IP</t>
  </si>
  <si>
    <t>Audit Password</t>
  </si>
  <si>
    <t>Configure Network Connectivity and VPC External IP Blocks</t>
  </si>
  <si>
    <t>Gateway CIDR IPv4 Address</t>
  </si>
  <si>
    <t>External IP Block</t>
  </si>
  <si>
    <t>172.24.0.0/16</t>
  </si>
  <si>
    <t>Private - Transit Gateway IP Block</t>
  </si>
  <si>
    <t>Storage</t>
  </si>
  <si>
    <t>Storage Selection</t>
  </si>
  <si>
    <t>Enable vSAN ESA</t>
  </si>
  <si>
    <t>Select the cluster type and review the storage configuration.</t>
  </si>
  <si>
    <t xml:space="preserve">vSAN Storage Type </t>
  </si>
  <si>
    <t xml:space="preserve">vSAN HCI </t>
  </si>
  <si>
    <t xml:space="preserve">Workflow will auto generate the Datastore name. Datastore can be changed to the desired value post deployment. </t>
  </si>
  <si>
    <t>vSAN Storage Client Network</t>
  </si>
  <si>
    <t>1</t>
  </si>
  <si>
    <t>vSAN: Deduplication and Compression</t>
  </si>
  <si>
    <t>VMFS on FC: Datastore Name</t>
  </si>
  <si>
    <t>NFS: Datastore Name</t>
  </si>
  <si>
    <t>NFS: Share Path</t>
  </si>
  <si>
    <t>NFS: Address of NFS Server</t>
  </si>
  <si>
    <t xml:space="preserve">Host Selection </t>
  </si>
  <si>
    <t>Distributed Switch</t>
  </si>
  <si>
    <t>Provide the VDS configuration to be applied to the hosts in the cluster.</t>
  </si>
  <si>
    <t>Selected Profile</t>
  </si>
  <si>
    <t>Default</t>
  </si>
  <si>
    <t xml:space="preserve">Copy From Preconfigured Profile </t>
  </si>
  <si>
    <r>
      <t xml:space="preserve">If MTU, Static Pools for Host TEP or custom configuration is required then use </t>
    </r>
    <r>
      <rPr>
        <b/>
        <sz val="12"/>
        <color theme="1"/>
        <rFont val="Arial"/>
        <family val="2"/>
      </rPr>
      <t>Copy from Preconfigured Profile</t>
    </r>
    <r>
      <rPr>
        <sz val="12"/>
        <color theme="1"/>
        <rFont val="Arial"/>
        <family val="2"/>
      </rPr>
      <t xml:space="preserve"> option</t>
    </r>
  </si>
  <si>
    <t>Distributed Switch Configuration</t>
  </si>
  <si>
    <t>Primary Distributed Switch Name</t>
  </si>
  <si>
    <t>Primary vSphere Distributed Switch</t>
  </si>
  <si>
    <t>Type</t>
  </si>
  <si>
    <t>VDS Uplinks</t>
  </si>
  <si>
    <t>LAG Name</t>
  </si>
  <si>
    <t>LACP Mode</t>
  </si>
  <si>
    <t>Active</t>
  </si>
  <si>
    <t>LAG Load Balancing</t>
  </si>
  <si>
    <t>Source and destination IP and TCP/UDP port and vLAN</t>
  </si>
  <si>
    <t>LACP Time Out</t>
  </si>
  <si>
    <t>Slow</t>
  </si>
  <si>
    <t>Number of Uplinks</t>
  </si>
  <si>
    <t>Physical Network Adapters Used</t>
  </si>
  <si>
    <t>vmnic0,vmnic1</t>
  </si>
  <si>
    <t>Supported Traffic Type</t>
  </si>
  <si>
    <t>Management,vMotion,vSan,Overlay</t>
  </si>
  <si>
    <t>Secondary Distributed Switch Name</t>
  </si>
  <si>
    <t>Secondary vSphere Distributed Switch</t>
  </si>
  <si>
    <t>vmnic2,vmnic3</t>
  </si>
  <si>
    <t>Tertiary Distributed Switch Name</t>
  </si>
  <si>
    <t>Tertiary vSphere Distributed Switch</t>
  </si>
  <si>
    <t>Fast</t>
  </si>
  <si>
    <t>vmnic4,vmnic5</t>
  </si>
  <si>
    <t>NSX-Overlay</t>
  </si>
  <si>
    <t>Network Traffic: Management</t>
  </si>
  <si>
    <t>Portgroup will be created on Primary Distributed Switch</t>
  </si>
  <si>
    <t>Load Balancing</t>
  </si>
  <si>
    <t>Route Based on Physical NIC Load</t>
  </si>
  <si>
    <t>uplink1</t>
  </si>
  <si>
    <t>uplink2</t>
  </si>
  <si>
    <t>Network Traffic: VM Management</t>
  </si>
  <si>
    <t>Should be created manually on Primary Distributed Switch post Deployment. Used for NSX Edge MGMT Interface.</t>
  </si>
  <si>
    <t>Network Traffic: vMotion</t>
  </si>
  <si>
    <t>Network Traffic: vSAN Storage Client</t>
  </si>
  <si>
    <t>Network Traffic: NSX</t>
  </si>
  <si>
    <t>Apply default operation mode configured in NSX Manager</t>
  </si>
  <si>
    <t>Transport Zone Type: NSX-Overlay</t>
  </si>
  <si>
    <t>Transport Zone Type: NSX-VLAN</t>
  </si>
  <si>
    <t>Transport Zones</t>
  </si>
  <si>
    <t>Transport Zone Name</t>
  </si>
  <si>
    <t>IP Assignment (TEP)</t>
  </si>
  <si>
    <t>Static IP Pool</t>
  </si>
  <si>
    <t>Pool name</t>
  </si>
  <si>
    <t>ESX Host Overlay TEP IP Pool</t>
  </si>
  <si>
    <t>VLAN Transport Zone Name</t>
  </si>
  <si>
    <t>nsx-vlan-transportzone</t>
  </si>
  <si>
    <t>Transport Node Profile Settings</t>
  </si>
  <si>
    <t>Number of NSX uplinks</t>
  </si>
  <si>
    <t>uplink-1</t>
  </si>
  <si>
    <t>uplink-2</t>
  </si>
  <si>
    <t>NSX Uplink Profile Name</t>
  </si>
  <si>
    <t>Teaming Policy</t>
  </si>
  <si>
    <t>Load Balance Source</t>
  </si>
  <si>
    <t>Active Uplink uplink-1</t>
  </si>
  <si>
    <t>Active Uplink uplink-2</t>
  </si>
  <si>
    <t>vSphere Supervisor</t>
  </si>
  <si>
    <t xml:space="preserve"> vSphere Supervisor requires centralized edge gateway deployment</t>
  </si>
  <si>
    <t>Supervisor Name</t>
  </si>
  <si>
    <t>Note: Only Single Zone vSphere Supervisor with NSX VPC Networking can be deployed during WLD Creation.Use vSphere Client or vCenter API for other topologies</t>
  </si>
  <si>
    <t>Service CIDR</t>
  </si>
  <si>
    <t>10.96.0.0/24</t>
  </si>
  <si>
    <t>Use ESXi Management VMK settings</t>
  </si>
  <si>
    <t>Control Plane IP Range</t>
  </si>
  <si>
    <t>Virtual Private Cloud Network</t>
  </si>
  <si>
    <t>NSX Project</t>
  </si>
  <si>
    <t>Default project</t>
  </si>
  <si>
    <t>VPC Connectivity Profile</t>
  </si>
  <si>
    <t>Default profile</t>
  </si>
  <si>
    <t>Private (Transit Gateway) CIDR</t>
  </si>
  <si>
    <t>172.25.0.0/16</t>
  </si>
  <si>
    <t>Correlates to Private - Transit Gateway IP Blocks in the NSX Network Connectivity for VI WLD workflow</t>
  </si>
  <si>
    <t>Private CIDR</t>
  </si>
  <si>
    <t>172.26.0.0/16</t>
  </si>
  <si>
    <t xml:space="preserve">Workload DNS </t>
  </si>
  <si>
    <t xml:space="preserve">Workload NTP </t>
  </si>
  <si>
    <t>VCF Workload Domain Reference Sheet</t>
  </si>
  <si>
    <t>VM Management Network</t>
  </si>
  <si>
    <t xml:space="preserve">VM Management Network can be used for NSX Edge Node Management Interface </t>
  </si>
  <si>
    <t>10.13.12.101</t>
  </si>
  <si>
    <t>10.13.12.116</t>
  </si>
  <si>
    <t>10.13.13.101</t>
  </si>
  <si>
    <t>10.13.13.116</t>
  </si>
  <si>
    <t>Host Overlay Network</t>
  </si>
  <si>
    <t>Hostnames</t>
  </si>
  <si>
    <t>Reference IP Address</t>
  </si>
  <si>
    <t>Your IP Address</t>
  </si>
  <si>
    <t>NSX-T</t>
  </si>
  <si>
    <t>Management IP (ESXi Host 1)</t>
  </si>
  <si>
    <t>Management IP (ESXi Host 2)</t>
  </si>
  <si>
    <t>Management IP (ESXi Host 3)</t>
  </si>
  <si>
    <t>Management IP (ESXi Host 4)</t>
  </si>
  <si>
    <t>Management IP (ESXi Host 5)</t>
  </si>
  <si>
    <t>Management IP (ESXi Host 6)</t>
  </si>
  <si>
    <t>Management IP (ESXi Host 7)</t>
  </si>
  <si>
    <t>Management IP (ESXi Host 8)</t>
  </si>
  <si>
    <t>Management IP (ESXi Host 9)</t>
  </si>
  <si>
    <t>Management IP (ESXi Host 10)</t>
  </si>
  <si>
    <t>Management IP (ESXi Host 11)</t>
  </si>
  <si>
    <t>Management IP (ESXi Host 12)</t>
  </si>
  <si>
    <t>Management IP (ESXi Host 13)</t>
  </si>
  <si>
    <t>Management IP (ESXi Host 14)</t>
  </si>
  <si>
    <t>Management IP (ESXi Host 15)</t>
  </si>
  <si>
    <t>Management IP (ESXi Host 16)</t>
  </si>
  <si>
    <t>Added Stuff</t>
  </si>
  <si>
    <t>pnp_version_history</t>
  </si>
  <si>
    <t>Fleet Deployment CIDR</t>
  </si>
  <si>
    <t>Fleet Deployment Network</t>
  </si>
  <si>
    <t>small</t>
  </si>
  <si>
    <t>Fleet Deployment Gateway IP</t>
  </si>
  <si>
    <t>Use VM management network</t>
  </si>
  <si>
    <t>Fleet Deployment Mask</t>
  </si>
  <si>
    <t xml:space="preserve">sample </t>
  </si>
  <si>
    <t>input</t>
  </si>
  <si>
    <t>name</t>
  </si>
  <si>
    <t>Fleet Deployment MTU</t>
  </si>
  <si>
    <t xml:space="preserve">VCF Automation VCF Installer </t>
  </si>
  <si>
    <t>Fleet Deployment VLANID</t>
  </si>
  <si>
    <t>Moved Stuff</t>
  </si>
  <si>
    <t xml:space="preserve">Deploy VCF Automation  {SDDC Manager} </t>
  </si>
  <si>
    <t>Child DNS Zone</t>
  </si>
  <si>
    <t>vSAN Witness DNS Zone</t>
  </si>
  <si>
    <t>DNS Server 1 (Cross-Instance Components)</t>
  </si>
  <si>
    <t>DNS Server 2 (Cross-Instance Components)</t>
  </si>
  <si>
    <t>Domain Controller</t>
  </si>
  <si>
    <t>SMTP Server</t>
  </si>
  <si>
    <t>smtp.rainpole.io</t>
  </si>
  <si>
    <t xml:space="preserve">NSX Edge Clusters </t>
  </si>
  <si>
    <t>SMTP Server Port</t>
  </si>
  <si>
    <t>NTP Server 1 (Cross-Instance Components)</t>
  </si>
  <si>
    <t>NTP Server 2 (Cross-Instance Components)</t>
  </si>
  <si>
    <t>Fleet Components Ips</t>
  </si>
  <si>
    <t xml:space="preserve">License </t>
  </si>
  <si>
    <t>Services Runtime</t>
  </si>
  <si>
    <t xml:space="preserve">instance components </t>
  </si>
  <si>
    <t xml:space="preserve">fleet component </t>
  </si>
  <si>
    <t>auto services runtime</t>
  </si>
  <si>
    <t xml:space="preserve">not required for 9.0 </t>
  </si>
  <si>
    <t>Fleet Components FQDNs</t>
  </si>
  <si>
    <t>flt-vcfa-sr01.rainpole.io</t>
  </si>
  <si>
    <t>Deploy VCF Automation Node Range</t>
  </si>
  <si>
    <t>IPv4 address Range from</t>
  </si>
  <si>
    <t>IPv4 address Range To</t>
  </si>
  <si>
    <t>Deploy VCF MS Node Range</t>
  </si>
  <si>
    <t xml:space="preserve">Virtual Network Appliance </t>
  </si>
  <si>
    <t>MGMT Exisitng NSX-GM</t>
  </si>
  <si>
    <t xml:space="preserve">Cross instance Tier 0 </t>
  </si>
  <si>
    <t>Rack2</t>
  </si>
  <si>
    <t>Input</t>
  </si>
  <si>
    <t>Rack3</t>
  </si>
  <si>
    <t>Rack4</t>
  </si>
  <si>
    <t>Rack5</t>
  </si>
  <si>
    <t>Rack6</t>
  </si>
  <si>
    <t>Rack7</t>
  </si>
  <si>
    <t>Rack8</t>
  </si>
  <si>
    <t>VLAN Uplink1</t>
  </si>
  <si>
    <t>VLAN Uplink2</t>
  </si>
  <si>
    <t>VLAN Edge Overlay</t>
  </si>
  <si>
    <t>Network Uplink1</t>
  </si>
  <si>
    <t>Network Uplink2</t>
  </si>
  <si>
    <t>Network Edge Overlay</t>
  </si>
  <si>
    <t>Gateway Uplink1</t>
  </si>
  <si>
    <t>Gateway Uplink2</t>
  </si>
  <si>
    <t>Gateway Edge Overlay</t>
  </si>
  <si>
    <t>Mask Uplink1</t>
  </si>
  <si>
    <t>Mask Uplink2</t>
  </si>
  <si>
    <t>Mask Edge Overlay</t>
  </si>
  <si>
    <t>MTU Uplink1</t>
  </si>
  <si>
    <t>MTU Uplink2</t>
  </si>
  <si>
    <t>MTU Edge Overlay</t>
  </si>
  <si>
    <t>NSX Edge Nodes Autonomous System ID</t>
  </si>
  <si>
    <t xml:space="preserve">        VMware Cloud Foundation VI Workload Domain Post-Deployment </t>
  </si>
  <si>
    <t xml:space="preserve"> </t>
  </si>
  <si>
    <t>NSX Network Connectivity for the Workload Domain</t>
  </si>
  <si>
    <t>NSX Federation for Workload Domain</t>
  </si>
  <si>
    <t>Virtual Infrastructure (VI) Workload Domain: Post-Deployment Options</t>
  </si>
  <si>
    <t>NSX Network Connectivity for VI Workload Domain</t>
  </si>
  <si>
    <t>NSX Federation for VI Workload Domain</t>
  </si>
  <si>
    <t>Installing Microsoft CA-Signed Certificates using SDDC Manager</t>
  </si>
  <si>
    <t>NSX Network Connectivity for the Workload Domain {vCenter}</t>
  </si>
  <si>
    <t>Create an NSX-T Edge Cluster</t>
  </si>
  <si>
    <t>Configured as part of Global Fabric Setting</t>
  </si>
  <si>
    <t>Values are set based on vSphere Cluster configuration in the Deploy Workload Domain Tab. Click to Redirect</t>
  </si>
  <si>
    <t xml:space="preserve">Host Group is optional and must be precreated in vCenter Prior to Starting this workflow </t>
  </si>
  <si>
    <t>Data Store</t>
  </si>
  <si>
    <t>Values are set based on Datastore configuration in the Deploy Workload Domain Tab. Click to Redirect</t>
  </si>
  <si>
    <t>Must be precreated in vCenter, Values are set based on VM Management Network configuration in the Deploy Workload Domain Tab. Click to Redirect</t>
  </si>
  <si>
    <t>Values are set based on VM Management Network configuration in the Deploy Workload Domain Tab. Click to Redirect</t>
  </si>
  <si>
    <t>Edge Node Uplink Mapping</t>
  </si>
  <si>
    <t>vmnic0</t>
  </si>
  <si>
    <t>vmnic1</t>
  </si>
  <si>
    <t>Overlay IP Address #01 for Edge Node 1</t>
  </si>
  <si>
    <t>Overlay IP Address #02  for Edge Node 1</t>
  </si>
  <si>
    <t xml:space="preserve">Value is set based on Host Group affinity for Edge node 1 </t>
  </si>
  <si>
    <t>Must be precreated in vCenter</t>
  </si>
  <si>
    <t xml:space="preserve">Input is determined based on your selection for Edge Node 01  </t>
  </si>
  <si>
    <t>IPv4 Static List Edge Node 2: Edge TEP 1 IP</t>
  </si>
  <si>
    <t>Overlay IP Address #01 for Edge Node 2</t>
  </si>
  <si>
    <t>IPv4 Static List Edge Node 2: Edge TEP 2 IP</t>
  </si>
  <si>
    <t>Overlay IP Address #02 for Edge Node 2</t>
  </si>
  <si>
    <t>Active Active</t>
  </si>
  <si>
    <t xml:space="preserve">Uplink 1 IP Address for Edge Node 1 </t>
  </si>
  <si>
    <t>Uplink 2 IP Address for Edge Node 1</t>
  </si>
  <si>
    <t xml:space="preserve">Top of Rack 2 - IP Address </t>
  </si>
  <si>
    <t xml:space="preserve">Top of Rack 2 - IP Address. Input is determined based on your selection for Edge Node 01  </t>
  </si>
  <si>
    <t>192.168.41.0/24</t>
  </si>
  <si>
    <t>Provide Private IPs for VPC configuration - Value is Private (Transit Gateway) CIDR</t>
  </si>
  <si>
    <t>System generated PortGroup names are used unless NSX Edges are deployed using API - Portgroup must be precreated in vCenter</t>
  </si>
  <si>
    <t>Deploy AVI Load Balancer</t>
  </si>
  <si>
    <t>vSAN Stretched Cluster {API}</t>
  </si>
  <si>
    <t>WLD Domain VLAN and IP Subnet Requirements (vSAN Witness Zone)</t>
  </si>
  <si>
    <t>Deploy and Configure vSAN Witness Host  {vCenter}</t>
  </si>
  <si>
    <t xml:space="preserve"> Minimum 8 Characters, 1 Uppercase, 1 Special</t>
  </si>
  <si>
    <t xml:space="preserve"> IP Address</t>
  </si>
  <si>
    <t>Available after host is comissioned in SDDC Manager</t>
  </si>
  <si>
    <t>728715b3-40f4-418a-884b-9ca9f261c51a</t>
  </si>
  <si>
    <t>3e4a212b-9d3b-40d8-ae6c-bba7f4a4cb19</t>
  </si>
  <si>
    <t>82ca211e-372f-4038-94bd-7488f2482721</t>
  </si>
  <si>
    <t>fce56aac-1e7d-4c69-a2ef-09b7bdfadf83</t>
  </si>
  <si>
    <t>e236b1ea-8008-467c-9d14-009d9cf6afa4</t>
  </si>
  <si>
    <t>f8b26ead-ee1d-4392-adb2-31b1ce13cb65</t>
  </si>
  <si>
    <t>675bcfc7-b075-4041-bb2c-757e1f44ef95</t>
  </si>
  <si>
    <t>388b5023-b957-4f69-9ffe-f780237834aa</t>
  </si>
  <si>
    <t>9e97f427-331b-42a4-a609-72f691a2e121</t>
  </si>
  <si>
    <t>47722367-5fa2-4ff5-90e0-3fd2ad73bcf3</t>
  </si>
  <si>
    <t>a6759147-c16a-428a-ba12-f685acfab381</t>
  </si>
  <si>
    <t>5c1fecbe-573e-43ce-ab1a-1f1f49bca2ac</t>
  </si>
  <si>
    <t>fqdn</t>
  </si>
  <si>
    <r>
      <t>Virtual Machine Name</t>
    </r>
    <r>
      <rPr>
        <i/>
        <sz val="12"/>
        <color rgb="FF000000"/>
        <rFont val="Arial"/>
        <family val="2"/>
      </rPr>
      <t xml:space="preserve"> (Node 1)</t>
    </r>
  </si>
  <si>
    <r>
      <t xml:space="preserve">Location </t>
    </r>
    <r>
      <rPr>
        <i/>
        <sz val="12"/>
        <color rgb="FF000000"/>
        <rFont val="Arial"/>
        <family val="2"/>
      </rPr>
      <t>(Node 1)</t>
    </r>
  </si>
  <si>
    <r>
      <t>Compute Resource</t>
    </r>
    <r>
      <rPr>
        <i/>
        <sz val="12"/>
        <color rgb="FF000000"/>
        <rFont val="Arial"/>
        <family val="2"/>
      </rPr>
      <t xml:space="preserve"> (Node 1)</t>
    </r>
  </si>
  <si>
    <r>
      <t>Deployment configuration size</t>
    </r>
    <r>
      <rPr>
        <i/>
        <sz val="12"/>
        <color rgb="FF000000"/>
        <rFont val="Arial"/>
        <family val="2"/>
      </rPr>
      <t xml:space="preserve"> (Node 1)</t>
    </r>
  </si>
  <si>
    <r>
      <t>Datastore</t>
    </r>
    <r>
      <rPr>
        <i/>
        <sz val="12"/>
        <color rgb="FF000000"/>
        <rFont val="Arial"/>
        <family val="2"/>
      </rPr>
      <t xml:space="preserve"> (Node 1)</t>
    </r>
  </si>
  <si>
    <r>
      <t>Network 1 (Management Network</t>
    </r>
    <r>
      <rPr>
        <i/>
        <sz val="12"/>
        <color rgb="FF000000"/>
        <rFont val="Arial"/>
        <family val="2"/>
      </rPr>
      <t>) (Node 1)</t>
    </r>
  </si>
  <si>
    <r>
      <t xml:space="preserve">System Root User Password </t>
    </r>
    <r>
      <rPr>
        <i/>
        <sz val="12"/>
        <color rgb="FF000000"/>
        <rFont val="Arial"/>
        <family val="2"/>
      </rPr>
      <t>(Node 1)</t>
    </r>
  </si>
  <si>
    <r>
      <t>CLI "admin" User Password</t>
    </r>
    <r>
      <rPr>
        <i/>
        <sz val="12"/>
        <color rgb="FF000000"/>
        <rFont val="Arial"/>
        <family val="2"/>
      </rPr>
      <t xml:space="preserve"> (Node 1)</t>
    </r>
  </si>
  <si>
    <r>
      <t xml:space="preserve">CLI "audit" User Password </t>
    </r>
    <r>
      <rPr>
        <i/>
        <sz val="12"/>
        <color rgb="FF000000"/>
        <rFont val="Arial"/>
        <family val="2"/>
      </rPr>
      <t>(Node 1)</t>
    </r>
  </si>
  <si>
    <r>
      <t xml:space="preserve">Hostname (FQDN) </t>
    </r>
    <r>
      <rPr>
        <i/>
        <sz val="12"/>
        <color rgb="FF000000"/>
        <rFont val="Arial"/>
        <family val="2"/>
      </rPr>
      <t>(Node 1)</t>
    </r>
  </si>
  <si>
    <r>
      <t xml:space="preserve">Management Network IPv4 Address </t>
    </r>
    <r>
      <rPr>
        <i/>
        <sz val="12"/>
        <color rgb="FF000000"/>
        <rFont val="Arial"/>
        <family val="2"/>
      </rPr>
      <t>(Node 1)</t>
    </r>
  </si>
  <si>
    <r>
      <t xml:space="preserve">Management Network Netmask </t>
    </r>
    <r>
      <rPr>
        <i/>
        <sz val="12"/>
        <color rgb="FF000000"/>
        <rFont val="Arial"/>
        <family val="2"/>
      </rPr>
      <t>(Node 1)</t>
    </r>
  </si>
  <si>
    <r>
      <t>Default IPv4 Gateway</t>
    </r>
    <r>
      <rPr>
        <i/>
        <sz val="12"/>
        <color rgb="FF000000"/>
        <rFont val="Arial"/>
        <family val="2"/>
      </rPr>
      <t xml:space="preserve"> (Node 1)</t>
    </r>
  </si>
  <si>
    <r>
      <t xml:space="preserve">DNS Server list </t>
    </r>
    <r>
      <rPr>
        <i/>
        <sz val="12"/>
        <color rgb="FF000000"/>
        <rFont val="Arial"/>
        <family val="2"/>
      </rPr>
      <t>(Node 1)</t>
    </r>
  </si>
  <si>
    <r>
      <t>Domain Search List</t>
    </r>
    <r>
      <rPr>
        <i/>
        <sz val="12"/>
        <color rgb="FF000000"/>
        <rFont val="Arial"/>
        <family val="2"/>
      </rPr>
      <t xml:space="preserve"> (Node 1)</t>
    </r>
  </si>
  <si>
    <r>
      <t>NTP Server List</t>
    </r>
    <r>
      <rPr>
        <i/>
        <sz val="12"/>
        <color rgb="FF000000"/>
        <rFont val="Arial"/>
        <family val="2"/>
      </rPr>
      <t xml:space="preserve"> (Node 1)</t>
    </r>
  </si>
  <si>
    <r>
      <t>Virtual Machine Name</t>
    </r>
    <r>
      <rPr>
        <i/>
        <sz val="12"/>
        <color rgb="FF000000"/>
        <rFont val="Arial"/>
        <family val="2"/>
      </rPr>
      <t xml:space="preserve"> (Node 2)</t>
    </r>
  </si>
  <si>
    <r>
      <t xml:space="preserve">Location </t>
    </r>
    <r>
      <rPr>
        <i/>
        <sz val="12"/>
        <color rgb="FF000000"/>
        <rFont val="Arial"/>
        <family val="2"/>
      </rPr>
      <t>(Node 2)</t>
    </r>
  </si>
  <si>
    <r>
      <t>Compute Resource</t>
    </r>
    <r>
      <rPr>
        <i/>
        <sz val="12"/>
        <color rgb="FF000000"/>
        <rFont val="Arial"/>
        <family val="2"/>
      </rPr>
      <t xml:space="preserve"> (Node 2)</t>
    </r>
  </si>
  <si>
    <r>
      <t>Deployment configuration size</t>
    </r>
    <r>
      <rPr>
        <i/>
        <sz val="12"/>
        <color rgb="FF000000"/>
        <rFont val="Arial"/>
        <family val="2"/>
      </rPr>
      <t xml:space="preserve"> (Node 2)</t>
    </r>
  </si>
  <si>
    <r>
      <t>Datastore</t>
    </r>
    <r>
      <rPr>
        <i/>
        <sz val="12"/>
        <color rgb="FF000000"/>
        <rFont val="Arial"/>
        <family val="2"/>
      </rPr>
      <t xml:space="preserve"> (Node 2)</t>
    </r>
  </si>
  <si>
    <r>
      <t>Network 1 (Management Network</t>
    </r>
    <r>
      <rPr>
        <i/>
        <sz val="12"/>
        <color rgb="FF000000"/>
        <rFont val="Arial"/>
        <family val="2"/>
      </rPr>
      <t>) (Node 2)</t>
    </r>
  </si>
  <si>
    <r>
      <t xml:space="preserve">System Root User Password </t>
    </r>
    <r>
      <rPr>
        <i/>
        <sz val="12"/>
        <color rgb="FF000000"/>
        <rFont val="Arial"/>
        <family val="2"/>
      </rPr>
      <t>(Node 2)</t>
    </r>
  </si>
  <si>
    <r>
      <t>CLI "admin" User Password</t>
    </r>
    <r>
      <rPr>
        <i/>
        <sz val="12"/>
        <color rgb="FF000000"/>
        <rFont val="Arial"/>
        <family val="2"/>
      </rPr>
      <t xml:space="preserve"> (Node 2)</t>
    </r>
  </si>
  <si>
    <r>
      <t xml:space="preserve">CLI "audit" User Password </t>
    </r>
    <r>
      <rPr>
        <i/>
        <sz val="12"/>
        <color rgb="FF000000"/>
        <rFont val="Arial"/>
        <family val="2"/>
      </rPr>
      <t>(Node 2)</t>
    </r>
  </si>
  <si>
    <r>
      <t xml:space="preserve">Hostname (FQDN) </t>
    </r>
    <r>
      <rPr>
        <i/>
        <sz val="12"/>
        <color rgb="FF000000"/>
        <rFont val="Arial"/>
        <family val="2"/>
      </rPr>
      <t>(Node 2)</t>
    </r>
  </si>
  <si>
    <r>
      <t xml:space="preserve">Management Network IPv4 Address </t>
    </r>
    <r>
      <rPr>
        <i/>
        <sz val="12"/>
        <color rgb="FF000000"/>
        <rFont val="Arial"/>
        <family val="2"/>
      </rPr>
      <t>(Node 2)</t>
    </r>
  </si>
  <si>
    <r>
      <t xml:space="preserve">Management Network Netmask </t>
    </r>
    <r>
      <rPr>
        <i/>
        <sz val="12"/>
        <color rgb="FF000000"/>
        <rFont val="Arial"/>
        <family val="2"/>
      </rPr>
      <t>(Node 2)</t>
    </r>
  </si>
  <si>
    <r>
      <t>Default IPv4 Gateway</t>
    </r>
    <r>
      <rPr>
        <i/>
        <sz val="12"/>
        <color rgb="FF000000"/>
        <rFont val="Arial"/>
        <family val="2"/>
      </rPr>
      <t xml:space="preserve"> (Node 2)</t>
    </r>
  </si>
  <si>
    <r>
      <t xml:space="preserve">DNS Server list </t>
    </r>
    <r>
      <rPr>
        <i/>
        <sz val="12"/>
        <color rgb="FF000000"/>
        <rFont val="Arial"/>
        <family val="2"/>
      </rPr>
      <t>(Node 2)</t>
    </r>
  </si>
  <si>
    <r>
      <t>Domain Search List</t>
    </r>
    <r>
      <rPr>
        <i/>
        <sz val="12"/>
        <color rgb="FF000000"/>
        <rFont val="Arial"/>
        <family val="2"/>
      </rPr>
      <t xml:space="preserve"> (Node 2)</t>
    </r>
  </si>
  <si>
    <r>
      <t>NTP Server List</t>
    </r>
    <r>
      <rPr>
        <i/>
        <sz val="12"/>
        <color rgb="FF000000"/>
        <rFont val="Arial"/>
        <family val="2"/>
      </rPr>
      <t xml:space="preserve"> (Node 2)</t>
    </r>
  </si>
  <si>
    <r>
      <t>Virtual Machine Name</t>
    </r>
    <r>
      <rPr>
        <i/>
        <sz val="12"/>
        <color rgb="FF000000"/>
        <rFont val="Arial"/>
        <family val="2"/>
      </rPr>
      <t xml:space="preserve"> (Node 3)</t>
    </r>
  </si>
  <si>
    <r>
      <t xml:space="preserve">Location </t>
    </r>
    <r>
      <rPr>
        <i/>
        <sz val="12"/>
        <color rgb="FF000000"/>
        <rFont val="Arial"/>
        <family val="2"/>
      </rPr>
      <t>(Node 3)</t>
    </r>
  </si>
  <si>
    <r>
      <t>Compute Resource</t>
    </r>
    <r>
      <rPr>
        <i/>
        <sz val="12"/>
        <color rgb="FF000000"/>
        <rFont val="Arial"/>
        <family val="2"/>
      </rPr>
      <t xml:space="preserve"> (Node 3)</t>
    </r>
  </si>
  <si>
    <r>
      <t>Deployment configuration size</t>
    </r>
    <r>
      <rPr>
        <i/>
        <sz val="12"/>
        <color rgb="FF000000"/>
        <rFont val="Arial"/>
        <family val="2"/>
      </rPr>
      <t xml:space="preserve"> (Node 3)</t>
    </r>
  </si>
  <si>
    <r>
      <t>Datastore</t>
    </r>
    <r>
      <rPr>
        <i/>
        <sz val="12"/>
        <color rgb="FF000000"/>
        <rFont val="Arial"/>
        <family val="2"/>
      </rPr>
      <t xml:space="preserve"> (Node 3)</t>
    </r>
  </si>
  <si>
    <r>
      <t>Network 1 (Management Network</t>
    </r>
    <r>
      <rPr>
        <i/>
        <sz val="12"/>
        <color rgb="FF000000"/>
        <rFont val="Arial"/>
        <family val="2"/>
      </rPr>
      <t>) (Node 3)</t>
    </r>
  </si>
  <si>
    <r>
      <t xml:space="preserve">System Root User Password </t>
    </r>
    <r>
      <rPr>
        <i/>
        <sz val="12"/>
        <color rgb="FF000000"/>
        <rFont val="Arial"/>
        <family val="2"/>
      </rPr>
      <t>(Node 3)</t>
    </r>
  </si>
  <si>
    <r>
      <t>CLI "admin" User Password</t>
    </r>
    <r>
      <rPr>
        <i/>
        <sz val="12"/>
        <color rgb="FF000000"/>
        <rFont val="Arial"/>
        <family val="2"/>
      </rPr>
      <t xml:space="preserve"> (Node 3)</t>
    </r>
  </si>
  <si>
    <r>
      <t xml:space="preserve">CLI "audit" User Password </t>
    </r>
    <r>
      <rPr>
        <i/>
        <sz val="12"/>
        <color rgb="FF000000"/>
        <rFont val="Arial"/>
        <family val="2"/>
      </rPr>
      <t>(Node 3)</t>
    </r>
  </si>
  <si>
    <r>
      <t xml:space="preserve">Hostname (FQDN) </t>
    </r>
    <r>
      <rPr>
        <i/>
        <sz val="12"/>
        <color rgb="FF000000"/>
        <rFont val="Arial"/>
        <family val="2"/>
      </rPr>
      <t>(Node 3)</t>
    </r>
  </si>
  <si>
    <r>
      <t xml:space="preserve">Management Network IPv4 Address </t>
    </r>
    <r>
      <rPr>
        <i/>
        <sz val="12"/>
        <color rgb="FF000000"/>
        <rFont val="Arial"/>
        <family val="2"/>
      </rPr>
      <t>(Node 3)</t>
    </r>
  </si>
  <si>
    <r>
      <t xml:space="preserve">Management Network Netmask </t>
    </r>
    <r>
      <rPr>
        <i/>
        <sz val="12"/>
        <color rgb="FF000000"/>
        <rFont val="Arial"/>
        <family val="2"/>
      </rPr>
      <t>(Node 3)</t>
    </r>
  </si>
  <si>
    <r>
      <t>Default IPv4 Gateway</t>
    </r>
    <r>
      <rPr>
        <i/>
        <sz val="12"/>
        <color rgb="FF000000"/>
        <rFont val="Arial"/>
        <family val="2"/>
      </rPr>
      <t xml:space="preserve"> (Node 3)</t>
    </r>
  </si>
  <si>
    <r>
      <t xml:space="preserve">DNS Server list </t>
    </r>
    <r>
      <rPr>
        <i/>
        <sz val="12"/>
        <color rgb="FF000000"/>
        <rFont val="Arial"/>
        <family val="2"/>
      </rPr>
      <t>(Node 3)</t>
    </r>
  </si>
  <si>
    <r>
      <t>Domain Search List</t>
    </r>
    <r>
      <rPr>
        <i/>
        <sz val="12"/>
        <color rgb="FF000000"/>
        <rFont val="Arial"/>
        <family val="2"/>
      </rPr>
      <t xml:space="preserve"> (Node 3)</t>
    </r>
  </si>
  <si>
    <r>
      <t>NTP Server List</t>
    </r>
    <r>
      <rPr>
        <i/>
        <sz val="12"/>
        <color rgb="FF000000"/>
        <rFont val="Arial"/>
        <family val="2"/>
      </rPr>
      <t xml:space="preserve"> (Node 3)</t>
    </r>
  </si>
  <si>
    <t>da3bd7dc-aa06-4f2d-a9e1-0c4999354c9b</t>
  </si>
  <si>
    <t>NSX Global Manager API Thumbprint</t>
  </si>
  <si>
    <t>d7a6264cd8f74033e851944a205110afdeb046386af42ce47240939c417acb93</t>
  </si>
  <si>
    <r>
      <t>first_node_IP</t>
    </r>
    <r>
      <rPr>
        <i/>
        <sz val="12"/>
        <color rgb="FF000000"/>
        <rFont val="Arial"/>
        <family val="2"/>
      </rPr>
      <t xml:space="preserve"> (Node 3)</t>
    </r>
  </si>
  <si>
    <r>
      <t xml:space="preserve">cluster_ID </t>
    </r>
    <r>
      <rPr>
        <i/>
        <sz val="12"/>
        <color rgb="FF000000"/>
        <rFont val="Arial"/>
        <family val="2"/>
      </rPr>
      <t>(Node 3)</t>
    </r>
  </si>
  <si>
    <t>b900065b-aeb5-457e-aca6-4612b17d06d9</t>
  </si>
  <si>
    <t>Note: Click this cell to redirect to the location for storing this output</t>
  </si>
  <si>
    <r>
      <t xml:space="preserve">Edge Node </t>
    </r>
    <r>
      <rPr>
        <i/>
        <sz val="12"/>
        <color theme="1"/>
        <rFont val="Arial"/>
        <family val="2"/>
      </rPr>
      <t>(1st Additional Interface)</t>
    </r>
  </si>
  <si>
    <r>
      <t>MTU</t>
    </r>
    <r>
      <rPr>
        <i/>
        <sz val="12"/>
        <color theme="1"/>
        <rFont val="Arial"/>
        <family val="2"/>
      </rPr>
      <t xml:space="preserve"> (1st Additional Interface)</t>
    </r>
  </si>
  <si>
    <r>
      <t xml:space="preserve">Name </t>
    </r>
    <r>
      <rPr>
        <i/>
        <sz val="12"/>
        <color theme="1"/>
        <rFont val="Arial"/>
        <family val="2"/>
      </rPr>
      <t>(2nd Additional Interface)</t>
    </r>
  </si>
  <si>
    <r>
      <t>Location</t>
    </r>
    <r>
      <rPr>
        <i/>
        <sz val="12"/>
        <color theme="1"/>
        <rFont val="Arial"/>
        <family val="2"/>
      </rPr>
      <t xml:space="preserve"> (2nd Additional Interface)</t>
    </r>
  </si>
  <si>
    <r>
      <t xml:space="preserve">Segment </t>
    </r>
    <r>
      <rPr>
        <i/>
        <sz val="12"/>
        <color rgb="FF000000"/>
        <rFont val="Arial"/>
        <family val="2"/>
      </rPr>
      <t>(2nd Additional Interface)</t>
    </r>
  </si>
  <si>
    <r>
      <t>Location</t>
    </r>
    <r>
      <rPr>
        <i/>
        <sz val="12"/>
        <color theme="1"/>
        <rFont val="Arial"/>
        <family val="2"/>
      </rPr>
      <t xml:space="preserve"> (3rd Additional Interface)</t>
    </r>
  </si>
  <si>
    <r>
      <t xml:space="preserve">IP Address/Mask </t>
    </r>
    <r>
      <rPr>
        <i/>
        <sz val="12"/>
        <color theme="1"/>
        <rFont val="Arial"/>
        <family val="2"/>
      </rPr>
      <t>(3rd Additional Interface)</t>
    </r>
  </si>
  <si>
    <r>
      <t xml:space="preserve">Segment </t>
    </r>
    <r>
      <rPr>
        <i/>
        <sz val="12"/>
        <color rgb="FF000000"/>
        <rFont val="Arial"/>
        <family val="2"/>
      </rPr>
      <t>(3rd Additional Interface)</t>
    </r>
  </si>
  <si>
    <r>
      <t>Edge Node</t>
    </r>
    <r>
      <rPr>
        <i/>
        <sz val="12"/>
        <color theme="1"/>
        <rFont val="Arial"/>
        <family val="2"/>
      </rPr>
      <t xml:space="preserve"> (3rd Additional Interface)</t>
    </r>
  </si>
  <si>
    <r>
      <t>MTU</t>
    </r>
    <r>
      <rPr>
        <i/>
        <sz val="12"/>
        <color theme="1"/>
        <rFont val="Arial"/>
        <family val="2"/>
      </rPr>
      <t xml:space="preserve"> (3rd Additional Interface)</t>
    </r>
  </si>
  <si>
    <r>
      <t>IP Address/Mask</t>
    </r>
    <r>
      <rPr>
        <i/>
        <sz val="12"/>
        <color theme="1"/>
        <rFont val="Arial"/>
        <family val="2"/>
      </rPr>
      <t xml:space="preserve"> (4th Additional Interface)</t>
    </r>
  </si>
  <si>
    <r>
      <t xml:space="preserve">Edge Node </t>
    </r>
    <r>
      <rPr>
        <i/>
        <sz val="12"/>
        <color theme="1"/>
        <rFont val="Arial"/>
        <family val="2"/>
      </rPr>
      <t>(4th Additional Interface)</t>
    </r>
  </si>
  <si>
    <r>
      <t xml:space="preserve">Location </t>
    </r>
    <r>
      <rPr>
        <i/>
        <sz val="12"/>
        <color theme="1"/>
        <rFont val="Arial"/>
        <family val="2"/>
      </rPr>
      <t>(1st BGP Peer)</t>
    </r>
  </si>
  <si>
    <r>
      <t xml:space="preserve">1st Source Address </t>
    </r>
    <r>
      <rPr>
        <i/>
        <sz val="12"/>
        <color theme="1"/>
        <rFont val="Arial"/>
        <family val="2"/>
      </rPr>
      <t>(1st BGP Peer)</t>
    </r>
  </si>
  <si>
    <r>
      <t>2nd Source Address</t>
    </r>
    <r>
      <rPr>
        <i/>
        <sz val="12"/>
        <color theme="1"/>
        <rFont val="Arial"/>
        <family val="2"/>
      </rPr>
      <t xml:space="preserve"> (1st BGP Peer)</t>
    </r>
  </si>
  <si>
    <r>
      <t xml:space="preserve">Password </t>
    </r>
    <r>
      <rPr>
        <i/>
        <sz val="12"/>
        <color theme="1"/>
        <rFont val="Arial"/>
        <family val="2"/>
      </rPr>
      <t>(1st BGP Peer)</t>
    </r>
  </si>
  <si>
    <r>
      <t>IP Address</t>
    </r>
    <r>
      <rPr>
        <i/>
        <sz val="12"/>
        <color theme="1"/>
        <rFont val="Arial"/>
        <family val="2"/>
      </rPr>
      <t xml:space="preserve"> (2nd BGP Peer)</t>
    </r>
  </si>
  <si>
    <r>
      <t>Remote AS Number</t>
    </r>
    <r>
      <rPr>
        <i/>
        <sz val="12"/>
        <color theme="1"/>
        <rFont val="Arial"/>
        <family val="2"/>
      </rPr>
      <t xml:space="preserve"> (2nd BGP Peer)</t>
    </r>
  </si>
  <si>
    <r>
      <t>1st Source Address</t>
    </r>
    <r>
      <rPr>
        <i/>
        <sz val="12"/>
        <color theme="1"/>
        <rFont val="Arial"/>
        <family val="2"/>
      </rPr>
      <t xml:space="preserve"> (2nd BGP Peer)</t>
    </r>
  </si>
  <si>
    <r>
      <t xml:space="preserve">2nd Source Address </t>
    </r>
    <r>
      <rPr>
        <i/>
        <sz val="12"/>
        <color theme="1"/>
        <rFont val="Arial"/>
        <family val="2"/>
      </rPr>
      <t>(2nd BGP Peer)</t>
    </r>
  </si>
  <si>
    <t xml:space="preserve">        VMware Cloud Foundation Cluster Deployment </t>
  </si>
  <si>
    <t xml:space="preserve">Deploy a New Cluster Options </t>
  </si>
  <si>
    <t>Select a Workload Domain</t>
  </si>
  <si>
    <t>Deploy a Single-Rack / Multi-Rack Layer 2 Cluster</t>
  </si>
  <si>
    <t>New Cluster Deployment</t>
  </si>
  <si>
    <t>Prepare Workload Domain with a Secondary Storage Network</t>
  </si>
  <si>
    <t>Create SDDC Cluster</t>
  </si>
  <si>
    <t>Select the type of storage you would like to use for this cluster.</t>
  </si>
  <si>
    <t>General</t>
  </si>
  <si>
    <t>Enter the details for cluster.</t>
  </si>
  <si>
    <t>Select the cluster type and review the vSAN ESA cluster configuration.</t>
  </si>
  <si>
    <t>Provide resilient remote data access to vSphere clusters without the need for a local vSAN Datastore.</t>
  </si>
  <si>
    <t>vSAN Storage Cluster Name</t>
  </si>
  <si>
    <t>If Static Pools for Host TEP assignment is required then use COPY FROM PRECONFIGURED PROFILE option</t>
  </si>
  <si>
    <t>Preconfigured Profiles</t>
  </si>
  <si>
    <t>Portgroup should be created manually on Primary Distributed Switch post Deployment. Used for NSX Edge MGMT Interface.</t>
  </si>
  <si>
    <t>Transport Zone Type: NSX- Overlay</t>
  </si>
  <si>
    <t>Re-use an existing Pool</t>
  </si>
  <si>
    <t xml:space="preserve">Description </t>
  </si>
  <si>
    <t>NSX Transport Node Profile Settings</t>
  </si>
  <si>
    <t>Active uplink1</t>
  </si>
  <si>
    <t>Active uplink2</t>
  </si>
  <si>
    <t>Stretched Cluster</t>
  </si>
  <si>
    <t>Commission Hosts  {vCenter}</t>
  </si>
  <si>
    <t>vSAN Compute Site Network Toplogy</t>
  </si>
  <si>
    <t>Symmetric</t>
  </si>
  <si>
    <t>vSAN Compute Cluster Fault Domain Mapping</t>
  </si>
  <si>
    <t>Primary</t>
  </si>
  <si>
    <t>New</t>
  </si>
  <si>
    <t>Old</t>
  </si>
  <si>
    <t>input_vvs_dr_ntp1_server</t>
  </si>
  <si>
    <t>input_vvs_dr_ntp1_ip</t>
  </si>
  <si>
    <t>cluster_vsan_type_chosen</t>
  </si>
  <si>
    <t>input_cluster_vsan_type</t>
  </si>
  <si>
    <t>flt_vidb_chosen</t>
  </si>
  <si>
    <t>input_flt_vidb_deployment_mode</t>
  </si>
  <si>
    <t>mgmt_vns_chosen</t>
  </si>
  <si>
    <t>input_mgmt_ec_gateway_type</t>
  </si>
  <si>
    <t>wld_cl01_vsan_client_network_chosen</t>
  </si>
  <si>
    <t>input_wld_cl01_vsan_client_network_chosen</t>
  </si>
  <si>
    <t>vvs_dr_flt_logs_nodea_hostname</t>
  </si>
  <si>
    <t>input_xreg_logs_nodea_hostname</t>
  </si>
  <si>
    <t>vvs_dr_flt_logs_nodeb_hostname</t>
  </si>
  <si>
    <t>input_xreg_logs_nodeb_hostname</t>
  </si>
  <si>
    <t>vvs_dr_flt_logs_nodec_hostname</t>
  </si>
  <si>
    <t>input_xreg_logs_nodec_hostname</t>
  </si>
  <si>
    <t>vvs_dr_flt_net_nodea_hostname</t>
  </si>
  <si>
    <t>input_xreg_net_nodea_hostname</t>
  </si>
  <si>
    <t>vvs_dr_flt_net_nodeb_hostname</t>
  </si>
  <si>
    <t>input_xreg_net_nodeb_hostname</t>
  </si>
  <si>
    <t>input_xreg_net_nodec_hostname</t>
  </si>
  <si>
    <t>vvs_dr_flt_fleet_manager_hostname</t>
  </si>
  <si>
    <t>input_xreg_vrops_flt_hostname</t>
  </si>
  <si>
    <t>wld_multirack_calc</t>
  </si>
  <si>
    <t>wld_multirack_chosen</t>
  </si>
  <si>
    <t>cluster_vsan_type</t>
  </si>
  <si>
    <t>wld_cl01_vsan_client_network</t>
  </si>
  <si>
    <t>sample_mgmt_nsxt_gm_vip_ip</t>
  </si>
  <si>
    <t>sample_mgmt_nsxt_gm_ip</t>
  </si>
  <si>
    <t>input_mgmt_nsxt_gm_vip_ip</t>
  </si>
  <si>
    <t>input_mgmt_nsxt_gm_ip</t>
  </si>
  <si>
    <t>mgmt_nsxt_gm_vip_ip</t>
  </si>
  <si>
    <t>mgmt_nsxt_gm_ip</t>
  </si>
  <si>
    <t>sample_mgmt_nsxt_vip_ip</t>
  </si>
  <si>
    <t>sample_mgmt_nsxt_ip</t>
  </si>
  <si>
    <t>input_mgmt_nsxt_vip_ip</t>
  </si>
  <si>
    <t>input_mgmt_nsxt_ip</t>
  </si>
  <si>
    <t>mgmt_nsxt_vip_ip</t>
  </si>
  <si>
    <t>mgmt_nsxt_ip</t>
  </si>
  <si>
    <t>sample_wld_nsxt_gm_vip_ip</t>
  </si>
  <si>
    <t>sample_wld_nsxt_gm_ip</t>
  </si>
  <si>
    <t>input_wld_nsxt_gm_vip_ip</t>
  </si>
  <si>
    <t>input_wld_nsxt_gm_ip</t>
  </si>
  <si>
    <t>wld_nsxt_gm_vip_ip</t>
  </si>
  <si>
    <t>wld_nsxt_gm_ip</t>
  </si>
  <si>
    <t>sample_wld_nsxt_vip_ip</t>
  </si>
  <si>
    <t>sample_wld_nsxt_ip</t>
  </si>
  <si>
    <t>input_wld_nsxt_vip_ip</t>
  </si>
  <si>
    <t>input_wld_nsxt_ip</t>
  </si>
  <si>
    <t>wld_nsxt_vip_ip</t>
  </si>
  <si>
    <t>wld_nsxt_ip</t>
  </si>
  <si>
    <t>sample_flt_vidb_vip_fqdn</t>
  </si>
  <si>
    <t>sample_flt_vidb_fqdn</t>
  </si>
  <si>
    <t>input_flt_vidb_vip_fqdn</t>
  </si>
  <si>
    <t>input_flt_vidb_fqdn</t>
  </si>
  <si>
    <t>flt_vidb_vip_fqdn</t>
  </si>
  <si>
    <t>flt_vidb_fqdn</t>
  </si>
  <si>
    <t>mgmt_nsxt_appliance_size_chosen</t>
  </si>
  <si>
    <t>sizing_m01_nsxt_model_chosen</t>
  </si>
  <si>
    <t>wld_nsxt_appliance_size_chosen</t>
  </si>
  <si>
    <t xml:space="preserve">sizing_wld_nsxt_model_chosen </t>
  </si>
  <si>
    <t>mgmt_vcenter_appliance_size_chosen</t>
  </si>
  <si>
    <t xml:space="preserve">sizing_m01_vcenter_appliance_size_chosen </t>
  </si>
  <si>
    <t>mgmt_vcenter_appliance_storage_size_chosen</t>
  </si>
  <si>
    <t>sizing_m01_vcenter_storage_size_chosen</t>
  </si>
  <si>
    <t>mgmt_vcfops_appliance_size_chosen</t>
  </si>
  <si>
    <t>xreg_vrops_appliance_size_chosen</t>
  </si>
  <si>
    <t xml:space="preserve">       VMware Cloud Foundation Network Value Reference Tables</t>
  </si>
  <si>
    <t>Transposed and Calculated Values. All values are named cells for reference in other areas of the Workbook</t>
  </si>
  <si>
    <t>Bundle Download</t>
  </si>
  <si>
    <t>MGMT Rack 1 VLANs  (Primary AZ)</t>
  </si>
  <si>
    <t>Rack 1 VLANs  (Primary AZ)</t>
  </si>
  <si>
    <t>Rack 2 VLANs  (Primary AZ)</t>
  </si>
  <si>
    <t>Rack 3 VLANs  (Primary AZ)</t>
  </si>
  <si>
    <t>Rack 4 VLANs  (Primary AZ)</t>
  </si>
  <si>
    <t>Rack 5 VLANs  (Primary AZ)</t>
  </si>
  <si>
    <t>Rack 6 VLANs  (Primary AZ)</t>
  </si>
  <si>
    <t>Rack 7  VLANs  (Primary AZ)</t>
  </si>
  <si>
    <t>Rack 8 VLANs  (Primary AZ)</t>
  </si>
  <si>
    <t>Modifiers</t>
  </si>
  <si>
    <t>Value</t>
  </si>
  <si>
    <t>AZ1 Actual Value</t>
  </si>
  <si>
    <t>WLD Rack2 AZ1 Host VLAN Prefix</t>
  </si>
  <si>
    <t xml:space="preserve">Depot Type </t>
  </si>
  <si>
    <t>Management VM Network</t>
  </si>
  <si>
    <t>WLD Rack 2 AZ2 Host VLAN Prefix</t>
  </si>
  <si>
    <t xml:space="preserve">ESXi Management Network </t>
  </si>
  <si>
    <t>WLD Rack 2  AZ1 Host CIDR Prefix</t>
  </si>
  <si>
    <t>WLD Rack 2 AZ2 Host CIDR Prefix</t>
  </si>
  <si>
    <t>Proxy Configuration</t>
  </si>
  <si>
    <t>NSX Host Overlay</t>
  </si>
  <si>
    <t>Protocol</t>
  </si>
  <si>
    <t>Secondary Storage Network (NFS)</t>
  </si>
  <si>
    <t>Internet Proxy Chosen</t>
  </si>
  <si>
    <t>Proxy Address</t>
  </si>
  <si>
    <t>NSX Edge Uplink 1</t>
  </si>
  <si>
    <t xml:space="preserve">Proxy Port </t>
  </si>
  <si>
    <t>NSX Edge Uplink 2</t>
  </si>
  <si>
    <t>Proxy Authentication</t>
  </si>
  <si>
    <t>NSX Edge Overlay</t>
  </si>
  <si>
    <t>Start ASN</t>
  </si>
  <si>
    <t>NSX RTEP Overlay</t>
  </si>
  <si>
    <t>Instance 1</t>
  </si>
  <si>
    <t>vSphere Replication</t>
  </si>
  <si>
    <t>asn_mgmt_az1</t>
  </si>
  <si>
    <t>asn_mgmt_az2</t>
  </si>
  <si>
    <t>General Info</t>
  </si>
  <si>
    <t>MGMT Rack 1 Network CIDRs  (Primary AZ)</t>
  </si>
  <si>
    <t>Rack 1 Network CIDRs  (Primary AZ)</t>
  </si>
  <si>
    <t>Rack 2 Network CIDRs  (Primary AZ)</t>
  </si>
  <si>
    <t>Rack 3 Network CIDRs  (Primary AZ)</t>
  </si>
  <si>
    <t>Rack 4 Network CIDRs  (Primary AZ)</t>
  </si>
  <si>
    <t>Rack 5 Network CIDRs (Primary AZ)</t>
  </si>
  <si>
    <t>Rack 6 Network CIDRs  (Primary AZ)</t>
  </si>
  <si>
    <t>Rack 7 Network CIDRs  (Primary AZ)</t>
  </si>
  <si>
    <t>Rack 8 Network CIDRs  (Primary AZ)</t>
  </si>
  <si>
    <t>asn_wld_az1</t>
  </si>
  <si>
    <t>asn_wld_az2</t>
  </si>
  <si>
    <t>Deployment Type</t>
  </si>
  <si>
    <t>Instance Name</t>
  </si>
  <si>
    <t xml:space="preserve">Deployment Model </t>
  </si>
  <si>
    <t>Password Creation Auto-generate passwords</t>
  </si>
  <si>
    <t>FLT-MGR use Use same password as VCF Operations</t>
  </si>
  <si>
    <t>Ops-Collector Use same password as VCF Operations</t>
  </si>
  <si>
    <t>Deployment Parameters</t>
  </si>
  <si>
    <t>DNS</t>
  </si>
  <si>
    <t>Zone name</t>
  </si>
  <si>
    <t>Server #1</t>
  </si>
  <si>
    <t>Server #2</t>
  </si>
  <si>
    <t>MGMT Rack 1 Network (Primary AZ)</t>
  </si>
  <si>
    <t>Rack 1 Network   (Primary AZ)</t>
  </si>
  <si>
    <t>Rack 2 Network (Primary AZ)</t>
  </si>
  <si>
    <t>Rack 3 Network (Primary AZ)</t>
  </si>
  <si>
    <t>Rack 4 Network (Primary AZ)</t>
  </si>
  <si>
    <t>Rack 5 Network (Primary AZ)</t>
  </si>
  <si>
    <t>Rack 6 Network (Primary AZ)</t>
  </si>
  <si>
    <t>Rack 7 Network (Primary AZ)</t>
  </si>
  <si>
    <t>Rack 8 Network (Primary AZ)</t>
  </si>
  <si>
    <t>NTP</t>
  </si>
  <si>
    <t>Server #3</t>
  </si>
  <si>
    <t>Enable Customer Experience Improvement Program (CEIP)</t>
  </si>
  <si>
    <t>Appliance Storage Size</t>
  </si>
  <si>
    <t>Datacenter name</t>
  </si>
  <si>
    <t>Cluster name</t>
  </si>
  <si>
    <t>MGMT Netmask   (Primary AZ)</t>
  </si>
  <si>
    <t>Rack 1 Netmask   (Primary AZ)</t>
  </si>
  <si>
    <t>Rack 2 Netmask (Primary AZ)</t>
  </si>
  <si>
    <t>Rack 3 Netmask (Primary AZ)</t>
  </si>
  <si>
    <t>Rack 4 Netmask (Primary AZ)</t>
  </si>
  <si>
    <t>Rack 5 Netmask (Primary AZ)</t>
  </si>
  <si>
    <t>Rack 6 Netmask (Primary AZ)</t>
  </si>
  <si>
    <t>Rack 7 Netmask (Primary AZ)</t>
  </si>
  <si>
    <t>Rack 8 Netmask (Primary AZ)</t>
  </si>
  <si>
    <t>Appliance 2 FQDN</t>
  </si>
  <si>
    <t>Appliance 3 FQDN</t>
  </si>
  <si>
    <t>Principal Storage Network (vSAN-ESA)</t>
  </si>
  <si>
    <t>VCF Operations</t>
  </si>
  <si>
    <t>Operations Collector appliance FQDN</t>
  </si>
  <si>
    <t>MGMT Rack 1 Network MTU  (Primary AZ)</t>
  </si>
  <si>
    <t>Rack 1 Network MTU  (Primary AZ)</t>
  </si>
  <si>
    <t>Rack 2 Network MTU  (Primary AZ)</t>
  </si>
  <si>
    <t>Rack 3 Network MTU  (Primary AZ)</t>
  </si>
  <si>
    <t>Rack 4 Network MTU  (Primary AZ)</t>
  </si>
  <si>
    <t>Rack 5 Network MTU  (Primary AZ)</t>
  </si>
  <si>
    <t>Rack 6 Network MTU  (Primary AZ)</t>
  </si>
  <si>
    <t>Rack 7 Network MTU  (Primary AZ)</t>
  </si>
  <si>
    <t>Rack 8 Network MTU  (Primary AZ)</t>
  </si>
  <si>
    <t>MGMT Rack 1 Network Gateways  (Primary AZ)</t>
  </si>
  <si>
    <t>Rack 1 Network Gateways  (Primary AZ)</t>
  </si>
  <si>
    <t>Rack 2 Network Gateways  (Primary AZ)</t>
  </si>
  <si>
    <t>Rack 3 Network Gateways  (Primary AZ)</t>
  </si>
  <si>
    <t>Rack 4 Network Gateways  (Primary AZ)</t>
  </si>
  <si>
    <t>Rack 5 Network Gateways  (Primary AZ)</t>
  </si>
  <si>
    <t>Rack 6 Network Gateways  (Primary AZ)</t>
  </si>
  <si>
    <t>Rack 7 Network Gateways  (Primary AZ)</t>
  </si>
  <si>
    <t>Rack 8 Network Gateways  (Primary AZ)</t>
  </si>
  <si>
    <t>MGMT Rack 1 BGP Requirements  (Primary AZ)</t>
  </si>
  <si>
    <t>Rack 1 BGP Requirements  (Primary AZ)</t>
  </si>
  <si>
    <t>Rack 2 BGP Requirements  (Primary AZ)</t>
  </si>
  <si>
    <t>Rack 3 BGP Requirements  (Primary AZ)</t>
  </si>
  <si>
    <t>Rack 4 BGP Requirements  (Primary AZ)</t>
  </si>
  <si>
    <t>Rack 5 BGP Requirements  (Primary AZ)</t>
  </si>
  <si>
    <t>Rack 6 BGP Requirements  (Primary AZ)</t>
  </si>
  <si>
    <t>Rack 7 BGP Requirements  (Primary AZ)</t>
  </si>
  <si>
    <t>Rack 8 BGP Requirements  (Primary AZ)</t>
  </si>
  <si>
    <t>MGMT Rack 1 Portgroup Names  (Primary AZ)</t>
  </si>
  <si>
    <t>Rack 1 Primary Cluster Portgroup Names  (Primary AZ)</t>
  </si>
  <si>
    <t>Rack 2 Portgroup Configuration  (Primary AZ)</t>
  </si>
  <si>
    <t>Rack 3 Switch Portgroup  (Primary AZ)</t>
  </si>
  <si>
    <t>Rack 4 Switch Configuration  (Primary AZ)</t>
  </si>
  <si>
    <t>Rack 5 Switch Configuration  (Primary AZ)</t>
  </si>
  <si>
    <t>Rack 6 Switch Configuration  (Primary AZ)</t>
  </si>
  <si>
    <t>Rack 7 Switch Configuration  (Primary AZ)</t>
  </si>
  <si>
    <t>Rack 8 Switch Configuration  (Primary AZ)</t>
  </si>
  <si>
    <t>NSX RTEP Overaly</t>
  </si>
  <si>
    <t xml:space="preserve">NFS Network </t>
  </si>
  <si>
    <t xml:space="preserve">vSAN Client Network </t>
  </si>
  <si>
    <t>Rack 1 uplink  (Primary AZ)</t>
  </si>
  <si>
    <t>Management VM Network Uplink1</t>
  </si>
  <si>
    <t>Management VM Network Uplink2</t>
  </si>
  <si>
    <t>ESXi Management Network Uplink1</t>
  </si>
  <si>
    <t>ESXi Management Network Uplink2</t>
  </si>
  <si>
    <t>vMotion Network Uplink1</t>
  </si>
  <si>
    <t>vMotion Network Uplink2</t>
  </si>
  <si>
    <t>vSAN Network Uplink1</t>
  </si>
  <si>
    <t>vSAN Network Uplink2</t>
  </si>
  <si>
    <t>NSX Network Uplink1</t>
  </si>
  <si>
    <t>NSX Network Uplink2</t>
  </si>
  <si>
    <t>NFS Network Uplink1</t>
  </si>
  <si>
    <t>vSAN Client Network Uplink1</t>
  </si>
  <si>
    <t>NFS Network Uplink2</t>
  </si>
  <si>
    <t>MGMT Rack 1 LBT  (Primary AZ)</t>
  </si>
  <si>
    <t>Rack 1 LBT  (Primary AZ)</t>
  </si>
  <si>
    <t>Management VM Network LBT</t>
  </si>
  <si>
    <t>ESX Management Network LBT</t>
  </si>
  <si>
    <t>vMotion LBT</t>
  </si>
  <si>
    <t>vSAN LBT</t>
  </si>
  <si>
    <t xml:space="preserve">NSX Management Network </t>
  </si>
  <si>
    <t>vSAN Client Network LBT</t>
  </si>
  <si>
    <t>NFS Network LBT</t>
  </si>
  <si>
    <t>MGMT Rack 1 Network Pool Ranges (Primary AZ)</t>
  </si>
  <si>
    <t>Rack 1 Network Pool Ranges (Primary AZ)</t>
  </si>
  <si>
    <t>Rack 2 Network Pool Ranges (Primary AZ)</t>
  </si>
  <si>
    <t>Rack 3 Network Pool Ranges (Primary AZ)</t>
  </si>
  <si>
    <t>Rack 4 Network Pool Ranges (Primary AZ)</t>
  </si>
  <si>
    <t>Rack 5 Network Pool Ranges (Primary AZ)</t>
  </si>
  <si>
    <t>Rack 6 Network Pool Ranges (Primary AZ)</t>
  </si>
  <si>
    <t>Rack 7 Network Pool Ranges (Primary AZ)</t>
  </si>
  <si>
    <t>Rack 8 Network Pool Ranges (Primary AZ)</t>
  </si>
  <si>
    <t>vMotion Pool: Start IP</t>
  </si>
  <si>
    <t>vMotion Pool: End IP</t>
  </si>
  <si>
    <t>vSAN Pool: Start IP</t>
  </si>
  <si>
    <t>vSAN Pool: End IP</t>
  </si>
  <si>
    <t>Host Overlay Pool: Start IP</t>
  </si>
  <si>
    <t>Host Overlay Pool: End IP</t>
  </si>
  <si>
    <t>Secondary Storage Network Pool (NFS): Start IP</t>
  </si>
  <si>
    <t>Secondary Storage Network Pool (NFS): End IP</t>
  </si>
  <si>
    <t>vSAN Network - vSAN Storage Cluster: Start IP</t>
  </si>
  <si>
    <t>vSAN Network - vSAN Storage Cluster: End IP</t>
  </si>
  <si>
    <t>RTEP Overlay Pool: Start IP</t>
  </si>
  <si>
    <t>RTEP Overlay Pool: End IP</t>
  </si>
  <si>
    <t>MGMT Rack 1 Profiles</t>
  </si>
  <si>
    <t>Rack 1 Profiles</t>
  </si>
  <si>
    <t>Rack 2 Profiles</t>
  </si>
  <si>
    <t>Rack 3 Profiles</t>
  </si>
  <si>
    <t>Rack 4 Profiles</t>
  </si>
  <si>
    <t>Rack 5 Profiles</t>
  </si>
  <si>
    <t>Rack 6 Profiles</t>
  </si>
  <si>
    <t>Rack 7 Profiles</t>
  </si>
  <si>
    <t>Rack 8 Profiles</t>
  </si>
  <si>
    <t xml:space="preserve"> Network Pool  Name</t>
  </si>
  <si>
    <t>Overlay Network Profile Name</t>
  </si>
  <si>
    <t>Host Overlay Network Pool Description</t>
  </si>
  <si>
    <t>Host Overlay Network Pool Name</t>
  </si>
  <si>
    <t>Overlay Network Pool Name</t>
  </si>
  <si>
    <t>NSX-Overlay Transport Zone</t>
  </si>
  <si>
    <t>NSX Overlay Transport Zone</t>
  </si>
  <si>
    <t>Overlay Uplink Profile Name</t>
  </si>
  <si>
    <t>Edge Overlay Network Pool Name</t>
  </si>
  <si>
    <t>RTEP Network  Pool Name</t>
  </si>
  <si>
    <t>vSAN Fault Domain</t>
  </si>
  <si>
    <t>MGMT Rack 1 Subnet Masks (Calculated)  (Primary AZ)</t>
  </si>
  <si>
    <t>Rack 1 Subnet Masks (Calculated)  (Primary AZ)</t>
  </si>
  <si>
    <t>Rack2 Subnet Masks (Calculated)  (Primary AZ)</t>
  </si>
  <si>
    <t>Rack3 Subnet Masks (Calculated)  (Primary AZ)</t>
  </si>
  <si>
    <t>Subnet Masks (Calculated)  (Primary AZ)</t>
  </si>
  <si>
    <t>Rack1 AZ1 Mgmt VM Mgmt Network</t>
  </si>
  <si>
    <t>WLD Rack1 AZ1 Mgmt VM Mgmt Network</t>
  </si>
  <si>
    <t>WLD Rack 2 AZ1 Mgmt VM Mgmt Network</t>
  </si>
  <si>
    <t>WLD Rack 3 AZ1 Mgmt VM Mgmt Network</t>
  </si>
  <si>
    <t>WLD Rack 4 AZ1 Mgmt VM Mgmt Network</t>
  </si>
  <si>
    <t>WLD Rack 5 AZ1 Mgmt VM Mgmt Network</t>
  </si>
  <si>
    <t>WLD Rack 6 AZ1 Mgmt VM Mgmt Network</t>
  </si>
  <si>
    <t>WLD Rack 7 AZ1 Mgmt VM Mgmt Network</t>
  </si>
  <si>
    <t>WLD Rack 8 AZ1 Mgmt VM Mgmt Network</t>
  </si>
  <si>
    <t>Rack1 AZ1 ESXI Management Network</t>
  </si>
  <si>
    <t>WLD Rack1 AZ1 ESXI Management Network</t>
  </si>
  <si>
    <t>WLD Rack 2 AZ1 ESXI Management Network</t>
  </si>
  <si>
    <t>WLD Rack 3 AZ1 ESXI Management Network</t>
  </si>
  <si>
    <t>WLD Rack 4 AZ1 ESXI Management Network</t>
  </si>
  <si>
    <t>WLD Rack 5 AZ1 ESXI Management Network</t>
  </si>
  <si>
    <t>WLD Rack 6 AZ1 ESXI Management Network</t>
  </si>
  <si>
    <t>WLD Rack 7 AZ1 ESXI Management Network</t>
  </si>
  <si>
    <t>WLD Rack 8 AZ1 ESXI Management Network</t>
  </si>
  <si>
    <t>MGMT Rack 1 IP Addresses (Primary AZ)</t>
  </si>
  <si>
    <t>Rack 1 IP Addresses (Primary AZ)</t>
  </si>
  <si>
    <t>Rack 2 IP Addresses (Primary AZ)</t>
  </si>
  <si>
    <t>Rack 3 IP Addresses (Primary AZ)</t>
  </si>
  <si>
    <t>Rack 4 IP Addresses (Primary AZ)</t>
  </si>
  <si>
    <t>Rack 5 IP Addresses (Primary AZ)</t>
  </si>
  <si>
    <t>Rack 6 IP Addresses (Primary AZ)</t>
  </si>
  <si>
    <t>Rack 7 IP Addresses (Primary AZ)</t>
  </si>
  <si>
    <t>Rack 8 IP Addresses (Primary AZ)</t>
  </si>
  <si>
    <t>ESXi Node 1 Mgmt IP</t>
  </si>
  <si>
    <t>ESXi Node 2 Mgmt IP</t>
  </si>
  <si>
    <t>ESXi Node 3 Mgmt IP</t>
  </si>
  <si>
    <t>ESXi Node 4 Mgmt IP</t>
  </si>
  <si>
    <t>ESXi Node 5 Mgmt IP</t>
  </si>
  <si>
    <t>ESXi Node 6 Mgmt IP</t>
  </si>
  <si>
    <t>ESXi Node 7 Mgmt IP</t>
  </si>
  <si>
    <t>ESXi Node 8 Mgmt IP</t>
  </si>
  <si>
    <t>ESXi Node 9 Mgmt IP</t>
  </si>
  <si>
    <t>ESXi Node 10 Mgmt IP</t>
  </si>
  <si>
    <t>ESXi Node 11 Mgmt IP</t>
  </si>
  <si>
    <t>ESXi Node 12 Mgmt IP</t>
  </si>
  <si>
    <t>ESXi Node 13 Mgmt IP</t>
  </si>
  <si>
    <t>ESXi Node 14 Mgmt IP</t>
  </si>
  <si>
    <t>ESXi Node 15 Mgmt IP</t>
  </si>
  <si>
    <t>ESXi Node 16 Mgmt IP</t>
  </si>
  <si>
    <t>ESXi Node 1 VRMS IP</t>
  </si>
  <si>
    <t>ESXi Node 2 VRMS IP</t>
  </si>
  <si>
    <t>Rack 2 Hostnames (Primary AZ)</t>
  </si>
  <si>
    <t>Rack 3 Hostnames (Primary AZ)</t>
  </si>
  <si>
    <t>Rack 4 Hostnames (Primary AZ)</t>
  </si>
  <si>
    <t>Rack 5 Hostnames (Primary AZ)</t>
  </si>
  <si>
    <t>Rack 6 Hostnames (Primary AZ)</t>
  </si>
  <si>
    <t>Rack 7 Hostnames (Primary AZ)</t>
  </si>
  <si>
    <t>Rack 8 Hostnames (Primary AZ)</t>
  </si>
  <si>
    <t>ESXi Node 3 VRMS IP</t>
  </si>
  <si>
    <t>ESXi Node 4 VRMS IP</t>
  </si>
  <si>
    <t>ESXi Node 1</t>
  </si>
  <si>
    <t>ESXi Node 5 VRMS IP</t>
  </si>
  <si>
    <t>ESXi Node 2</t>
  </si>
  <si>
    <t>ESXi Node 6 VRMS IP</t>
  </si>
  <si>
    <t>ESXi Node 3</t>
  </si>
  <si>
    <t>ESXi Node 7 VRMS IP</t>
  </si>
  <si>
    <t>ESXi Node 4</t>
  </si>
  <si>
    <t>ESXi Node 8 VRMS IP</t>
  </si>
  <si>
    <t>ESXi Node 5</t>
  </si>
  <si>
    <t>ESXi Node 9 VRMS IP</t>
  </si>
  <si>
    <t>ESXi Node 6</t>
  </si>
  <si>
    <t>ESXi Node 10 VRMS IP</t>
  </si>
  <si>
    <t>ESXi Node 7</t>
  </si>
  <si>
    <t>ESXi Node 11 VRMS IP</t>
  </si>
  <si>
    <t>ESXi Node 8</t>
  </si>
  <si>
    <t>ESXi Node 12 VRMS IP</t>
  </si>
  <si>
    <t>ESXi Node 9</t>
  </si>
  <si>
    <t>ESXi Node 13 VRMS IP</t>
  </si>
  <si>
    <t>ESXi Node 10</t>
  </si>
  <si>
    <t>ESXi Node 14 VRMS IP</t>
  </si>
  <si>
    <t>ESXi Node 11</t>
  </si>
  <si>
    <t>ESXi Node 15 VRMS IP</t>
  </si>
  <si>
    <t>ESXi Node 12</t>
  </si>
  <si>
    <t>ESXi Node 16 VRMS IP</t>
  </si>
  <si>
    <t>ESXi Node 13</t>
  </si>
  <si>
    <t>ESXi Node 14</t>
  </si>
  <si>
    <t>MGMT Rack 1 Hostnames (Primary AZ)</t>
  </si>
  <si>
    <t>Rack 1 Hostnames (Primary AZ)</t>
  </si>
  <si>
    <t>ESXi Node 15</t>
  </si>
  <si>
    <t>ESXi Node 16</t>
  </si>
  <si>
    <t>Rack 2 FQDNs (Primary AZ)</t>
  </si>
  <si>
    <t>Rack 3 FQDNs (Primary AZ)</t>
  </si>
  <si>
    <t>Rack 4 FQDNs (Primary AZ)</t>
  </si>
  <si>
    <t>Rack 5 FQDNs (Primary AZ)</t>
  </si>
  <si>
    <t>Rack 6 FQDNs (Primary AZ)</t>
  </si>
  <si>
    <t>Rack 7 FQDNs (Primary AZ)</t>
  </si>
  <si>
    <t>Rack 8 FQDNs (Primary AZ)</t>
  </si>
  <si>
    <t>MGMT Rack 1 FQDNs (Primary AZ)</t>
  </si>
  <si>
    <t>Rack 1 FQDNs (Primary AZ)</t>
  </si>
  <si>
    <t>Rack 2 Edge Node (Primary AZ)</t>
  </si>
  <si>
    <t>Rack 3 Edge Node (Primary AZ)</t>
  </si>
  <si>
    <t>Rack 4 Edge Node (Primary AZ)</t>
  </si>
  <si>
    <t>Rack 5 Edge Node (Primary AZ)</t>
  </si>
  <si>
    <t>Rack 6 Edge Node (Primary AZ)</t>
  </si>
  <si>
    <t>Rack 7 Edge Node (Primary AZ)</t>
  </si>
  <si>
    <t>Rack 8 Edge Node (Primary AZ)</t>
  </si>
  <si>
    <t>Edge Node Name</t>
  </si>
  <si>
    <t>Edge Node FQDN</t>
  </si>
  <si>
    <t xml:space="preserve">Edge Node MGMT IP </t>
  </si>
  <si>
    <t xml:space="preserve">Edge Node Upink 1 IP </t>
  </si>
  <si>
    <t xml:space="preserve">Edge Node Upink 2 IP </t>
  </si>
  <si>
    <t>Edge Node Overlay IP Address #01</t>
  </si>
  <si>
    <t>Edge Node Overlay IP Address #02</t>
  </si>
  <si>
    <t>MGMT Rack 1 Edge Node (Primary AZ)</t>
  </si>
  <si>
    <t>Rack 1 Edge Node (Primary AZ)</t>
  </si>
  <si>
    <t>Edge Node MGMT CIDR</t>
  </si>
  <si>
    <t>Edge Node BFD</t>
  </si>
  <si>
    <t>MGMT Rack 1 Edge Node 2 (Primary AZ)</t>
  </si>
  <si>
    <t xml:space="preserve"> Rack 1 Edge Node 2 (Primary AZ)</t>
  </si>
  <si>
    <t>MGMT Rack 1 VLANs  (Secondary AZ)</t>
  </si>
  <si>
    <t>Rack 1 VLANs  (Secondary AZ)</t>
  </si>
  <si>
    <t>AZ 2 Actual Value</t>
  </si>
  <si>
    <t>vSan Network</t>
  </si>
  <si>
    <t>MGMT Rack 1 Network CIDRs  (Secondary AZ)</t>
  </si>
  <si>
    <t>Rack 1 Network CIDRs  (Secondary AZ)</t>
  </si>
  <si>
    <t>AZ2 Actual Value</t>
  </si>
  <si>
    <t>MGMT Rack 1 Network (Secondary AZ)</t>
  </si>
  <si>
    <t>Rack 1 Network (Secondary AZ)</t>
  </si>
  <si>
    <t>MGMT Rack 1 Mask (Secondary AZ)</t>
  </si>
  <si>
    <t>Rack 1 Mask (Secondary AZ)</t>
  </si>
  <si>
    <t>MGMT Rack 1 Network Gateways  (Secondary AZ)</t>
  </si>
  <si>
    <t>Rack 1 Network Gateways  (Secondary AZ)</t>
  </si>
  <si>
    <t>MGMT Rack 1 Network MTU  (Secondary AZ)</t>
  </si>
  <si>
    <t xml:space="preserve"> Rack 1 Network MTU  (Secondary AZ)</t>
  </si>
  <si>
    <t>MGMT Rack 1 BGP Requirements  (Secondary AZ)</t>
  </si>
  <si>
    <t>Rack 1 BGP Requirements  (Secondary AZ)</t>
  </si>
  <si>
    <t>MGMT Rack 1 Portgroup Names  (Secondary AZ)</t>
  </si>
  <si>
    <t>Rack 1 Portgroup Names  (Secondary AZ)</t>
  </si>
  <si>
    <t>MGMT Rack 1 Network Pool Ranges (Secondary AZ)</t>
  </si>
  <si>
    <t>Rack 1 Network Pool Ranges (Secondary AZ)</t>
  </si>
  <si>
    <t>MGMT Rack 1 Host Overlay Profiles (Secondary AZ)</t>
  </si>
  <si>
    <t>MGMT Rack 1 Subnet Masks (Calculated)  (Secondary AZ)</t>
  </si>
  <si>
    <t>Rack 1 Host Overlay Profiles (Secondary AZ)</t>
  </si>
  <si>
    <t>WLD Rack 1 AZ1 vMotion Network</t>
  </si>
  <si>
    <t>WLD Rack 1 Principal Storage Network</t>
  </si>
  <si>
    <t>WLD Rack 1 Uplink 01 Network</t>
  </si>
  <si>
    <t>WLD Rack 1 Uplink 02 Network</t>
  </si>
  <si>
    <t>WLD Rack 1 VRMS Network</t>
  </si>
  <si>
    <t>Rack 1 Subnet Masks (Calculated)  (Secondary AZ)</t>
  </si>
  <si>
    <t>MGMT Rack 1  IP Addresses (Secondary AZ)</t>
  </si>
  <si>
    <t>Rack 1 IP Addresses (Secondary AZ)</t>
  </si>
  <si>
    <t>MGMT Rack 1 Hostnames (Secondary AZ)</t>
  </si>
  <si>
    <t>Rack 1 Hostnames (Secondary AZ)</t>
  </si>
  <si>
    <t>MGMT Rack 1 FQDNs (Secondary AZ)</t>
  </si>
  <si>
    <t>VMware Cloud Builder Infrastructure Details</t>
  </si>
  <si>
    <t xml:space="preserve">Workload Domain Details </t>
  </si>
  <si>
    <t xml:space="preserve">Cluster Operations 							</t>
  </si>
  <si>
    <t>Virtual Infrastructure Usernames</t>
  </si>
  <si>
    <t xml:space="preserve">Management Domain VI Inputs (Primary Availability Zone)								</t>
  </si>
  <si>
    <t xml:space="preserve">Fleet Manager IP Addresses				</t>
  </si>
  <si>
    <t>Developer Ready Infrastructure References</t>
  </si>
  <si>
    <t>Management Domain Virtual Network Segment Names</t>
  </si>
  <si>
    <t>SDDC and Virtual Infrastructure References</t>
  </si>
  <si>
    <t>Management Domain VLANs</t>
  </si>
  <si>
    <t xml:space="preserve">VCF Installer location </t>
  </si>
  <si>
    <t>Workload Domain Number</t>
  </si>
  <si>
    <t>Sample VCF Installer FQDM</t>
  </si>
  <si>
    <t>Hosts Per Rack</t>
  </si>
  <si>
    <t>Select a Workload Domain Type</t>
  </si>
  <si>
    <t>VI Workload Domain</t>
  </si>
  <si>
    <t>CA Administrator</t>
  </si>
  <si>
    <t>Cloud Foundation Management Domain Name</t>
  </si>
  <si>
    <t xml:space="preserve">Fleet Manager </t>
  </si>
  <si>
    <t>Local Instance Segment</t>
  </si>
  <si>
    <t>Cross Instance Datacenter Name</t>
  </si>
  <si>
    <t>VM Network (Initial ESXi Install)</t>
  </si>
  <si>
    <t xml:space="preserve">Sample Domain Name </t>
  </si>
  <si>
    <t>rainpole.io</t>
  </si>
  <si>
    <t>Hosts Per Multi Rack WLD</t>
  </si>
  <si>
    <t>Cluster Domain Name</t>
  </si>
  <si>
    <t>SMTP Sender</t>
  </si>
  <si>
    <t>Certificate Authority Model</t>
  </si>
  <si>
    <t>vCenter Server - FQDN</t>
  </si>
  <si>
    <t>Cross Instance Segment</t>
  </si>
  <si>
    <t>Cross Instance Datacenter Location</t>
  </si>
  <si>
    <t>Local Instance Segment (VLAN Backed)</t>
  </si>
  <si>
    <t>Sample Child Domain</t>
  </si>
  <si>
    <t>Microsoft CA Username</t>
  </si>
  <si>
    <t xml:space="preserve">Fleet Manager Hostname														</t>
  </si>
  <si>
    <t>vCenter Server - Datacenter</t>
  </si>
  <si>
    <t>Cross Instance Environment Password Alias</t>
  </si>
  <si>
    <t>Cross Instance Segment (VLAN Backed)</t>
  </si>
  <si>
    <t>PNP Version Number</t>
  </si>
  <si>
    <t>Virtual Infrastructure Passwords</t>
  </si>
  <si>
    <t>vCenter Server - Cluster</t>
  </si>
  <si>
    <t>Management Domain Virtual Network Segment CIDRs</t>
  </si>
  <si>
    <t>Cross Instance Environment Password</t>
  </si>
  <si>
    <t>Management Domain IP Addresses (Primary AZ)</t>
  </si>
  <si>
    <t>Workload Domain IP Addresses (Primary AZ)</t>
  </si>
  <si>
    <t>Storage Size</t>
  </si>
  <si>
    <t>vCenter Server - vSphere Distributed Switch</t>
  </si>
  <si>
    <t>Cross Instance Environment Name</t>
  </si>
  <si>
    <t>Management Domain Portgroup Names</t>
  </si>
  <si>
    <t xml:space="preserve">ESXi: root </t>
  </si>
  <si>
    <t>CEIP</t>
  </si>
  <si>
    <t>vCenter Server - vSAN Storage</t>
  </si>
  <si>
    <t>Local Instance Overlay-Backed Segment</t>
  </si>
  <si>
    <t>VMware Aria Suite Lifecycle VM Folder</t>
  </si>
  <si>
    <t>Private Cloud Installer</t>
  </si>
  <si>
    <t>vCenter Server</t>
  </si>
  <si>
    <t>vCenter: administrator@vsphere.local</t>
  </si>
  <si>
    <t>NSX Virtual Appliance Size</t>
  </si>
  <si>
    <t xml:space="preserve">Fleet Manager FQDN													</t>
  </si>
  <si>
    <t>NSX Manager - VIP FQDN</t>
  </si>
  <si>
    <t>Cross Instance Overlay-Backed Segment</t>
  </si>
  <si>
    <t>Local Instance Datacenter Name</t>
  </si>
  <si>
    <t>SDDC Manager</t>
  </si>
  <si>
    <t>NSX Local Manager Virtual Server</t>
  </si>
  <si>
    <t>vCenter: root</t>
  </si>
  <si>
    <t>NSX Edge Cluster Name</t>
  </si>
  <si>
    <t>NSX Manager - Connected Gateway (Tier 1)</t>
  </si>
  <si>
    <t>Clustered Workspace ONE Access Cert Name</t>
  </si>
  <si>
    <t>Management Domain Network CIDRs</t>
  </si>
  <si>
    <t>NSX Local Manager Node A</t>
  </si>
  <si>
    <t>vMotion</t>
  </si>
  <si>
    <t>NSX: root (lm)</t>
  </si>
  <si>
    <t>NSX Edge Node Applicance Size</t>
  </si>
  <si>
    <t>NSX Manager - Connected Gateway (Tier 0)</t>
  </si>
  <si>
    <t>Management Domain Virtual Network Segment Gateways</t>
  </si>
  <si>
    <t>Clustered Workspace ONE Access VM Folder</t>
  </si>
  <si>
    <t>NSX Local Manager Node B</t>
  </si>
  <si>
    <t>NSX: admin (lm)</t>
  </si>
  <si>
    <t>NSX Tier-0 Gateway Name</t>
  </si>
  <si>
    <t>NSX Manager - Overlay Transport Zone</t>
  </si>
  <si>
    <t>Global Environment Administrator: Password alias</t>
  </si>
  <si>
    <t>NSX Local Manager Node C</t>
  </si>
  <si>
    <t>NSX: audit (lm)</t>
  </si>
  <si>
    <t>NSX Tier-1 Gateway Name</t>
  </si>
  <si>
    <t>Developer Ready Infrastructure Network Pools (Primary AZ)</t>
  </si>
  <si>
    <t>NSX Kubernetes Management Segment Name</t>
  </si>
  <si>
    <t>Global Environment Administrator: Password</t>
  </si>
  <si>
    <t>NSX Global Manager Virtual Server</t>
  </si>
  <si>
    <t>NSX: root (en)</t>
  </si>
  <si>
    <t>NSX GM VMCA-Signed Certificate Thumprint</t>
  </si>
  <si>
    <t>NSX Kubernetes IP Prefix List Name</t>
  </si>
  <si>
    <t>Global Environment Administrator: User name</t>
  </si>
  <si>
    <t>Management Domain Network Gateways</t>
  </si>
  <si>
    <t>NSX Global Manager Node A</t>
  </si>
  <si>
    <t>NSX: admin (en)</t>
  </si>
  <si>
    <t>NSX GM Cluster ID</t>
  </si>
  <si>
    <t>NSX Kubernetes IP Route Map Name</t>
  </si>
  <si>
    <t>Local Administrator: Password alias</t>
  </si>
  <si>
    <t>NSX Global Manager Node B</t>
  </si>
  <si>
    <t>NSX: root (gm)</t>
  </si>
  <si>
    <t>NSX Global Manager Anti-Affinity Rule Name</t>
  </si>
  <si>
    <t>Management Domain Virtual Network Segment MTUs</t>
  </si>
  <si>
    <t>Local Administrator: Password</t>
  </si>
  <si>
    <t>NSX Global Manager Node C</t>
  </si>
  <si>
    <t>NSX: admin (gm)</t>
  </si>
  <si>
    <t>NSX Global Manager Certificate ID</t>
  </si>
  <si>
    <t>Load Balancer - GE</t>
  </si>
  <si>
    <t>Local Administrator: User name</t>
  </si>
  <si>
    <t>AVI Load Balancer Virtual Server</t>
  </si>
  <si>
    <t>NSX: audit (gm)</t>
  </si>
  <si>
    <t>NSX Federation Global Manager Name</t>
  </si>
  <si>
    <t>Load Balancer - LE</t>
  </si>
  <si>
    <t>Local Configuration Administrator: Password alias</t>
  </si>
  <si>
    <t>Management Domain Network MTU</t>
  </si>
  <si>
    <t>AVI Load Balance Node 1 IP Address</t>
  </si>
  <si>
    <t>NSX Federation Location Name</t>
  </si>
  <si>
    <t>vCenter Kubernetes Category Name</t>
  </si>
  <si>
    <t>Local Configuration Administrator: Password</t>
  </si>
  <si>
    <t>AVI Load Balance Node 2 IP Address</t>
  </si>
  <si>
    <t>SHA-256 NSX Local Manager Virtual Server</t>
  </si>
  <si>
    <t>vCenter Kubernetes Tag Name</t>
  </si>
  <si>
    <t>Local Configuration Administrator: User name</t>
  </si>
  <si>
    <t>AVI Load Balance Node 3 IP Address</t>
  </si>
  <si>
    <t>SHA-256 NSX Global Manager Virtual Server</t>
  </si>
  <si>
    <t>vCenter Kubernetes Storage Policy Name</t>
  </si>
  <si>
    <t>Workload Domain Virtual Network Segment Names</t>
  </si>
  <si>
    <t>Appliance Root User: Password alias</t>
  </si>
  <si>
    <t>SDDC Manager: root</t>
  </si>
  <si>
    <t>Cross Instance NSX T1 Gateway Name</t>
  </si>
  <si>
    <t>Developer Ready Infrastructure IPs</t>
  </si>
  <si>
    <t>vCenter Kubernetes Content Library Name</t>
  </si>
  <si>
    <t>Appliance Root User: Password</t>
  </si>
  <si>
    <t>Workload Domain VLANs</t>
  </si>
  <si>
    <t>Workload Domain Hostnames (Primary AZ)</t>
  </si>
  <si>
    <t>SDDC Manager: vcf</t>
  </si>
  <si>
    <t xml:space="preserve">Existing Active Global Manager </t>
  </si>
  <si>
    <t>Harbor Envoy Ingress IP</t>
  </si>
  <si>
    <t>Kubernetes - Size Hint</t>
  </si>
  <si>
    <t>Kubernetes Management Segment</t>
  </si>
  <si>
    <t>Appliance Root User: User name</t>
  </si>
  <si>
    <t xml:space="preserve">VMSP - Primary </t>
  </si>
  <si>
    <t>SDDC Manager: admin@local</t>
  </si>
  <si>
    <t>Existing Cross Instance T0</t>
  </si>
  <si>
    <t>Kubernetes - Network Mode</t>
  </si>
  <si>
    <t>StaticRange</t>
  </si>
  <si>
    <t>Configadmin Email Address</t>
  </si>
  <si>
    <t>VMSP - Node A</t>
  </si>
  <si>
    <t>My VMware</t>
  </si>
  <si>
    <t>AVI Load Balancer Cluster Name</t>
  </si>
  <si>
    <t>Developer Ready Infrastructure Hostnames</t>
  </si>
  <si>
    <t>Kubernetes - Network Address Range</t>
  </si>
  <si>
    <t>Management Domain VLANs (Witness Zone)</t>
  </si>
  <si>
    <t>Content Library - vRSLCM Upgrades and Deployments</t>
  </si>
  <si>
    <t>Operations</t>
  </si>
  <si>
    <t>VMSP - Node B</t>
  </si>
  <si>
    <t>AVI Load Balancer Cluster Version</t>
  </si>
  <si>
    <t>Harbor Hostname</t>
  </si>
  <si>
    <t>Kubernetes Management Segment Start IP</t>
  </si>
  <si>
    <t>Customer Connect Username</t>
  </si>
  <si>
    <t>Workload Domain Portgroup Names</t>
  </si>
  <si>
    <t>VMSP - Node C</t>
  </si>
  <si>
    <t>AVI LB (root)</t>
  </si>
  <si>
    <t>Kubernetes Management Segment Gateway</t>
  </si>
  <si>
    <t>Customer Connect Password</t>
  </si>
  <si>
    <t>VMSP - Node D</t>
  </si>
  <si>
    <t>SFTP Backup User</t>
  </si>
  <si>
    <t>Developer Ready Infrastructure FQDN</t>
  </si>
  <si>
    <t>Kubernetes Cluster Endpoint Common Name</t>
  </si>
  <si>
    <t>VM Network</t>
  </si>
  <si>
    <t xml:space="preserve">Secondary Storage Network </t>
  </si>
  <si>
    <t>vSAN Witness: root (mgmt)</t>
  </si>
  <si>
    <t>SDDC Manager and vCenter Server VM Folder</t>
  </si>
  <si>
    <t>Harbor Envoy FQDN</t>
  </si>
  <si>
    <t>Kubectl Path</t>
  </si>
  <si>
    <t>Management Domain Portgroup Names (Witness Zone)</t>
  </si>
  <si>
    <t>Subnet Masks (Calculated)</t>
  </si>
  <si>
    <t>Management Domain Hostnames (Primary AZ)</t>
  </si>
  <si>
    <t>vSAN Witness: root (wld)</t>
  </si>
  <si>
    <t>NSX Manager VM Folder</t>
  </si>
  <si>
    <t>Kubernetes Management Segment Gateway CIDR</t>
  </si>
  <si>
    <t>Workload Domain Network CIDRs</t>
  </si>
  <si>
    <t>VM Folder NSX Edge Nodes VM Folder</t>
  </si>
  <si>
    <t xml:space="preserve">Private Cloud Automation IPs													</t>
  </si>
  <si>
    <t>Kubernetes API Endpoint FQDN</t>
  </si>
  <si>
    <t>Management Domain AZ1 Management Network</t>
  </si>
  <si>
    <t>Proxy User</t>
  </si>
  <si>
    <t>Kubernetes - Server Address</t>
  </si>
  <si>
    <t>Management Domain WAZ Management Network</t>
  </si>
  <si>
    <t>Proxy Password</t>
  </si>
  <si>
    <t>Aria Automation Virtual Server</t>
  </si>
  <si>
    <t>Initial VM Class</t>
  </si>
  <si>
    <t>Management Domain Network CIDRs (Witness Zone)</t>
  </si>
  <si>
    <t>Management Uplink 01 Network</t>
  </si>
  <si>
    <t>VCOP Collector Administrator Password</t>
  </si>
  <si>
    <t>Aria Automation Node A</t>
  </si>
  <si>
    <t>Management Uplink 02 Network</t>
  </si>
  <si>
    <t>WLD Root Password</t>
  </si>
  <si>
    <t>Aria Automation Node B</t>
  </si>
  <si>
    <t>Local Instance Segment Overlay-Backed Segment</t>
  </si>
  <si>
    <t>Workload Domain Network Gateways</t>
  </si>
  <si>
    <t>Workload Domain FQDNs (Primary AZ)</t>
  </si>
  <si>
    <t>Aria Automation Node C</t>
  </si>
  <si>
    <t>Cross-Region Overlay-Backed Segment</t>
  </si>
  <si>
    <t>External Services Naming and IP Addressing</t>
  </si>
  <si>
    <t>Aria Automation Node D</t>
  </si>
  <si>
    <t>Private AI Ready Infrastructure References</t>
  </si>
  <si>
    <t>Management Domain Network Gateways (Witness Zone)</t>
  </si>
  <si>
    <t>Workload Domain AZ1 Management Network</t>
  </si>
  <si>
    <t>Workload Domain WAZ Management Network</t>
  </si>
  <si>
    <t>NTP Server 1 (Local Instance Components)</t>
  </si>
  <si>
    <t>Organization Unit</t>
  </si>
  <si>
    <t>Private AI License</t>
  </si>
  <si>
    <t>Workload Domain AZ1 vMotion Network</t>
  </si>
  <si>
    <t>NTP Server 2 (Local Instance Components)</t>
  </si>
  <si>
    <t>GPU VM Class</t>
  </si>
  <si>
    <t>Workload Domain AZ1 Principal Storage Network</t>
  </si>
  <si>
    <t>Workload Domain Network MTU</t>
  </si>
  <si>
    <t>NTP Server 3 (Local Instance Components)</t>
  </si>
  <si>
    <t xml:space="preserve">Private Cloud Automation Hostnames													</t>
  </si>
  <si>
    <t>GPU Operator Namespace</t>
  </si>
  <si>
    <t>Management Domain Network MTU (Witness Zone)</t>
  </si>
  <si>
    <t>Workload Uplink 01 Network</t>
  </si>
  <si>
    <t>NTP Server 1 (Xregion Components)</t>
  </si>
  <si>
    <t>GPU Network Operator Namespace</t>
  </si>
  <si>
    <t>Workload Uplink 02 Network</t>
  </si>
  <si>
    <t>NTP Server 2 (Xregion Components)</t>
  </si>
  <si>
    <t>SFTP Server Backup Username</t>
  </si>
  <si>
    <t>VIDB</t>
  </si>
  <si>
    <t>NTP Server 1 (Witness Components)</t>
  </si>
  <si>
    <t>Management VRMS Network</t>
  </si>
  <si>
    <t>SSH FingerPrint</t>
  </si>
  <si>
    <t xml:space="preserve">Private Cloud Automation FQDNs													</t>
  </si>
  <si>
    <t>Site Protection &amp; Disaster Recovery References (Common)</t>
  </si>
  <si>
    <t>Workload Domain VLANs (Witness Zone)</t>
  </si>
  <si>
    <t>Workload VRMS Network</t>
  </si>
  <si>
    <t>Management Domain FQDNs (Primary AZ)</t>
  </si>
  <si>
    <t>DNS Server 1 (Local Instance Components)</t>
  </si>
  <si>
    <t>MGMT AZ2 vMotion Mask</t>
  </si>
  <si>
    <t>NSX Edge Node 1</t>
  </si>
  <si>
    <t>Host ESX</t>
  </si>
  <si>
    <t>DNS Server 2 (Local Instance Components)</t>
  </si>
  <si>
    <t>SSO Default Admin</t>
  </si>
  <si>
    <t>administrator@vsphere.local</t>
  </si>
  <si>
    <t>Existing: Recovery Site SDDC Manager FQDN</t>
  </si>
  <si>
    <t>MGMT AZ2 vSan Mask</t>
  </si>
  <si>
    <t>NSX Edge Node 2</t>
  </si>
  <si>
    <t>DNS Server 1 (X-Region Components)</t>
  </si>
  <si>
    <t>Primary AZ VM Group Name</t>
  </si>
  <si>
    <t>Existing: Recovery Site SDDC Manager User</t>
  </si>
  <si>
    <t>MGMT AZ2 NFS Mask</t>
  </si>
  <si>
    <t>DNS Server 2 (X-Region Components)</t>
  </si>
  <si>
    <t>Proxy Type</t>
  </si>
  <si>
    <t xml:space="preserve">Intelligent Logging &amp; Analytics IP Addresses													</t>
  </si>
  <si>
    <t>Existing: Recovery Site SDDC Manager Password</t>
  </si>
  <si>
    <t>Workload Domain Portgroup Names (Witness Zone)</t>
  </si>
  <si>
    <t>MGMT AZ2 Host Overlay Mask</t>
  </si>
  <si>
    <t>DNS Server 1 (Witness Components)</t>
  </si>
  <si>
    <t>VRMS Appliance Size</t>
  </si>
  <si>
    <t xml:space="preserve">Workload Domain FQDNs (Witness AZ)	</t>
  </si>
  <si>
    <t>DNS Server 2 (Witness Components)</t>
  </si>
  <si>
    <t>Proy Port</t>
  </si>
  <si>
    <t>Aria Operatons for Logs Virtual Server</t>
  </si>
  <si>
    <t>SRM Appliance Size</t>
  </si>
  <si>
    <t>Domain Controller for vSphere AD Integration</t>
  </si>
  <si>
    <t>Aria Operatons for Logs Node A</t>
  </si>
  <si>
    <t>Username (VMware Aria Operations to vSphere Replication SSO User)</t>
  </si>
  <si>
    <t>Certificate Authority FQDN</t>
  </si>
  <si>
    <t>Offline Depot Hostname</t>
  </si>
  <si>
    <t>Aria Operatons for Logs Node B</t>
  </si>
  <si>
    <t>Password (VMware Aria Operations to vSphere Replication)</t>
  </si>
  <si>
    <t>Workload Domain Network CIDRs (Witness Zone)</t>
  </si>
  <si>
    <t>Certificate Authority Name</t>
  </si>
  <si>
    <t>Offline Depot Port</t>
  </si>
  <si>
    <t>Aria Operatons for Logs Node C</t>
  </si>
  <si>
    <t>User (VMware Aria Operations to Site Recovery Manager SSO User)</t>
  </si>
  <si>
    <t>This Instance</t>
  </si>
  <si>
    <t>SFTP Server</t>
  </si>
  <si>
    <t>Password (VMware Aria Operations to Site Recovery Manager)</t>
  </si>
  <si>
    <t>Other Instance</t>
  </si>
  <si>
    <t>Workload Domain Primary Cluster Objects</t>
  </si>
  <si>
    <t xml:space="preserve">Workload Domain VI Inputs (Primary Availability Zone)								</t>
  </si>
  <si>
    <t xml:space="preserve">Intelligent Logging &amp; Analytics Hostnames													</t>
  </si>
  <si>
    <t>Workload Descriptor</t>
  </si>
  <si>
    <t>Site Protection &amp; Disaster Recovery References (Management Domain)</t>
  </si>
  <si>
    <t>Workload Domain Network Gateways (Witness Zone)</t>
  </si>
  <si>
    <t>Management AZ1 VLAN Prefix</t>
  </si>
  <si>
    <t>Workload Cluster Name</t>
  </si>
  <si>
    <t>Virtual Infrastructure Name</t>
  </si>
  <si>
    <t>Management AZ1 CIDR Prefix</t>
  </si>
  <si>
    <t>EVC</t>
  </si>
  <si>
    <t>DNS Zone Names</t>
  </si>
  <si>
    <t>LB Creation Method</t>
  </si>
  <si>
    <t>Management AZ2 VLAN Prefix</t>
  </si>
  <si>
    <t>Workload Cluster SDDC ID</t>
  </si>
  <si>
    <t>VRMS: VM Folder Name</t>
  </si>
  <si>
    <t>Management AZ2 CIDR Prefix</t>
  </si>
  <si>
    <t>Workload Domain Switch Configuration Primary Cluster  VDS</t>
  </si>
  <si>
    <t>Parent</t>
  </si>
  <si>
    <t>vSphere Distributed Switch Name</t>
  </si>
  <si>
    <t>VRMS: Initial Root Password</t>
  </si>
  <si>
    <t>Workload Domain Network MTU (Witness Zone)</t>
  </si>
  <si>
    <t>Mananagment Stretched VLAN Prefix</t>
  </si>
  <si>
    <t>Result</t>
  </si>
  <si>
    <t>Child</t>
  </si>
  <si>
    <t>VRMS: Initial Admin Password</t>
  </si>
  <si>
    <t>Management Stretched CIDR Prefix</t>
  </si>
  <si>
    <t xml:space="preserve">Preconfigured Profile </t>
  </si>
  <si>
    <t>Witness</t>
  </si>
  <si>
    <t>NSX Edge Node Applicance Size (Default Large)</t>
  </si>
  <si>
    <t xml:space="preserve">Intelligent Logging &amp; Analytics FQDNs													</t>
  </si>
  <si>
    <t>VRMS: Site Name</t>
  </si>
  <si>
    <t>Local Instance Overlay CIDR Prefix</t>
  </si>
  <si>
    <t xml:space="preserve">Management Domain FQDNs (Witness AZ)	</t>
  </si>
  <si>
    <t>NSX Edge Tier 0 Name</t>
  </si>
  <si>
    <t>VRMS: Administrator Email Address</t>
  </si>
  <si>
    <t>Cross-Region Overlay CIDR Prefix</t>
  </si>
  <si>
    <t>Primary vSphere Distributed Switch: Name</t>
  </si>
  <si>
    <t xml:space="preserve">Host FQDNS </t>
  </si>
  <si>
    <t>Active Directory Fully Qualified Domain Names</t>
  </si>
  <si>
    <t>NSX Edge Tier 1 Name</t>
  </si>
  <si>
    <t>VRMS: Portgroup Name</t>
  </si>
  <si>
    <t>Management Witness AZ VLAN Prefix</t>
  </si>
  <si>
    <t>Primary vSphere Distributed Switch: Uplinks Used</t>
  </si>
  <si>
    <t>VRMS: P12 Cert Password</t>
  </si>
  <si>
    <t>Management Witness AZ CIDR Prefix</t>
  </si>
  <si>
    <t>Primary vSphere Distributed Switch: Number of Uplinks</t>
  </si>
  <si>
    <t>Parent Domain</t>
  </si>
  <si>
    <t>VRSM: Appliance Size</t>
  </si>
  <si>
    <t>Management TOR ASN Prefix</t>
  </si>
  <si>
    <t xml:space="preserve">Primary vSphere Distributed Switch: MTU </t>
  </si>
  <si>
    <t>Child Domain</t>
  </si>
  <si>
    <t>SRM: VM Folder Name</t>
  </si>
  <si>
    <t>Workload AZ1 VLAN Prefix</t>
  </si>
  <si>
    <t>Management Domain Cluster Objects</t>
  </si>
  <si>
    <t>Primary vSphere Distributed Switch: LBT</t>
  </si>
  <si>
    <t>AVI Load Balancer Cluster version</t>
  </si>
  <si>
    <t>SRM: Initial Root Password</t>
  </si>
  <si>
    <t>Workload AZ1 CIDR Prefix</t>
  </si>
  <si>
    <t>Primary vSphere Distributed Switch: Traffic Type</t>
  </si>
  <si>
    <t>Active Directory NETBIOS Names</t>
  </si>
  <si>
    <t xml:space="preserve">Intelligent Operations Management IP Addresses													</t>
  </si>
  <si>
    <t>SRM: Initial Admin Password</t>
  </si>
  <si>
    <t>Protected Workload AZ1 CIDR Prefix</t>
  </si>
  <si>
    <t>Datacenter Name</t>
  </si>
  <si>
    <t>Lag Name</t>
  </si>
  <si>
    <t>SRM: Initial Database Password</t>
  </si>
  <si>
    <t>Workload AZ2 VLAN Prefix</t>
  </si>
  <si>
    <t>Management Cluster Name</t>
  </si>
  <si>
    <t xml:space="preserve">VCF Operations Load Balancer </t>
  </si>
  <si>
    <t>SRM: Site Name</t>
  </si>
  <si>
    <t>Workload AZ2 CIDR Prefix</t>
  </si>
  <si>
    <t>EVC Setting</t>
  </si>
  <si>
    <t>Secondary vSphere Distributed Switch: Name</t>
  </si>
  <si>
    <t>VCF Operations primary</t>
  </si>
  <si>
    <t>SRM: Administrator Email Address</t>
  </si>
  <si>
    <t>Workload Stretched VLAN Prefix</t>
  </si>
  <si>
    <t>Resource Pool SDDC Management</t>
  </si>
  <si>
    <t>Secondary vSphere Distributed Switch: Uplinks Used</t>
  </si>
  <si>
    <t>RTEP NSX IP Pool Name</t>
  </si>
  <si>
    <t>VCF Operations replica</t>
  </si>
  <si>
    <t>SRM: P12 Cert Password</t>
  </si>
  <si>
    <t>Workload Stretched CIDR Prefix</t>
  </si>
  <si>
    <t>Resource Pool SDDC Edge</t>
  </si>
  <si>
    <t>Secondary vSphere Distributed Switch: Number of Uplinks</t>
  </si>
  <si>
    <t>Active Directory Group OUs</t>
  </si>
  <si>
    <t>VCF Operations data node</t>
  </si>
  <si>
    <t xml:space="preserve">SRM: Appliance Size </t>
  </si>
  <si>
    <t>Workload Witness AZ VLAN Prefix</t>
  </si>
  <si>
    <t>Resource Pool User Edge</t>
  </si>
  <si>
    <t xml:space="preserve">Secondary vSphere Distributed Switch: MTU </t>
  </si>
  <si>
    <t>Operations Collector Appliance</t>
  </si>
  <si>
    <t>Recovery Point Objective</t>
  </si>
  <si>
    <t>Workload Witness AZ CIDR Prefix</t>
  </si>
  <si>
    <t>Resource Pool User VM</t>
  </si>
  <si>
    <t>Secondary vSphere Distributed Switch: LBT</t>
  </si>
  <si>
    <t>SHA-256  NSX Local Manager Virtual Server</t>
  </si>
  <si>
    <t>Instances per Day</t>
  </si>
  <si>
    <t>Workload TOR ASN Prefix</t>
  </si>
  <si>
    <t>Primary Availability Zone Virtual Machine Group</t>
  </si>
  <si>
    <t>Secondary vSphere Distributed Switch: Traffic Type</t>
  </si>
  <si>
    <t>SHA-256  NSX Global Manager Virtual Server</t>
  </si>
  <si>
    <t xml:space="preserve">Intelligent Operations Management Hostnames													</t>
  </si>
  <si>
    <t>Days</t>
  </si>
  <si>
    <t>Kubernetes CIDR Prefix</t>
  </si>
  <si>
    <t>MGMT SSO Domain</t>
  </si>
  <si>
    <r>
      <t xml:space="preserve">Protection Group Name </t>
    </r>
    <r>
      <rPr>
        <i/>
        <sz val="12"/>
        <color theme="1"/>
        <rFont val="Arial"/>
        <family val="2"/>
      </rPr>
      <t>(vRSLCM &amp; Clustered WSA)</t>
    </r>
  </si>
  <si>
    <t>Other Region Management AZ1 CIDR Prefx</t>
  </si>
  <si>
    <t>MGMT SSO Domain Username</t>
  </si>
  <si>
    <t>Active Directory User OUs</t>
  </si>
  <si>
    <r>
      <t xml:space="preserve">Recovery Plan Name </t>
    </r>
    <r>
      <rPr>
        <i/>
        <sz val="12"/>
        <color theme="1"/>
        <rFont val="Arial"/>
        <family val="2"/>
      </rPr>
      <t>(vRSLCM &amp; Clustered WSA)</t>
    </r>
  </si>
  <si>
    <t>Portable Component Prefix</t>
  </si>
  <si>
    <t>flt</t>
  </si>
  <si>
    <t>VCF Instance Name</t>
  </si>
  <si>
    <t>Tertiary vSphere Distributed Switch: Name</t>
  </si>
  <si>
    <t>Protection Group Name (VMware Aria Operations)</t>
  </si>
  <si>
    <t>Other Instance Management Stretched CIDR Prefix</t>
  </si>
  <si>
    <t xml:space="preserve">Tertiary vSphere Distributed Switch: MTU </t>
  </si>
  <si>
    <t>Aria Operatons replica</t>
  </si>
  <si>
    <t>Recovery Plan Name (VMware Aria Operations)</t>
  </si>
  <si>
    <t>Other Workload Stretched CIDR Prefix</t>
  </si>
  <si>
    <t>MGMT Domain Switch Configuration Primary Cluster  VDS</t>
  </si>
  <si>
    <t>Tertiary vSphere Distributed Switch: Uplinks Used</t>
  </si>
  <si>
    <t>Aria Operatons data node</t>
  </si>
  <si>
    <t>Protection Group Name (VMware Aria Automation)</t>
  </si>
  <si>
    <t xml:space="preserve">Prefix FLT </t>
  </si>
  <si>
    <t>Tertiary vSphere Distributed Switch: Number of Uplinks</t>
  </si>
  <si>
    <t>Supervisor Namespace</t>
  </si>
  <si>
    <t>Recovery Plan Name (VMware Aria Automation)</t>
  </si>
  <si>
    <t>vSphere Distributed Switch Profile</t>
  </si>
  <si>
    <t>Tertiary vSphere Distributed Switch: LBT</t>
  </si>
  <si>
    <t xml:space="preserve">vVol Storage Protocol Type </t>
  </si>
  <si>
    <t>Active Directory Bind DNs</t>
  </si>
  <si>
    <t>Management Portgroup Name</t>
  </si>
  <si>
    <t>Existing: Recovery Site vCenter FQDN</t>
  </si>
  <si>
    <t>Tertiary vSphere Distributed Switch: Traffic Type</t>
  </si>
  <si>
    <t xml:space="preserve">Intelligent Operations Management FQDNs													</t>
  </si>
  <si>
    <t>Existing: Recovery Site vCenter Username</t>
  </si>
  <si>
    <t xml:space="preserve">Site Protection and DR </t>
  </si>
  <si>
    <t>Existing: Recovery Site vCenter Password</t>
  </si>
  <si>
    <t>Permutation Calculations</t>
  </si>
  <si>
    <t>Primary vSphere Distributed Switch: Uplink #1</t>
  </si>
  <si>
    <t xml:space="preserve">Cluster Name </t>
  </si>
  <si>
    <t>Existing: Recovery Site SDDC Manager Domain</t>
  </si>
  <si>
    <t xml:space="preserve">Primary vSphere Distributed Switch: Uplink #2 </t>
  </si>
  <si>
    <t xml:space="preserve">Workload Domain Storage Configuration Primary Cluster </t>
  </si>
  <si>
    <t>vLCM Image</t>
  </si>
  <si>
    <t>DNS 1</t>
  </si>
  <si>
    <t>Existing: Recovery Site NSX Location Name</t>
  </si>
  <si>
    <t>spr_mo_result</t>
  </si>
  <si>
    <t>Active Directory Parent Users</t>
  </si>
  <si>
    <t>DNS 2</t>
  </si>
  <si>
    <t>Existing: Recovery Site NSX Edge Cluster Name</t>
  </si>
  <si>
    <t>spr_wo_result</t>
  </si>
  <si>
    <t>vSAN: Datastore Name</t>
  </si>
  <si>
    <t>DNS Parent Zone</t>
  </si>
  <si>
    <t>Existing: Recovery Site vSphere Cluster Name</t>
  </si>
  <si>
    <t>spr_mw_result</t>
  </si>
  <si>
    <t>vSAN: Failures to Tolerate (FTT)</t>
  </si>
  <si>
    <t>svc-vrops-vsphere</t>
  </si>
  <si>
    <t>fleet manager fqdn</t>
  </si>
  <si>
    <t>Existing: Recovery Site Target Datastore</t>
  </si>
  <si>
    <t>protected_mgmt_result</t>
  </si>
  <si>
    <t>svc-vrops-vsan</t>
  </si>
  <si>
    <t>ops node fqdn</t>
  </si>
  <si>
    <t>Existing: Target vSphere Replication Network CIDR</t>
  </si>
  <si>
    <t>recovery_mgmt_result</t>
  </si>
  <si>
    <t>Storage Policy</t>
  </si>
  <si>
    <t>svc-vrops-nsx</t>
  </si>
  <si>
    <t>&lt;vcf_operations_replica_node_fqdn&gt;</t>
  </si>
  <si>
    <t>Site Protection &amp; DR IP Addreses (Management Domain)</t>
  </si>
  <si>
    <t>Existing: SSO Membership</t>
  </si>
  <si>
    <t>protected_wld_result</t>
  </si>
  <si>
    <t>Secondary vSphere Distributed Switch: Uplinks #1</t>
  </si>
  <si>
    <t>svc-vrops-vra</t>
  </si>
  <si>
    <t>&lt;vcf_operations_data_node_fqdn&gt;</t>
  </si>
  <si>
    <t>first_domain_mgmt_only_viable</t>
  </si>
  <si>
    <t>Secondary vSphere Distributed Switch: Uplinks #2</t>
  </si>
  <si>
    <t>svc-vrli-wsa</t>
  </si>
  <si>
    <t>&lt;vcf_operations_logs_primary_node_fqdn&gt;</t>
  </si>
  <si>
    <t>vSphere Replication Management IP</t>
  </si>
  <si>
    <t>Site Protection &amp; Disaster Recovery References (VI Workload Domain)</t>
  </si>
  <si>
    <t>first_domain_mgmt_vi_viable</t>
  </si>
  <si>
    <t>svc-vrli-vrops</t>
  </si>
  <si>
    <t>&lt;vcf_operations_logs_worker_node1_fqdn&gt;</t>
  </si>
  <si>
    <t>vSphere Replication Replication IP</t>
  </si>
  <si>
    <t>non_first_domain_mgmt_only_viable</t>
  </si>
  <si>
    <t>svc-vra-vsphere</t>
  </si>
  <si>
    <t>&lt;vcf_operations_logs_worker_node2_fqdn&gt;</t>
  </si>
  <si>
    <r>
      <t>Site Recovery Manager</t>
    </r>
    <r>
      <rPr>
        <i/>
        <sz val="12"/>
        <color theme="1"/>
        <rFont val="Arial"/>
        <family val="2"/>
      </rPr>
      <t xml:space="preserve"> </t>
    </r>
    <r>
      <rPr>
        <b/>
        <sz val="12"/>
        <color theme="1"/>
        <rFont val="Arial"/>
        <family val="2"/>
      </rPr>
      <t>Management IP</t>
    </r>
  </si>
  <si>
    <t>non_first_domain_mgmt_vi_viable</t>
  </si>
  <si>
    <t>Workload Domain Hostnames (Witness AZ)</t>
  </si>
  <si>
    <t>svc-vra-nsx</t>
  </si>
  <si>
    <t>&lt;vcf_operations_network_platform_node1_fqdn&gt;</t>
  </si>
  <si>
    <t>Recovery T1 Service Interface IP</t>
  </si>
  <si>
    <t>vi_only_viable</t>
  </si>
  <si>
    <t xml:space="preserve">Switch Configuration </t>
  </si>
  <si>
    <t>svc-vra-vcf</t>
  </si>
  <si>
    <t>&lt;vcf_operations_network_platform_node2_fqdn&gt;</t>
  </si>
  <si>
    <t>vcf_vi_wld_domain_count</t>
  </si>
  <si>
    <t>svc-vro-vsphere</t>
  </si>
  <si>
    <t>&lt;vcf_operations_network_platform_node3_fqdn&gt;</t>
  </si>
  <si>
    <t>Site Protection &amp; DR IP Addreses (Workload Domain)</t>
  </si>
  <si>
    <t>vcf_vi_isolated_domain_count</t>
  </si>
  <si>
    <t>Tertiary vSphere Distributed Switch: Uplinks #1</t>
  </si>
  <si>
    <t>svc-vra-vrops</t>
  </si>
  <si>
    <t xml:space="preserve">Automation FQDN </t>
  </si>
  <si>
    <t>mgmt_consolidated_result</t>
  </si>
  <si>
    <t>Tertiary vSphere Distributed Switch: Uplinks #2</t>
  </si>
  <si>
    <t xml:space="preserve">Workload Domain VI Inputs (Secondary Availability Zone)								</t>
  </si>
  <si>
    <t>Active Directory Passwords</t>
  </si>
  <si>
    <t xml:space="preserve">Cluster </t>
  </si>
  <si>
    <t>DLR FQDN</t>
  </si>
  <si>
    <t>ESXi Node 1 SDDC ID</t>
  </si>
  <si>
    <t>svc-vsphere-ad</t>
  </si>
  <si>
    <t>SSO Domain</t>
  </si>
  <si>
    <t>ESXi Node 2 SDDC ID</t>
  </si>
  <si>
    <t>svc-wsa-ad (child)</t>
  </si>
  <si>
    <t>Fleet Manager hostname</t>
  </si>
  <si>
    <t>Site Protection &amp; DR Hostnames (Management Domain)</t>
  </si>
  <si>
    <t>NSX Operational Mode</t>
  </si>
  <si>
    <t>ESXi Node 3 SDDC ID</t>
  </si>
  <si>
    <t>ops node hostname</t>
  </si>
  <si>
    <t xml:space="preserve">NSX Operation Mode Chosen </t>
  </si>
  <si>
    <t>ESXi Node 4 SDDC ID</t>
  </si>
  <si>
    <t>&lt;vcf_operations_replica_node_ hostname</t>
  </si>
  <si>
    <t>WLD Cluster SDDC ID</t>
  </si>
  <si>
    <t>&lt;vcf_operations_data_node_ hostname</t>
  </si>
  <si>
    <t>Site Recovery Manager</t>
  </si>
  <si>
    <t xml:space="preserve">MGMT Domain Storage Configuration Primary Cluster </t>
  </si>
  <si>
    <t>&lt;vcf_operations_logs_primary_node_ hostname</t>
  </si>
  <si>
    <t>&lt;vcf_operations_logs_worker_node1_hostname</t>
  </si>
  <si>
    <t>Site Protection &amp; DR Hostnames (Workload Domain)</t>
  </si>
  <si>
    <t xml:space="preserve">Principal Storage </t>
  </si>
  <si>
    <t xml:space="preserve">Workload Domain VI Inputs (Witness Availability Zone)								</t>
  </si>
  <si>
    <t>&lt;vcf_operations_logs_worker_node2_ hostname</t>
  </si>
  <si>
    <t>&lt;vcf_operations_network_platform_node1_ hostname</t>
  </si>
  <si>
    <t>vSAN Datastore FTT</t>
  </si>
  <si>
    <t>&lt;vcf_operations_network_platform_node2_ hostname</t>
  </si>
  <si>
    <t>&lt;vcf_operations_network_platform_node3 hostname</t>
  </si>
  <si>
    <t xml:space="preserve">vSAN Datastore </t>
  </si>
  <si>
    <t>Site Protection &amp; DR FQDNs (Management Domain)</t>
  </si>
  <si>
    <t>Witness DNS</t>
  </si>
  <si>
    <t xml:space="preserve">Network Resource Pool </t>
  </si>
  <si>
    <t>NFS Server Bound To NIC</t>
  </si>
  <si>
    <t>Active Directory Child Users</t>
  </si>
  <si>
    <t>Log Resource Pool</t>
  </si>
  <si>
    <t xml:space="preserve">Witness NTP </t>
  </si>
  <si>
    <t xml:space="preserve">Recovery Port Group </t>
  </si>
  <si>
    <t>Cloud-Based Ransomware Recovery References</t>
  </si>
  <si>
    <t>Management</t>
  </si>
  <si>
    <t>Recobvery Network Gateway</t>
  </si>
  <si>
    <t>svc-wsa-ad</t>
  </si>
  <si>
    <t>Recobvery Network Mask</t>
  </si>
  <si>
    <t>Site Protection &amp; DR FQDNs (Workload Domain)</t>
  </si>
  <si>
    <r>
      <t xml:space="preserve">vSphere Custom Role name </t>
    </r>
    <r>
      <rPr>
        <i/>
        <sz val="12"/>
        <color theme="1"/>
        <rFont val="Arial"/>
        <family val="2"/>
      </rPr>
      <t>(VMware Cloud Disaster Recovery to vSphere)</t>
    </r>
  </si>
  <si>
    <t>MGMT Edge Connectivity Type</t>
  </si>
  <si>
    <t>Workload Domain IP Addresses (Witness AZ)</t>
  </si>
  <si>
    <t xml:space="preserve">Site Pair </t>
  </si>
  <si>
    <t>Service Account Name</t>
  </si>
  <si>
    <t>Edge Form Factor Size</t>
  </si>
  <si>
    <t>Active Directory Groups</t>
  </si>
  <si>
    <t>vr username</t>
  </si>
  <si>
    <t>Service Account Password</t>
  </si>
  <si>
    <t>Edge Cluster MTU</t>
  </si>
  <si>
    <t>vr password</t>
  </si>
  <si>
    <r>
      <t xml:space="preserve">VM Folder </t>
    </r>
    <r>
      <rPr>
        <sz val="12"/>
        <color theme="1"/>
        <rFont val="Arial"/>
        <family val="2"/>
      </rPr>
      <t>(DRaaS Connectors)</t>
    </r>
  </si>
  <si>
    <t>MGMT Edge Cluster Resource Pool</t>
  </si>
  <si>
    <t>VM Management</t>
  </si>
  <si>
    <t>Recovery SDDC Name</t>
  </si>
  <si>
    <t>MGMT Host Group Affinity Host</t>
  </si>
  <si>
    <t>WLD Witness IP</t>
  </si>
  <si>
    <t xml:space="preserve">Intelligent Network Visibility IP Addresses													</t>
  </si>
  <si>
    <t>AWS Region</t>
  </si>
  <si>
    <t>MGMT Host Group Affinity Host name</t>
  </si>
  <si>
    <t>gg-wsa-admins (parent)</t>
  </si>
  <si>
    <t>Host Type</t>
  </si>
  <si>
    <t>WLD Witness MGMT CIDR</t>
  </si>
  <si>
    <t>gg-wsa-directory-admins (parent)</t>
  </si>
  <si>
    <t>VMware Aria Operations for Networks - Node A</t>
  </si>
  <si>
    <t>Number of Hosts</t>
  </si>
  <si>
    <t xml:space="preserve">MGMT Edges Share host overaly </t>
  </si>
  <si>
    <t>WLD Witness MGMT Gatweway</t>
  </si>
  <si>
    <t>gg-wsa-read-only (parent)</t>
  </si>
  <si>
    <t>Proxy for Networks - Node A</t>
  </si>
  <si>
    <t>VPC</t>
  </si>
  <si>
    <t>MGMT DPG Seperation</t>
  </si>
  <si>
    <t>WLD Witness MGMT Mask</t>
  </si>
  <si>
    <t>gg-vrslcm-admins</t>
  </si>
  <si>
    <t>Subnet</t>
  </si>
  <si>
    <t xml:space="preserve">Gatway Routing Type </t>
  </si>
  <si>
    <t>WLD Witness MGMT Network</t>
  </si>
  <si>
    <t>gg-vrslcm-content-admins</t>
  </si>
  <si>
    <t xml:space="preserve">Intelligent Network Visibility Hostnames													</t>
  </si>
  <si>
    <t>Management Subnet</t>
  </si>
  <si>
    <t>IP Allocation MGMT</t>
  </si>
  <si>
    <t>VCF Automation Prefix</t>
  </si>
  <si>
    <t>gg-vrslcm-content-developers</t>
  </si>
  <si>
    <r>
      <t>Firewall Rule Name</t>
    </r>
    <r>
      <rPr>
        <i/>
        <sz val="12"/>
        <color theme="1"/>
        <rFont val="Arial"/>
        <family val="2"/>
      </rPr>
      <t xml:space="preserve"> (vCenter Server Inbound)</t>
    </r>
  </si>
  <si>
    <t>IP Allocation (TEP) Edge #1</t>
  </si>
  <si>
    <t xml:space="preserve">VROPS Collecter IP </t>
  </si>
  <si>
    <t>gg-vrops-admins</t>
  </si>
  <si>
    <t>On-Premises Site Name (VMware Cloud Disaster Recovery)</t>
  </si>
  <si>
    <t>IP Allocation (TEP) Edge #2</t>
  </si>
  <si>
    <t>vROPS Appliance Size</t>
  </si>
  <si>
    <t>gg-vrops-content-admins</t>
  </si>
  <si>
    <t>Timezone (VMware Cloud Disaster Recovery)</t>
  </si>
  <si>
    <t xml:space="preserve">Auto-generate Edge passwords </t>
  </si>
  <si>
    <t>gg-vrops-read-only</t>
  </si>
  <si>
    <r>
      <t xml:space="preserve">Hostname </t>
    </r>
    <r>
      <rPr>
        <i/>
        <sz val="12"/>
        <color theme="1"/>
        <rFont val="Arial"/>
        <family val="2"/>
      </rPr>
      <t>(DRaaS Connector)</t>
    </r>
  </si>
  <si>
    <t>Skip Tier-0 Configuration</t>
  </si>
  <si>
    <t xml:space="preserve">VI WLD SSO Domian </t>
  </si>
  <si>
    <t>gg-vrli-admins</t>
  </si>
  <si>
    <r>
      <t xml:space="preserve">IP Address </t>
    </r>
    <r>
      <rPr>
        <i/>
        <sz val="12"/>
        <color theme="1"/>
        <rFont val="Arial"/>
        <family val="2"/>
      </rPr>
      <t>(DRaaS Connector)</t>
    </r>
  </si>
  <si>
    <t>Create Password for Edge Cluster</t>
  </si>
  <si>
    <t>gg-vrli-users</t>
  </si>
  <si>
    <r>
      <t xml:space="preserve">Hostname </t>
    </r>
    <r>
      <rPr>
        <i/>
        <sz val="12"/>
        <color theme="1"/>
        <rFont val="Arial"/>
        <family val="2"/>
      </rPr>
      <t>(DRaaS Connector #2)</t>
    </r>
  </si>
  <si>
    <t>Isolated VI Workload Domain SSO Domain</t>
  </si>
  <si>
    <t>gg-vrli-viewers</t>
  </si>
  <si>
    <r>
      <t xml:space="preserve">IP Address </t>
    </r>
    <r>
      <rPr>
        <i/>
        <sz val="12"/>
        <color theme="1"/>
        <rFont val="Arial"/>
        <family val="2"/>
      </rPr>
      <t>(DRaaS Connector #2)</t>
    </r>
  </si>
  <si>
    <t xml:space="preserve">VCF Authetication </t>
  </si>
  <si>
    <t>Isolated VI Workload Domain SSO Password</t>
  </si>
  <si>
    <t>gg-vra-org-owners</t>
  </si>
  <si>
    <t>DRaaS OVA Download Link</t>
  </si>
  <si>
    <t>Isolated VI Workload Administrator</t>
  </si>
  <si>
    <t>vSAN Storage Client</t>
  </si>
  <si>
    <t>gg-vra-cloud-assembly-admins</t>
  </si>
  <si>
    <t>Orchestrator FQDN</t>
  </si>
  <si>
    <t>VCF Auth Version</t>
  </si>
  <si>
    <t>WLD Cluster 1 image Name</t>
  </si>
  <si>
    <t>gg-vra-cloud-assembly-users</t>
  </si>
  <si>
    <t>Passcode</t>
  </si>
  <si>
    <t xml:space="preserve">VCF Auth Deployment Type </t>
  </si>
  <si>
    <t>WLD Edge Connectivity Type - IAAS</t>
  </si>
  <si>
    <t>gg-vra-cloud-assembly-viewers</t>
  </si>
  <si>
    <t>Label</t>
  </si>
  <si>
    <t>VCF Auth Alias</t>
  </si>
  <si>
    <t>gg-vra-orchestrator-viewers</t>
  </si>
  <si>
    <r>
      <t xml:space="preserve">Anti-Affinity Rule </t>
    </r>
    <r>
      <rPr>
        <i/>
        <sz val="12"/>
        <color theme="1"/>
        <rFont val="Arial"/>
        <family val="2"/>
      </rPr>
      <t>(VMware Cloud Disaster Recovery)</t>
    </r>
  </si>
  <si>
    <t>VCF Auth Common Name (CN)</t>
  </si>
  <si>
    <t>NSX Admin Password</t>
  </si>
  <si>
    <t>gg-vra-project-admins-sample</t>
  </si>
  <si>
    <t>Email alert recipients</t>
  </si>
  <si>
    <t>VCF Auth Organisation</t>
  </si>
  <si>
    <t xml:space="preserve">NSX Deployment Type </t>
  </si>
  <si>
    <t>NSX</t>
  </si>
  <si>
    <t>gg-vra-project-users-sample</t>
  </si>
  <si>
    <t>Sender email address</t>
  </si>
  <si>
    <t>VCF Auth Organisation OU</t>
  </si>
  <si>
    <t>WLD Edge Connectivity Type</t>
  </si>
  <si>
    <t>gg-vcf-admins</t>
  </si>
  <si>
    <t>Aria Operations for Logs - URL</t>
  </si>
  <si>
    <t>VCF Auth Country Code (C)</t>
  </si>
  <si>
    <t>WLD Edge Cluster Resource Pool</t>
  </si>
  <si>
    <t>gg-vcf-operators</t>
  </si>
  <si>
    <t>Aria Operations for Logs - Key</t>
  </si>
  <si>
    <t>VCF Auth Locality (L)</t>
  </si>
  <si>
    <t>WLD Host Group Affinity Host</t>
  </si>
  <si>
    <t>gg-vcf-viewers</t>
  </si>
  <si>
    <t>VCF Auth State (ST)</t>
  </si>
  <si>
    <t>WLD Host Group Affinity Host name en01</t>
  </si>
  <si>
    <t>gg-vc-admins</t>
  </si>
  <si>
    <t>Cross Cloud Mobility References</t>
  </si>
  <si>
    <t>VCF Auth Key Length</t>
  </si>
  <si>
    <t>WLD Host Group Affinity Host name en02</t>
  </si>
  <si>
    <t>gg-vc-read-only</t>
  </si>
  <si>
    <t>VCF Auth Select Folder</t>
  </si>
  <si>
    <t xml:space="preserve">WLD Edges Share host Overlay </t>
  </si>
  <si>
    <t>gg-sso-admins</t>
  </si>
  <si>
    <r>
      <t xml:space="preserve">vSphere Custom Role Role name </t>
    </r>
    <r>
      <rPr>
        <i/>
        <sz val="12"/>
        <color theme="1"/>
        <rFont val="Arial"/>
        <family val="2"/>
      </rPr>
      <t>(VMware HCX to vSphere)</t>
    </r>
  </si>
  <si>
    <t xml:space="preserve">WLD Gatway Routing Type </t>
  </si>
  <si>
    <t>gg-nsx-enterprise-admins</t>
  </si>
  <si>
    <r>
      <t xml:space="preserve">vSphere Service Account </t>
    </r>
    <r>
      <rPr>
        <i/>
        <sz val="12"/>
        <color theme="1"/>
        <rFont val="Arial"/>
        <family val="2"/>
      </rPr>
      <t>(VMware HCX to vSphere)</t>
    </r>
  </si>
  <si>
    <t>WLD NSX Operational Mode</t>
  </si>
  <si>
    <t>gg-nsx-network-admins</t>
  </si>
  <si>
    <r>
      <t xml:space="preserve">vSphere Service Account Password </t>
    </r>
    <r>
      <rPr>
        <i/>
        <sz val="12"/>
        <color theme="1"/>
        <rFont val="Arial"/>
        <family val="2"/>
      </rPr>
      <t>(VMware HCX to vSphere)</t>
    </r>
  </si>
  <si>
    <t>VCF Auth Select Resource Pool</t>
  </si>
  <si>
    <t>gg-nsx-auditors</t>
  </si>
  <si>
    <r>
      <t xml:space="preserve">VM Folder </t>
    </r>
    <r>
      <rPr>
        <sz val="12"/>
        <color theme="1"/>
        <rFont val="Arial"/>
        <family val="2"/>
      </rPr>
      <t>(HCX Connector)</t>
    </r>
  </si>
  <si>
    <t xml:space="preserve">Enhanced Datapath </t>
  </si>
  <si>
    <r>
      <t xml:space="preserve">VM Folder </t>
    </r>
    <r>
      <rPr>
        <i/>
        <sz val="12"/>
        <color theme="1"/>
        <rFont val="Arial"/>
        <family val="2"/>
      </rPr>
      <t>(HCX Appliances)</t>
    </r>
  </si>
  <si>
    <t>WLD Password Creation</t>
  </si>
  <si>
    <t>VM Group Names</t>
  </si>
  <si>
    <r>
      <t xml:space="preserve">Resource Pool </t>
    </r>
    <r>
      <rPr>
        <i/>
        <sz val="12"/>
        <color theme="1"/>
        <rFont val="Arial"/>
        <family val="2"/>
      </rPr>
      <t>(HCX Appliances)</t>
    </r>
  </si>
  <si>
    <t>WLD Edge #1 Overlay Ip Allocation</t>
  </si>
  <si>
    <t>VMware HCX to NSX Username</t>
  </si>
  <si>
    <t>WLD Edge #1 MGMT IP Allocation</t>
  </si>
  <si>
    <t>Clustered WSA Instances</t>
  </si>
  <si>
    <t>VMware HCX to NSX Password</t>
  </si>
  <si>
    <t xml:space="preserve">Auth mode </t>
  </si>
  <si>
    <t>WLD Edge #2 Overlay Ip Allocation</t>
  </si>
  <si>
    <t>AWS SDDC Name</t>
  </si>
  <si>
    <t>VCF Auth Identity Provider</t>
  </si>
  <si>
    <t>WLD Edge #2 MGMT IP Allocation</t>
  </si>
  <si>
    <t xml:space="preserve">Management </t>
  </si>
  <si>
    <t>VCF Auth Directory Name</t>
  </si>
  <si>
    <t>IAAS Service Chosen</t>
  </si>
  <si>
    <t>Witness vCenter FQDN</t>
  </si>
  <si>
    <t>VCF Auth Server Location</t>
  </si>
  <si>
    <t xml:space="preserve">Create new Static Pool </t>
  </si>
  <si>
    <t>Witness vCenter</t>
  </si>
  <si>
    <t xml:space="preserve">VCF Auth Global Catalogue </t>
  </si>
  <si>
    <t xml:space="preserve">Default NSX Operation Chosen </t>
  </si>
  <si>
    <t>Witness vCenter hostname</t>
  </si>
  <si>
    <t xml:space="preserve">VCF Auth Encrypted Connection </t>
  </si>
  <si>
    <t xml:space="preserve">vSAN Type </t>
  </si>
  <si>
    <t xml:space="preserve">MGMT Witness MTU </t>
  </si>
  <si>
    <t xml:space="preserve">VCF Auth Encryption Cert </t>
  </si>
  <si>
    <t xml:space="preserve">Copy vDS Profile </t>
  </si>
  <si>
    <t xml:space="preserve">MGMT Witness vLAN </t>
  </si>
  <si>
    <t>VCF Auth Primary Domain Controller</t>
  </si>
  <si>
    <t xml:space="preserve">MGMT Witness Port Group </t>
  </si>
  <si>
    <t>VCF Auth Primary Domain Controller Port</t>
  </si>
  <si>
    <t>Active  uplink1</t>
  </si>
  <si>
    <t xml:space="preserve">MGMT Witness Network </t>
  </si>
  <si>
    <r>
      <t xml:space="preserve">Firewall Rule Name </t>
    </r>
    <r>
      <rPr>
        <i/>
        <sz val="12"/>
        <color theme="1"/>
        <rFont val="Arial"/>
        <family val="2"/>
      </rPr>
      <t>(HCX Inbound)</t>
    </r>
  </si>
  <si>
    <t>VCF Auth Secondary Domain Controller</t>
  </si>
  <si>
    <r>
      <t>User Defined Group</t>
    </r>
    <r>
      <rPr>
        <i/>
        <sz val="12"/>
        <color theme="1"/>
        <rFont val="Arial"/>
        <family val="2"/>
      </rPr>
      <t xml:space="preserve"> (Firewall Access)</t>
    </r>
  </si>
  <si>
    <t xml:space="preserve">VCF Auth Secondary Domain Controller Port </t>
  </si>
  <si>
    <t>Witness Mask</t>
  </si>
  <si>
    <r>
      <t xml:space="preserve">IP Address(es) </t>
    </r>
    <r>
      <rPr>
        <i/>
        <sz val="12"/>
        <color theme="1"/>
        <rFont val="Arial"/>
        <family val="2"/>
      </rPr>
      <t>(Firewall Access)</t>
    </r>
  </si>
  <si>
    <t xml:space="preserve">VCF Auth Directory Search </t>
  </si>
  <si>
    <t>WLD NSX Admin Password</t>
  </si>
  <si>
    <t>Brownfield WLD Import</t>
  </si>
  <si>
    <t xml:space="preserve">Witness IP </t>
  </si>
  <si>
    <t>HCX License key</t>
  </si>
  <si>
    <t>VCF Auth Base DN</t>
  </si>
  <si>
    <t>WLD NSX Root Password</t>
  </si>
  <si>
    <t>Witness CIDR</t>
  </si>
  <si>
    <t>Datacenter Location</t>
  </si>
  <si>
    <t xml:space="preserve">VCF Auth Bind Username </t>
  </si>
  <si>
    <t>Workload Domain Edge Cluster MTU</t>
  </si>
  <si>
    <t>Witness Gateway</t>
  </si>
  <si>
    <r>
      <rPr>
        <b/>
        <sz val="12"/>
        <color theme="1"/>
        <rFont val="Arial"/>
        <family val="2"/>
      </rPr>
      <t>Hostname</t>
    </r>
    <r>
      <rPr>
        <i/>
        <sz val="12"/>
        <color theme="1"/>
        <rFont val="Arial"/>
        <family val="2"/>
      </rPr>
      <t xml:space="preserve"> (HCX Connector)</t>
    </r>
  </si>
  <si>
    <t>VCF Auth Bind Password</t>
  </si>
  <si>
    <t>SFTP Sever</t>
  </si>
  <si>
    <r>
      <t xml:space="preserve">CLI Admin Password </t>
    </r>
    <r>
      <rPr>
        <i/>
        <sz val="12"/>
        <color theme="1"/>
        <rFont val="Arial"/>
        <family val="2"/>
      </rPr>
      <t>(HCX Connector)</t>
    </r>
  </si>
  <si>
    <t>VCF Auth Username</t>
  </si>
  <si>
    <r>
      <t xml:space="preserve">Root Password </t>
    </r>
    <r>
      <rPr>
        <i/>
        <sz val="12"/>
        <color theme="1"/>
        <rFont val="Arial"/>
        <family val="2"/>
      </rPr>
      <t>(HCX Connector)</t>
    </r>
  </si>
  <si>
    <t>VCF Auth First Name</t>
  </si>
  <si>
    <t xml:space="preserve">VCF operations for Logs </t>
  </si>
  <si>
    <r>
      <t xml:space="preserve">IP Address </t>
    </r>
    <r>
      <rPr>
        <i/>
        <sz val="12"/>
        <color theme="1"/>
        <rFont val="Arial"/>
        <family val="2"/>
      </rPr>
      <t>(HCX Connector)</t>
    </r>
  </si>
  <si>
    <t>VCF Auth Last Name</t>
  </si>
  <si>
    <t>Remote HCX URL</t>
  </si>
  <si>
    <t>VCF Auth Distinguised Name</t>
  </si>
  <si>
    <r>
      <t xml:space="preserve">Username </t>
    </r>
    <r>
      <rPr>
        <i/>
        <sz val="12"/>
        <color theme="1"/>
        <rFont val="Arial"/>
        <family val="2"/>
      </rPr>
      <t>(VMC on AWS Administrator)</t>
    </r>
  </si>
  <si>
    <t>VCF Auth Employee ID</t>
  </si>
  <si>
    <r>
      <t xml:space="preserve">Password </t>
    </r>
    <r>
      <rPr>
        <i/>
        <sz val="12"/>
        <color theme="1"/>
        <rFont val="Arial"/>
        <family val="2"/>
      </rPr>
      <t>(VMC on AWS Administrator)</t>
    </r>
  </si>
  <si>
    <t>VCF Auth Email</t>
  </si>
  <si>
    <t>HCX Network Profiles - Management IP Range</t>
  </si>
  <si>
    <t>VCF Auth Principal name</t>
  </si>
  <si>
    <t>HCX Network Profiles - vMotion IP Range</t>
  </si>
  <si>
    <t>VCF Auth Group base DN</t>
  </si>
  <si>
    <t>HCX Compute Profile</t>
  </si>
  <si>
    <t>VCF Auth User base dn</t>
  </si>
  <si>
    <t>HCX Service Mesh</t>
  </si>
  <si>
    <t>MGMT Domain Hostnames (Witness AZ)</t>
  </si>
  <si>
    <t>Randsomware Recovery</t>
  </si>
  <si>
    <t>MGMT vCenter</t>
  </si>
  <si>
    <t>Server Domain / FQDN - Master</t>
  </si>
  <si>
    <t>Protected vCenter</t>
  </si>
  <si>
    <t>Server Domain / FQDN - Worker 1</t>
  </si>
  <si>
    <t>VLR Hostname</t>
  </si>
  <si>
    <t>Server Domain / FQDN - Worker 2</t>
  </si>
  <si>
    <t>VLR FQDN</t>
  </si>
  <si>
    <t xml:space="preserve">Management Domain VI Inputs (Secondary Availability Zone)								</t>
  </si>
  <si>
    <t>Storage Cluster</t>
  </si>
  <si>
    <t xml:space="preserve">Storage Cluster VDS </t>
  </si>
  <si>
    <t xml:space="preserve">Cluster Strecthed Cluster  							</t>
  </si>
  <si>
    <t>Node Port Group</t>
  </si>
  <si>
    <t>Node Gateway</t>
  </si>
  <si>
    <t>Node Subnet</t>
  </si>
  <si>
    <t xml:space="preserve">Management Domain VI Inputs (Witness Availability Zone)								</t>
  </si>
  <si>
    <t>Recovery Workload AZ1 CIDR Prefix</t>
  </si>
  <si>
    <t>Recovery Site VRMS Gateway</t>
  </si>
  <si>
    <t>Recovery Site VRMS Cidr</t>
  </si>
  <si>
    <t xml:space="preserve">Proteected Site VRMS Mask </t>
  </si>
  <si>
    <t xml:space="preserve">VSLR Username </t>
  </si>
  <si>
    <t>Management Domain IP Addresses (Witness AZ)</t>
  </si>
  <si>
    <t>vSAN Witness IP</t>
  </si>
  <si>
    <t>Node A Hostname</t>
  </si>
  <si>
    <t>Node B Hostname</t>
  </si>
  <si>
    <t>Node C Hostname</t>
  </si>
  <si>
    <t>Management Domain Accounts and Passwords</t>
  </si>
  <si>
    <t>VIP IP</t>
  </si>
  <si>
    <t>Node A IP</t>
  </si>
  <si>
    <t>ESX Root Account</t>
  </si>
  <si>
    <t>Node B IP</t>
  </si>
  <si>
    <t>ESX Root Password</t>
  </si>
  <si>
    <t>vMotion VLAN ID</t>
  </si>
  <si>
    <t>Node C IP</t>
  </si>
  <si>
    <t>Disk Mode</t>
  </si>
  <si>
    <t>VCF Automation Root Password</t>
  </si>
  <si>
    <t>AZ Network - vMotion</t>
  </si>
  <si>
    <t>VCF Operations Admin Password</t>
  </si>
  <si>
    <t xml:space="preserve">VCF Networks for Network </t>
  </si>
  <si>
    <t>VCF OPS Root Password</t>
  </si>
  <si>
    <t>Fleet Manager Admin Password</t>
  </si>
  <si>
    <t>Fleet Manager Root Password</t>
  </si>
  <si>
    <t>WLD administrator@vsphere.local Password</t>
  </si>
  <si>
    <t xml:space="preserve">vSAN Network </t>
  </si>
  <si>
    <t>MGMT NSX Admin Password</t>
  </si>
  <si>
    <t>vSAN VLAN ID</t>
  </si>
  <si>
    <t>Private Key</t>
  </si>
  <si>
    <t>MGMT NSX Root Password</t>
  </si>
  <si>
    <t xml:space="preserve">Certificate Chain </t>
  </si>
  <si>
    <t>MGMT VIDB VIPS</t>
  </si>
  <si>
    <t xml:space="preserve">AZ Network - Princpal Storage </t>
  </si>
  <si>
    <t>MGMT VIDB Node Prefix</t>
  </si>
  <si>
    <t>MGMT VIDB Password</t>
  </si>
  <si>
    <t>MGMT VIDB Password Alias</t>
  </si>
  <si>
    <t>MGMT VIDB Password Description</t>
  </si>
  <si>
    <t>MGMT VIDB Root Password</t>
  </si>
  <si>
    <t>MGMT VIDB VMware System User Password Alias</t>
  </si>
  <si>
    <t>vSAN Client Network</t>
  </si>
  <si>
    <t>MGMT VIDB VMware System User Password Password</t>
  </si>
  <si>
    <t>NFS VLAN ID</t>
  </si>
  <si>
    <t>MGMT VIDB VMware System User Password Description</t>
  </si>
  <si>
    <t>Network -  Secondary Storage</t>
  </si>
  <si>
    <t>MGMT Edge Node 1 Uplink Mapping fp-eth0 uplink0</t>
  </si>
  <si>
    <t>FQDN - Proxy</t>
  </si>
  <si>
    <t>MGMT Edge Node 1 Uplink Mapping fp-eth0 uplink1</t>
  </si>
  <si>
    <t>MGMT Edge Node 1 Uplink Mapping fp-eth1 uplink0</t>
  </si>
  <si>
    <t>MGMT Edge Node 1 Uplink Mapping fp-eth1 uplink1</t>
  </si>
  <si>
    <t>MGMT Edge Node 2 Uplink Mapping fp-eth0 uplink0</t>
  </si>
  <si>
    <t>IP - Proxy</t>
  </si>
  <si>
    <t>MGMT Edge Node 2 Uplink Mapping fp-eth0 uplink1</t>
  </si>
  <si>
    <t>HOSTNAME - Platform Node #1</t>
  </si>
  <si>
    <t>MGMT Edge Node 2 Uplink Mapping fp-eth1 uplink0</t>
  </si>
  <si>
    <t>HOSTNAME - Platform Node #2</t>
  </si>
  <si>
    <t>MGMT Edge Node 2 Uplink Mapping fp-eth1 uplink1</t>
  </si>
  <si>
    <t>HOSTNAME - Platform Node #3</t>
  </si>
  <si>
    <t>HOSTNAME - Proxy</t>
  </si>
  <si>
    <t>WLD Edge Node 1 Uplink Mapping fp-eth0 uplink0</t>
  </si>
  <si>
    <t>WLD Edge Node 1 Uplink Mapping fp-eth0 uplink1</t>
  </si>
  <si>
    <t>WLD Edge Node 1 Uplink Mapping fp-eth1 uplink0</t>
  </si>
  <si>
    <t>WLD Edge Node 1 Uplink Mapping fp-eth1 uplink1</t>
  </si>
  <si>
    <t>WLD Edge Node 2 Uplink Mapping fp-eth0 uplink0</t>
  </si>
  <si>
    <t>WLD Edge Node 2 Uplink Mapping fp-eth0 uplink1</t>
  </si>
  <si>
    <t>WLD Edge Node 2 Uplink Mapping fp-eth1 uplink0</t>
  </si>
  <si>
    <t>WLD Edge Node 2 Uplink Mapping fp-eth1 uplink1</t>
  </si>
  <si>
    <t>vSAN Witness Zone - MGMT VLAN ID</t>
  </si>
  <si>
    <t>vSAN Witness Zone - MGMT Gateway</t>
  </si>
  <si>
    <t>vSAN Witness Zone - MGMT CIDR Notation</t>
  </si>
  <si>
    <t>vSAN Witness Zone - MGMT MTU</t>
  </si>
  <si>
    <t xml:space="preserve">OPS for Networks Proxy Port Group </t>
  </si>
  <si>
    <t>OPS for Networks Node A Size</t>
  </si>
  <si>
    <t>OPS for Networks Node B Size</t>
  </si>
  <si>
    <t>OPS for Networks Node C Size</t>
  </si>
  <si>
    <t>OPS for Networks Proxy Size</t>
  </si>
  <si>
    <t>secondaryAzOverlayVlanId</t>
  </si>
  <si>
    <t>Configure VCF Operations and Automation  {SDDC Manager}</t>
  </si>
  <si>
    <t>Host  1 FQDN - AZ2</t>
  </si>
  <si>
    <t>Host 2 FQDN - AZ2</t>
  </si>
  <si>
    <t>Host 3 FQDN - AZ2</t>
  </si>
  <si>
    <t>Host 4 FQDN  - AZ2</t>
  </si>
  <si>
    <t>Host 5 FQDN - AZ2</t>
  </si>
  <si>
    <t>Host 6 FQDN - AZ2</t>
  </si>
  <si>
    <t>FQDN - LB</t>
  </si>
  <si>
    <t>Host 7 FQDN - AZ2</t>
  </si>
  <si>
    <t>VCF OPS FQDN - Master</t>
  </si>
  <si>
    <t>Host 8 FQDN - AZ2</t>
  </si>
  <si>
    <t>FQDN - Replica</t>
  </si>
  <si>
    <t>Host 9 FQDN - AZ2</t>
  </si>
  <si>
    <t>FQDN - Data</t>
  </si>
  <si>
    <t>Host 10 FQDN - AZ2</t>
  </si>
  <si>
    <t>IP Address - LB</t>
  </si>
  <si>
    <t>Host 11 FQDN - AZ2</t>
  </si>
  <si>
    <t>IP Address - Master</t>
  </si>
  <si>
    <t>Host 12 FQDN - AZ2</t>
  </si>
  <si>
    <t>IP Address - Replica</t>
  </si>
  <si>
    <t>Host 13 FQDN - AZ2</t>
  </si>
  <si>
    <t>IP Address - Data</t>
  </si>
  <si>
    <t>Host 14 FQDN - AZ2</t>
  </si>
  <si>
    <t>Host 15 FQDN - AZ2</t>
  </si>
  <si>
    <t>Host 16 FQDN - AZ2</t>
  </si>
  <si>
    <t>VCF OPs collector FQDN</t>
  </si>
  <si>
    <t>VCF Automation FQDN</t>
  </si>
  <si>
    <t>local reg networkName</t>
  </si>
  <si>
    <t>local reg subnetMask</t>
  </si>
  <si>
    <t>local reg gateway</t>
  </si>
  <si>
    <t>x reg networkName</t>
  </si>
  <si>
    <t>x reg subnetMask</t>
  </si>
  <si>
    <t>x reg gateway</t>
  </si>
  <si>
    <t>Configure VCF  Automation  {Fleet Manager}</t>
  </si>
  <si>
    <t>Select Subnet</t>
  </si>
  <si>
    <t>Node portgroup</t>
  </si>
  <si>
    <t>Password Alias</t>
  </si>
  <si>
    <t>Password Description</t>
  </si>
  <si>
    <t>Static Reference Tables</t>
  </si>
  <si>
    <t>The following values are used for lookups throughout the rest of the workbook</t>
  </si>
  <si>
    <t>Sizing Value References</t>
  </si>
  <si>
    <t>Include / Exclude</t>
  </si>
  <si>
    <t>Important: Using this Document</t>
  </si>
  <si>
    <t>Constant</t>
  </si>
  <si>
    <t xml:space="preserve">
1.
2.
3.
4.
5.
6.
7.
8.
9.
10.
11.
12.
13.
14.
15.
16.
17.
18.
</t>
  </si>
  <si>
    <t xml:space="preserve">
Use the Multi-Instance Integration Model option to define how this VCF instance will integrate with other VCF instances. Use First Domain when this is the very first VCF domain or where no integration with other VCF instances is required. Use Additional Domain when you intend to integrate the new VCF instance with management components deployed in another VCF instance but where you desire a distinct SSO domain. Reference values for the First Domain are based on location SFO, while the Additional Domain option is based on LAX. Site Protection and Disaster Recovery assumes the First Domain to be the Protected Site, with Additional Domain options assumed to be Recovery. Several processes effecting the recovery site are carried out using the protected site P&amp;P workbook to minimise input requirements.
Choosing VCF Solution Licensing: The applicable VCF components will deploy in evaluation mode. After deployment, you add the keys in the vSphere Client
Choose additional Management Domain: Deployment options. 
Choosing Consolidated Management Domain will exclude VI Workload Domain.
Choose Management Domain: Post-Deployment Options. Overlay-backed NSX Routing for the Management Domain assumes the use of BGP, while VLAN-Backed assumes Static Routes. Overlay-Backed is required for NSX Federation for the Management Domain, and NSX Routing for the Management Domain is required to enable VMware Aria Suite Lifecycle.
Choose VMware Aria Suite Lifecycle and VCF Aware Workspace ONE options as required. VMware Aria Suite Lifecycle is required for VMware Aria Suite based Validated Solutions.
Choose VI Workload Domain: Deployment options.
Choose VI Workload Domain: Multi Rack Deployment options. Choosing Dedicated Racks for vSphere Cluster hosting NSX Edges will dedicate two Racks to host vSphere Cluster hosting NSX Edges. Excluding Dedicated Racks for vSphere Cluster hosting NSX Edges will place two vSphere Cluster hosting NSX Edges in two separate racks that will also contain hosts for the multi rack compute cluster. 
Setting the number of Additional Racks will determine the total number of racks contributing to the VMware Cloud Foundation instance. Once the VI Workload Domain is enabled, the first rack is automatically counted by default.
Set the number of compute hosts that will be deployed and configured per rack in the Initial cluster. Standard vSAN scaling limits apply. 
Choose the Racks where the vSphere Clusters hosting the NSX Edges will be placed.
Choose the edge deployment model . Two node will deploy a two node edge cluster and place one edge node per cluster. Four node will deploy a four nodes edge cluster and place two edge nodes per cluster .
Choose VI Workload Domain: Post-Deployment options.
Choose desired Validated Solution: Deployment options, choosing Initial Deployment or Connect Instance where appropriate.
Adjust your chosen options until all dependencies and compatibility issues highlighted in red are resolved.
Populate the necessary inputs on the Input Tabs. Based on your chosen options, cells and rows where the input is not required will be greyed out.
Deploy Management and VI Workload Domains using Deployment Overview of VMware Cloud Foundation. 
Deploy Validated Solutions using their respective documentation. Each section in the documentation requiring user values will have a corresponding named table in the relevant Deployment Tab. Processes not needed due to your chosen options will be greyed out.
</t>
  </si>
  <si>
    <t>vCenter Appliance Size List</t>
  </si>
  <si>
    <t>Tiny</t>
  </si>
  <si>
    <t>Excluded</t>
  </si>
  <si>
    <t>Yes / No</t>
  </si>
  <si>
    <t xml:space="preserve">Instance </t>
  </si>
  <si>
    <t>First Instance</t>
  </si>
  <si>
    <t>Additional Instance</t>
  </si>
  <si>
    <t>Yes</t>
  </si>
  <si>
    <t>Deploy a new VCF fleet</t>
  </si>
  <si>
    <t>Deploy a VCF Instance in an existing VCF fleet</t>
  </si>
  <si>
    <t>VMware vSphere Foundation Deployment</t>
  </si>
  <si>
    <t>XLarge</t>
  </si>
  <si>
    <t>Create VI Workload Domain</t>
  </si>
  <si>
    <t>vCenter Storage Size List</t>
  </si>
  <si>
    <t>Create Cluster</t>
  </si>
  <si>
    <t>None</t>
  </si>
  <si>
    <t>Full Instance</t>
  </si>
  <si>
    <t>One Or More VVDs</t>
  </si>
  <si>
    <t>NSX-T Manager Size List</t>
  </si>
  <si>
    <t>Extra_Small</t>
  </si>
  <si>
    <t>None Chosen</t>
  </si>
  <si>
    <t>Workload Domain</t>
  </si>
  <si>
    <t>NSX-T Edge Size List</t>
  </si>
  <si>
    <t>XXLarge</t>
  </si>
  <si>
    <t>vCenter Size</t>
  </si>
  <si>
    <t>Supported Limits</t>
  </si>
  <si>
    <t>10 Hosts 100 VMs</t>
  </si>
  <si>
    <t>Lookup Tables</t>
  </si>
  <si>
    <t>100 Hosts 1000 VMs</t>
  </si>
  <si>
    <t>400 Hosts - 4000 VM</t>
  </si>
  <si>
    <t>CPU</t>
  </si>
  <si>
    <t>1000 Hosts - 10000 VMs</t>
  </si>
  <si>
    <t>RAM</t>
  </si>
  <si>
    <t>2000 Hosts - 35000 VMS</t>
  </si>
  <si>
    <t>Disk</t>
  </si>
  <si>
    <t>vCenter Appliance CPU</t>
  </si>
  <si>
    <t>NSX Size</t>
  </si>
  <si>
    <t>Cloud Service Manager Only</t>
  </si>
  <si>
    <t>POC only</t>
  </si>
  <si>
    <t>128 Hosts - 5 vSphere Clusters</t>
  </si>
  <si>
    <t>1024 Hosts - 256 vSphere Clusters</t>
  </si>
  <si>
    <t>2048 Hosts - 512 vSphere Clusters</t>
  </si>
  <si>
    <t>vCenter Appliance RAM</t>
  </si>
  <si>
    <t>vSAN MAX VDS Profile</t>
  </si>
  <si>
    <t>Standard VDS Profile</t>
  </si>
  <si>
    <t>VVF VDS Profile</t>
  </si>
  <si>
    <t>vSAN Max Storage Traffic Separation</t>
  </si>
  <si>
    <t>vCenter Disk</t>
  </si>
  <si>
    <t>vSAN Max Storage Traffic and NSX Traffic Separation</t>
  </si>
  <si>
    <t>Storage Traffic Separation</t>
  </si>
  <si>
    <t>TinyDefault</t>
  </si>
  <si>
    <t>NSX Traffic Separation</t>
  </si>
  <si>
    <t>Custom Switch Configuration</t>
  </si>
  <si>
    <t>TinyLarge</t>
  </si>
  <si>
    <t>Storage Traffic and NSX Traffic Separation</t>
  </si>
  <si>
    <t>TinyXLarge</t>
  </si>
  <si>
    <t>SmallDefault</t>
  </si>
  <si>
    <t>SmallLarge</t>
  </si>
  <si>
    <t>SmallXLarge</t>
  </si>
  <si>
    <t>MediumDefault</t>
  </si>
  <si>
    <t>MediumLarge</t>
  </si>
  <si>
    <t>vSAN Compute</t>
  </si>
  <si>
    <t>MediumXLarge</t>
  </si>
  <si>
    <t>LargeDefault</t>
  </si>
  <si>
    <t>LargeLarge</t>
  </si>
  <si>
    <t>LargeXLarge</t>
  </si>
  <si>
    <t>XLargeDefault</t>
  </si>
  <si>
    <t>XLargeLarge</t>
  </si>
  <si>
    <t>XLargeXLarge</t>
  </si>
  <si>
    <t>NSX-T Manager CPU</t>
  </si>
  <si>
    <t>NSX-T Manager RAM</t>
  </si>
  <si>
    <t>NSX-T Manager Disk</t>
  </si>
  <si>
    <t>NSX-T Edge CPU</t>
  </si>
  <si>
    <t>NSX-T Edge RAM</t>
  </si>
  <si>
    <t>NSX-T Edge Disk</t>
  </si>
  <si>
    <t>VCF Operations Fleet Manager</t>
  </si>
  <si>
    <t>vCLS Virtual Machines</t>
  </si>
  <si>
    <t>WSA CPU</t>
  </si>
  <si>
    <t>Extra Small</t>
  </si>
  <si>
    <t>Extra Large</t>
  </si>
  <si>
    <t>Extra Extra Large</t>
  </si>
  <si>
    <t>WSA RAM</t>
  </si>
  <si>
    <t>WSA Disk</t>
  </si>
  <si>
    <t>VCF Automation CPU</t>
  </si>
  <si>
    <t>VCF Automation RAM</t>
  </si>
  <si>
    <t>VCF Automation Disk</t>
  </si>
  <si>
    <t>vRLI CPU</t>
  </si>
  <si>
    <t>vRLI RAM</t>
  </si>
  <si>
    <t>vRLI Disk</t>
  </si>
  <si>
    <t>VCF Operations CPU</t>
  </si>
  <si>
    <t>VCF Operations RAM</t>
  </si>
  <si>
    <t>VCF Operations Disk</t>
  </si>
  <si>
    <t>VCF Operations Proxy CPU</t>
  </si>
  <si>
    <t>VCF Operations Proxy RAM</t>
  </si>
  <si>
    <t>VCF Operations Proxy Disk</t>
  </si>
  <si>
    <t>VRMS CPU</t>
  </si>
  <si>
    <t>Light</t>
  </si>
  <si>
    <t>VRMS RAM</t>
  </si>
  <si>
    <t>VRMS Disk</t>
  </si>
  <si>
    <t>SRM CPU</t>
  </si>
  <si>
    <t>SRM RAM</t>
  </si>
  <si>
    <t>SRM Disk</t>
  </si>
  <si>
    <t>Health Reporting and Monitoring - HVM</t>
  </si>
  <si>
    <t>VCF Operations for networks CPU</t>
  </si>
  <si>
    <t>VCF Operations for networks RAM</t>
  </si>
  <si>
    <t xml:space="preserve">VCF Operations for networks DISK </t>
  </si>
  <si>
    <t>VCF Operations for networks - Collector CPU</t>
  </si>
  <si>
    <t>VCF Operations for networks - Collector RAM</t>
  </si>
  <si>
    <t xml:space="preserve">VCF Operations for networks - Collecter DISK </t>
  </si>
  <si>
    <t>Cloud-Based Ransomware</t>
  </si>
  <si>
    <t>Cross-Cloud Mobility - HCX Conn</t>
  </si>
  <si>
    <t>AVI Load Balancer CPU</t>
  </si>
  <si>
    <t>X-Large</t>
  </si>
  <si>
    <t>AVI Load Balancer Ram</t>
  </si>
  <si>
    <t>AVI Load Balancer Disk</t>
  </si>
  <si>
    <t>SSP CPU</t>
  </si>
  <si>
    <t xml:space="preserve">SSP RAM </t>
  </si>
  <si>
    <t>SSP Disk</t>
  </si>
  <si>
    <t>Mask</t>
  </si>
  <si>
    <t>255.255.255.255</t>
  </si>
  <si>
    <t>255.255.255.254</t>
  </si>
  <si>
    <t>255.255.255.252</t>
  </si>
  <si>
    <t>255.255.255.248</t>
  </si>
  <si>
    <t>255.255.255.240</t>
  </si>
  <si>
    <t>255.255.255.224</t>
  </si>
  <si>
    <t>255.255.255.192</t>
  </si>
  <si>
    <t>255.255.255.128</t>
  </si>
  <si>
    <t>255.255.254.0</t>
  </si>
  <si>
    <t>255.255.252.0</t>
  </si>
  <si>
    <t>255.255.248.0</t>
  </si>
  <si>
    <t>255.255.240.0</t>
  </si>
  <si>
    <t>255.255.224.0</t>
  </si>
  <si>
    <t>255.255.192.0</t>
  </si>
  <si>
    <t>255.255.128.0</t>
  </si>
  <si>
    <t>255.255.0.0</t>
  </si>
  <si>
    <t>255.254.0.0</t>
  </si>
  <si>
    <t>255.252.0.0</t>
  </si>
  <si>
    <t>255.248.0.0</t>
  </si>
  <si>
    <t>255.240.0.0</t>
  </si>
  <si>
    <t>255.224.0.0</t>
  </si>
  <si>
    <t>255.192.0.0</t>
  </si>
  <si>
    <t>255.128.0.0</t>
  </si>
  <si>
    <t>255.0.0.0</t>
  </si>
  <si>
    <t>254.0.0.0</t>
  </si>
  <si>
    <t>252.0.0.0</t>
  </si>
  <si>
    <t>248.0.0.0</t>
  </si>
  <si>
    <t>240.0.0.0</t>
  </si>
  <si>
    <t>224.0.0.0</t>
  </si>
  <si>
    <t>192.0.0.0</t>
  </si>
  <si>
    <t>128.0.0.0</t>
  </si>
  <si>
    <t>0.0.0.0</t>
  </si>
  <si>
    <t>NSX-T Deployment</t>
  </si>
  <si>
    <t>Shared</t>
  </si>
  <si>
    <t>Dedicated - Single Node</t>
  </si>
  <si>
    <t>Dedicated - HA Cluster</t>
  </si>
  <si>
    <t>VI Workload Domain Type</t>
  </si>
  <si>
    <t>AMD Opteron Generation 1 (Rev. E)</t>
  </si>
  <si>
    <t>AMD Opteron Generation 2 (Rev. F)</t>
  </si>
  <si>
    <t>AMD Opteron Generation 3 (Greyhound)</t>
  </si>
  <si>
    <t>AMD Opteron Generation 3 (no 3Dnow!) (Greyhound)</t>
  </si>
  <si>
    <t>AMD Opteron Generation 4 (Bulldozer)</t>
  </si>
  <si>
    <t>AMD Opteron "Piledriver" Generation</t>
  </si>
  <si>
    <t>AMD Opteron "Steamroller" Generation</t>
  </si>
  <si>
    <t>AMD "Zen" Generation</t>
  </si>
  <si>
    <t>AMD "Zen 2" Generation</t>
  </si>
  <si>
    <t>AMD "Zen 3" Generation</t>
  </si>
  <si>
    <t>AMD "Zen 4" Generation</t>
  </si>
  <si>
    <t>Intel "Merom" Generation (Intel Xeon Core 2)</t>
  </si>
  <si>
    <t>Intel "Penryn" Generation (Intel Xeon 45nm Core2)</t>
  </si>
  <si>
    <t>Intel "Nehalem" Generation (Intel Xeon Core i7)</t>
  </si>
  <si>
    <t>Intel "Westmere" Generation (Intel Xeon 32nm Core i7)</t>
  </si>
  <si>
    <t>Intel "Sandy Bridge" Generation</t>
  </si>
  <si>
    <t>Intel "Ivy Bridge" Generation</t>
  </si>
  <si>
    <t>Intel "Haswell" Generation</t>
  </si>
  <si>
    <t>Intel "Broadwell" Generation</t>
  </si>
  <si>
    <t>Intel "Skylake" Generation</t>
  </si>
  <si>
    <t>Intel "Cascade Lake" Generation</t>
  </si>
  <si>
    <t>Intel "Ice Lake" Generation</t>
  </si>
  <si>
    <t>Intel "Sapphire Rapids" Generation</t>
  </si>
  <si>
    <t>MGMT Domain 5.x Storage Option</t>
  </si>
  <si>
    <t>vSAN-OSA</t>
  </si>
  <si>
    <t>WLD Domain 5.x Storage Option</t>
  </si>
  <si>
    <t>vSAN Storage Cluster</t>
  </si>
  <si>
    <t>vSAN Compute Cluster</t>
  </si>
  <si>
    <t>NFSv3</t>
  </si>
  <si>
    <t>VMFS on Fibre Channel (FC)</t>
  </si>
  <si>
    <t>vSphere Lifecycle Manager - OSA</t>
  </si>
  <si>
    <t>Images</t>
  </si>
  <si>
    <t>Baselines</t>
  </si>
  <si>
    <t>vSphere Lifecycle Manager  - ESA</t>
  </si>
  <si>
    <t xml:space="preserve">AWS Regions </t>
  </si>
  <si>
    <t>Asia Pacific (Osaka)</t>
  </si>
  <si>
    <t>Asia Pacific (Mumbai)</t>
  </si>
  <si>
    <t>Asia Pacific (Hyderabad)</t>
  </si>
  <si>
    <t>Asia Pacific (Singapore)</t>
  </si>
  <si>
    <t>Asia Pacific (Sydney)</t>
  </si>
  <si>
    <t>Asia Pacific (Jakarta)</t>
  </si>
  <si>
    <t>Asia Pacific (Melbourne)</t>
  </si>
  <si>
    <t>Canada (Central)</t>
  </si>
  <si>
    <t>China (Beijing)</t>
  </si>
  <si>
    <t>China (Ningxia)</t>
  </si>
  <si>
    <t>Europe (Frankfurt)</t>
  </si>
  <si>
    <t>Europe (Zurich)</t>
  </si>
  <si>
    <t>Europe (Stockholm)</t>
  </si>
  <si>
    <t>Europe (Milan)</t>
  </si>
  <si>
    <t>Europe (Spain)</t>
  </si>
  <si>
    <t>Europe (Ireland)</t>
  </si>
  <si>
    <t>Europe (London)</t>
  </si>
  <si>
    <t>Europe (Paris)</t>
  </si>
  <si>
    <t>Israel (Tel Aviv)</t>
  </si>
  <si>
    <t>Middle East (UAE)</t>
  </si>
  <si>
    <t>Middle East (Bahrain)</t>
  </si>
  <si>
    <t>South America (Sao Paulo)</t>
  </si>
  <si>
    <t>US East (N. Virginia)</t>
  </si>
  <si>
    <t>US East (Ohio)</t>
  </si>
  <si>
    <t>AWS GovCloud (US-East)</t>
  </si>
  <si>
    <t>AWS GovCloud (US-West)</t>
  </si>
  <si>
    <t xml:space="preserve">US West (N. California) </t>
  </si>
  <si>
    <t>US West (Oregon)</t>
  </si>
  <si>
    <t xml:space="preserve">Storage FTT </t>
  </si>
  <si>
    <t>Auto-Policy management</t>
  </si>
  <si>
    <t>Cluster Type</t>
  </si>
  <si>
    <t>Dedicated Compute</t>
  </si>
  <si>
    <t>Dedicated Edge</t>
  </si>
  <si>
    <t>Shared Edge and Compute</t>
  </si>
  <si>
    <t>Rack number Include / Exclude</t>
  </si>
  <si>
    <t>Source MAC</t>
  </si>
  <si>
    <t>Destination MAC</t>
  </si>
  <si>
    <t>Source and destination MAC</t>
  </si>
  <si>
    <t>Destination IP and vLAN</t>
  </si>
  <si>
    <t>Source IP and vLAN</t>
  </si>
  <si>
    <t>Source and destination IP and vLAN</t>
  </si>
  <si>
    <t>Destination TCP/UDP port</t>
  </si>
  <si>
    <t>Source TCP/UDP port</t>
  </si>
  <si>
    <t>Source and destination TCP/UDP port</t>
  </si>
  <si>
    <t>Destination IP and TCP/UDP port</t>
  </si>
  <si>
    <t>Source IP and TCP/UDP port</t>
  </si>
  <si>
    <t>Source and destination IP and TCP/UDP port</t>
  </si>
  <si>
    <t>Destination IP and TCP/UDP port and vLAN</t>
  </si>
  <si>
    <t>Source IP and TCP/UDP port and vLAN</t>
  </si>
  <si>
    <t>Destination IP</t>
  </si>
  <si>
    <t>Source IP</t>
  </si>
  <si>
    <t>Source and destination IP</t>
  </si>
  <si>
    <t>vLAN</t>
  </si>
  <si>
    <t>vLAN source port ID</t>
  </si>
  <si>
    <t>Site Protection and Disaster Recovery</t>
  </si>
  <si>
    <t>Management Domain</t>
  </si>
  <si>
    <t>Group / Component</t>
  </si>
  <si>
    <t>Domain</t>
  </si>
  <si>
    <t>Reference Hostname</t>
  </si>
  <si>
    <t>Your Hostname</t>
  </si>
  <si>
    <t>n/a</t>
  </si>
  <si>
    <t>Incoming Storage Traffic Interface for vSphere Replication in Management Domain</t>
  </si>
  <si>
    <t>Management Interface for Site Recovery Manager in Management Domain</t>
  </si>
  <si>
    <t>Recovery NSX Tier-1 Service Interface</t>
  </si>
  <si>
    <t>Management Interface for vSphere Replication in VI Workload Domain</t>
  </si>
  <si>
    <t>Incoming Storage Traffic Interface for vSphere Replication in VI Workload Domain</t>
  </si>
  <si>
    <t>Management Interface for Site Recovery Manager in VI Workload Domain</t>
  </si>
  <si>
    <t>Site Protection and Disaster Recovery Inputs (Common)</t>
  </si>
  <si>
    <t>Recovery Site Details</t>
  </si>
  <si>
    <t>Site Protection and Disaster Recovery Inputs (Management Domain)</t>
  </si>
  <si>
    <t>vSphere Replcation</t>
  </si>
  <si>
    <t>VM Folder Name</t>
  </si>
  <si>
    <t>Initial Root Password</t>
  </si>
  <si>
    <t>Initial Admin Password</t>
  </si>
  <si>
    <t>Site Name</t>
  </si>
  <si>
    <t>Administrator Email Address</t>
  </si>
  <si>
    <t>Portgroup Name</t>
  </si>
  <si>
    <t>P12 Cert File Password</t>
  </si>
  <si>
    <t>Initial Database Password</t>
  </si>
  <si>
    <r>
      <t xml:space="preserve">Protection Group Name </t>
    </r>
    <r>
      <rPr>
        <i/>
        <sz val="12"/>
        <color theme="1"/>
        <rFont val="Arial"/>
        <family val="2"/>
      </rPr>
      <t>(VMware Aria Suite Lifecycle &amp; Clustered WSA)</t>
    </r>
  </si>
  <si>
    <t>Aria Suite Lifecycle &amp; Clustered Workspace ONE Access PG</t>
  </si>
  <si>
    <r>
      <t xml:space="preserve">Recovery Plan Name </t>
    </r>
    <r>
      <rPr>
        <i/>
        <sz val="12"/>
        <color theme="1"/>
        <rFont val="Arial"/>
        <family val="2"/>
      </rPr>
      <t>(VMware Aria Suite Lifecycle &amp; Clustered WSA)</t>
    </r>
  </si>
  <si>
    <t>Aria Suite Lifecycle &amp; Clustered Workspace ONE Access RP</t>
  </si>
  <si>
    <t>Private Cloud Automation PG</t>
  </si>
  <si>
    <t>Private Cloud Automation RP</t>
  </si>
  <si>
    <t>Load Balancer</t>
  </si>
  <si>
    <t>Recovery VMware Aria Load Balancer Deployment Method</t>
  </si>
  <si>
    <t>PowerShell</t>
  </si>
  <si>
    <t>PowerShell recommended to avoid lengthy and error prone UI configuration</t>
  </si>
  <si>
    <t>Existing: Recovery Site SSO Model</t>
  </si>
  <si>
    <t>Same SSO Domain</t>
  </si>
  <si>
    <t>Site Protection and Disaster Recovery Inputs (Workload Domain)</t>
  </si>
  <si>
    <t>Prepare VMware Aria Product for Site Protection</t>
  </si>
  <si>
    <t>Create a Virtual Machine Folder and Move the VMware Aria Suite Lifecycle Virtual Machine in the Protected VMware Cloud Foundation Instance</t>
  </si>
  <si>
    <t>&lt;protected_vcenter_server_fqdn&gt;</t>
  </si>
  <si>
    <t>Folder Name</t>
  </si>
  <si>
    <t>xint-m01-fd-lcm</t>
  </si>
  <si>
    <t>Create Virtual Machine Folders for SDDC Management Components in the Recovery VMware Cloud Foundation Instance</t>
  </si>
  <si>
    <t>&lt;recovery_vcenter_server_fqdn&gt;</t>
  </si>
  <si>
    <t>Folder Name (VMware Aria Suite Lifecycle)</t>
  </si>
  <si>
    <r>
      <t>Folder Name</t>
    </r>
    <r>
      <rPr>
        <i/>
        <sz val="12"/>
        <color theme="1"/>
        <rFont val="Arial"/>
        <family val="2"/>
      </rPr>
      <t xml:space="preserve"> (Clustered Workspace ONE Access)</t>
    </r>
  </si>
  <si>
    <t>xint-m01-fd-idm</t>
  </si>
  <si>
    <t>Folder Name (VMware Aria Operations)</t>
  </si>
  <si>
    <t>xint-m01-fd-operations</t>
  </si>
  <si>
    <r>
      <t xml:space="preserve">Folder Name </t>
    </r>
    <r>
      <rPr>
        <i/>
        <sz val="12"/>
        <color theme="1"/>
        <rFont val="Arial"/>
        <family val="2"/>
      </rPr>
      <t>(VMware Aria Automation)</t>
    </r>
  </si>
  <si>
    <t>xint-m01-fd-automation</t>
  </si>
  <si>
    <t>Create a Standalone Tier-1 Gateway for the Load Balancer in the Recovery VMware Cloud Foundation Instance</t>
  </si>
  <si>
    <t>&lt;active_nsx_gm_fqdn&gt;</t>
  </si>
  <si>
    <t>Recovery Site NSX Location</t>
  </si>
  <si>
    <t>recovery-t1-gw01</t>
  </si>
  <si>
    <t>recovery-t1-gw01-si01</t>
  </si>
  <si>
    <t>IP Address / Mask</t>
  </si>
  <si>
    <t>Segment</t>
  </si>
  <si>
    <t>Scope</t>
  </si>
  <si>
    <t>Enable the Load Balancer Service on the Tier-1 Gateway in the Recovery VMware Cloud Foundation Instance</t>
  </si>
  <si>
    <t>recovery-lb01</t>
  </si>
  <si>
    <t>Import the Certificate of the Clustered Workspace ONE Access in NSX-T Data Center in the Recovery VMware Cloud Foundation Instance</t>
  </si>
  <si>
    <t>Create a Service Monitor for VMware Aria Operations in the Recovery VMware Cloud Foundation Instance</t>
  </si>
  <si>
    <t>vrops-https-monitor</t>
  </si>
  <si>
    <t>Create a Server Pool for VMware Aria Operations in the Recovery VMware Cloud Foundation Instance</t>
  </si>
  <si>
    <t>vrops-server-pool</t>
  </si>
  <si>
    <r>
      <t>Name</t>
    </r>
    <r>
      <rPr>
        <i/>
        <sz val="12"/>
        <color theme="1"/>
        <rFont val="Arial"/>
        <family val="2"/>
      </rPr>
      <t xml:space="preserve"> (Member 1)</t>
    </r>
  </si>
  <si>
    <t>vrops01svr01a</t>
  </si>
  <si>
    <r>
      <t xml:space="preserve">IP </t>
    </r>
    <r>
      <rPr>
        <i/>
        <sz val="12"/>
        <color theme="1"/>
        <rFont val="Arial"/>
        <family val="2"/>
      </rPr>
      <t>(Member 1)</t>
    </r>
  </si>
  <si>
    <r>
      <t>Name</t>
    </r>
    <r>
      <rPr>
        <i/>
        <sz val="12"/>
        <color theme="1"/>
        <rFont val="Arial"/>
        <family val="2"/>
      </rPr>
      <t xml:space="preserve"> (Member 2)</t>
    </r>
  </si>
  <si>
    <t>vrops01svr01b</t>
  </si>
  <si>
    <r>
      <t xml:space="preserve">IP </t>
    </r>
    <r>
      <rPr>
        <i/>
        <sz val="12"/>
        <color theme="1"/>
        <rFont val="Arial"/>
        <family val="2"/>
      </rPr>
      <t>(Member 2)</t>
    </r>
  </si>
  <si>
    <r>
      <t xml:space="preserve">Name </t>
    </r>
    <r>
      <rPr>
        <i/>
        <sz val="12"/>
        <color theme="1"/>
        <rFont val="Arial"/>
        <family val="2"/>
      </rPr>
      <t>(Member 3)</t>
    </r>
  </si>
  <si>
    <t>vrops01svr01c</t>
  </si>
  <si>
    <r>
      <t xml:space="preserve">IP </t>
    </r>
    <r>
      <rPr>
        <i/>
        <sz val="12"/>
        <color theme="1"/>
        <rFont val="Arial"/>
        <family val="2"/>
      </rPr>
      <t>(Member 3)</t>
    </r>
  </si>
  <si>
    <r>
      <t>Name</t>
    </r>
    <r>
      <rPr>
        <i/>
        <sz val="12"/>
        <color theme="1"/>
        <rFont val="Arial"/>
        <family val="2"/>
      </rPr>
      <t xml:space="preserve"> (Monitor)</t>
    </r>
  </si>
  <si>
    <t>Create Application Profiles for VMware Aria Operations in the Recovery VMware Cloud Foundation Instance</t>
  </si>
  <si>
    <r>
      <t>Name</t>
    </r>
    <r>
      <rPr>
        <i/>
        <sz val="12"/>
        <color theme="1"/>
        <rFont val="Arial"/>
        <family val="2"/>
      </rPr>
      <t xml:space="preserve"> (TCP Application Profile)</t>
    </r>
  </si>
  <si>
    <t>vrops-tcp-app-profile</t>
  </si>
  <si>
    <r>
      <t xml:space="preserve">Name </t>
    </r>
    <r>
      <rPr>
        <i/>
        <sz val="12"/>
        <color theme="1"/>
        <rFont val="Arial"/>
        <family val="2"/>
      </rPr>
      <t>(HTTP Redirect Profile)</t>
    </r>
  </si>
  <si>
    <t>vrops-http-app-profile-redirect</t>
  </si>
  <si>
    <r>
      <t>Name</t>
    </r>
    <r>
      <rPr>
        <i/>
        <sz val="12"/>
        <color theme="1"/>
        <rFont val="Arial"/>
        <family val="2"/>
      </rPr>
      <t xml:space="preserve"> (Persistence Profile)</t>
    </r>
  </si>
  <si>
    <t>vrops-source-ip-persistence-profile</t>
  </si>
  <si>
    <t>Create Virtual Servers for VMware Aria Operations in the Recovery VMware Cloud Foundation Instance</t>
  </si>
  <si>
    <r>
      <t>Name</t>
    </r>
    <r>
      <rPr>
        <i/>
        <sz val="12"/>
        <color theme="1"/>
        <rFont val="Arial"/>
        <family val="2"/>
      </rPr>
      <t xml:space="preserve"> (HTTPS Virtual Server)</t>
    </r>
  </si>
  <si>
    <t>vrops-https</t>
  </si>
  <si>
    <r>
      <t xml:space="preserve">IP Address </t>
    </r>
    <r>
      <rPr>
        <i/>
        <sz val="12"/>
        <color theme="1"/>
        <rFont val="Arial"/>
        <family val="2"/>
      </rPr>
      <t>(HTTPS Virtual Server)</t>
    </r>
  </si>
  <si>
    <r>
      <t xml:space="preserve">Load Balancer </t>
    </r>
    <r>
      <rPr>
        <i/>
        <sz val="12"/>
        <color theme="1"/>
        <rFont val="Arial"/>
        <family val="2"/>
      </rPr>
      <t>(HTTPS Virtual Server)</t>
    </r>
  </si>
  <si>
    <r>
      <t xml:space="preserve">Server Pool </t>
    </r>
    <r>
      <rPr>
        <i/>
        <sz val="12"/>
        <color theme="1"/>
        <rFont val="Arial"/>
        <family val="2"/>
      </rPr>
      <t>(HTTPS Virtual Server)</t>
    </r>
  </si>
  <si>
    <r>
      <t>Source IP</t>
    </r>
    <r>
      <rPr>
        <i/>
        <sz val="12"/>
        <color theme="1"/>
        <rFont val="Arial"/>
        <family val="2"/>
      </rPr>
      <t xml:space="preserve"> (HTTPS Virtual Server)</t>
    </r>
  </si>
  <si>
    <r>
      <t>Application Profile</t>
    </r>
    <r>
      <rPr>
        <i/>
        <sz val="12"/>
        <color theme="1"/>
        <rFont val="Arial"/>
        <family val="2"/>
      </rPr>
      <t xml:space="preserve"> (HTTPS Virtual Server)</t>
    </r>
  </si>
  <si>
    <r>
      <t xml:space="preserve">Name </t>
    </r>
    <r>
      <rPr>
        <i/>
        <sz val="12"/>
        <color theme="1"/>
        <rFont val="Arial"/>
        <family val="2"/>
      </rPr>
      <t>(HTTP Redirect Virtual Server)</t>
    </r>
  </si>
  <si>
    <t>vrops-http-redirect</t>
  </si>
  <si>
    <r>
      <t xml:space="preserve">IP Address </t>
    </r>
    <r>
      <rPr>
        <i/>
        <sz val="12"/>
        <color theme="1"/>
        <rFont val="Arial"/>
        <family val="2"/>
      </rPr>
      <t>(HTTP Redirect Virtual Server)</t>
    </r>
  </si>
  <si>
    <r>
      <t>Load Balancer</t>
    </r>
    <r>
      <rPr>
        <i/>
        <sz val="12"/>
        <color theme="1"/>
        <rFont val="Arial"/>
        <family val="2"/>
      </rPr>
      <t xml:space="preserve"> (HTTP Redirect Virtual Server)</t>
    </r>
  </si>
  <si>
    <r>
      <t xml:space="preserve">Application Profile </t>
    </r>
    <r>
      <rPr>
        <i/>
        <sz val="12"/>
        <color theme="1"/>
        <rFont val="Arial"/>
        <family val="2"/>
      </rPr>
      <t>(HTTP Redirect Virtual Server)</t>
    </r>
  </si>
  <si>
    <t>wsa-http-app-profile-redirect</t>
  </si>
  <si>
    <t>Create a Service Monitor for VMware Aria Automation in the Recovery VMware Cloud Foundation Instance</t>
  </si>
  <si>
    <t>vra-http-monitor</t>
  </si>
  <si>
    <t>Create a Server Pool for VMware Aria Automation in the Recovery VMware Cloud Foundation Instance</t>
  </si>
  <si>
    <t>vra-server-pool</t>
  </si>
  <si>
    <r>
      <t xml:space="preserve">Name </t>
    </r>
    <r>
      <rPr>
        <i/>
        <sz val="12"/>
        <color theme="1"/>
        <rFont val="Arial"/>
        <family val="2"/>
      </rPr>
      <t>(Member 1)</t>
    </r>
  </si>
  <si>
    <t>vra01svr01a</t>
  </si>
  <si>
    <r>
      <t xml:space="preserve">Name </t>
    </r>
    <r>
      <rPr>
        <i/>
        <sz val="12"/>
        <color theme="1"/>
        <rFont val="Arial"/>
        <family val="2"/>
      </rPr>
      <t>(Member 2)</t>
    </r>
  </si>
  <si>
    <t>vra01svr01b</t>
  </si>
  <si>
    <r>
      <t>Name</t>
    </r>
    <r>
      <rPr>
        <i/>
        <sz val="12"/>
        <color theme="1"/>
        <rFont val="Arial"/>
        <family val="2"/>
      </rPr>
      <t xml:space="preserve"> (Member 3)</t>
    </r>
  </si>
  <si>
    <t>vra01svr01c</t>
  </si>
  <si>
    <t>Create Application Profiles for VMware Aria Automation in the Recovery VMware Cloud Foundation Instance</t>
  </si>
  <si>
    <t>vra-tcp-app-profile</t>
  </si>
  <si>
    <t>vra-http-app-profile-redirect</t>
  </si>
  <si>
    <t>Create Virtual Servers for VMware Aria Automation in the Recovery VMware Cloud Foundation Instance</t>
  </si>
  <si>
    <t>vra-https</t>
  </si>
  <si>
    <r>
      <t>IP Address</t>
    </r>
    <r>
      <rPr>
        <i/>
        <sz val="12"/>
        <color theme="1"/>
        <rFont val="Arial"/>
        <family val="2"/>
      </rPr>
      <t xml:space="preserve"> (HTTPS Virtual Server)</t>
    </r>
  </si>
  <si>
    <r>
      <t>Server Pool</t>
    </r>
    <r>
      <rPr>
        <i/>
        <sz val="12"/>
        <color theme="1"/>
        <rFont val="Arial"/>
        <family val="2"/>
      </rPr>
      <t xml:space="preserve"> (HTTPS Virtual Server)</t>
    </r>
  </si>
  <si>
    <r>
      <t xml:space="preserve">Application Profile </t>
    </r>
    <r>
      <rPr>
        <i/>
        <sz val="12"/>
        <color theme="1"/>
        <rFont val="Arial"/>
        <family val="2"/>
      </rPr>
      <t>(HTTPS Virtual Server)</t>
    </r>
  </si>
  <si>
    <r>
      <t>Name</t>
    </r>
    <r>
      <rPr>
        <i/>
        <sz val="12"/>
        <color theme="1"/>
        <rFont val="Arial"/>
        <family val="2"/>
      </rPr>
      <t xml:space="preserve"> (HTTP Redirect Virtual Server)</t>
    </r>
  </si>
  <si>
    <t>vra-http-redirect</t>
  </si>
  <si>
    <r>
      <t>Application Profile</t>
    </r>
    <r>
      <rPr>
        <i/>
        <sz val="12"/>
        <color theme="1"/>
        <rFont val="Arial"/>
        <family val="2"/>
      </rPr>
      <t xml:space="preserve"> (HTTP Redirect Virtual Server)</t>
    </r>
  </si>
  <si>
    <t>Implementation of vSphere Replication for the VI Workload Domain</t>
  </si>
  <si>
    <t>Create a Virtual Machine Folder for vSphere Replication</t>
  </si>
  <si>
    <t>Deploy vSphere Replication</t>
  </si>
  <si>
    <t>Virtual Machine Name</t>
  </si>
  <si>
    <t>Folder</t>
  </si>
  <si>
    <t>Compute Resource</t>
  </si>
  <si>
    <t>Network 1</t>
  </si>
  <si>
    <r>
      <t>Password</t>
    </r>
    <r>
      <rPr>
        <i/>
        <sz val="12"/>
        <color theme="1"/>
        <rFont val="Arial"/>
        <family val="2"/>
      </rPr>
      <t xml:space="preserve"> (Initial Root)</t>
    </r>
  </si>
  <si>
    <r>
      <t xml:space="preserve">Password </t>
    </r>
    <r>
      <rPr>
        <i/>
        <sz val="12"/>
        <color theme="1"/>
        <rFont val="Arial"/>
        <family val="2"/>
      </rPr>
      <t>(Initial Admin)</t>
    </r>
  </si>
  <si>
    <t>Domain Search</t>
  </si>
  <si>
    <t>Domain Name Servers</t>
  </si>
  <si>
    <t>Network 1 IP Address</t>
  </si>
  <si>
    <t>Network 1 IP Netprefix</t>
  </si>
  <si>
    <t>Replace the Certificate of vSphere Replication</t>
  </si>
  <si>
    <t>&lt;vrms_fqdn&gt;</t>
  </si>
  <si>
    <r>
      <t xml:space="preserve">Password </t>
    </r>
    <r>
      <rPr>
        <i/>
        <sz val="12"/>
        <color theme="1"/>
        <rFont val="Arial"/>
        <family val="2"/>
      </rPr>
      <t>(P12 Cert File)</t>
    </r>
  </si>
  <si>
    <t>Register vSphere Replication with vCenter Single Sign-On</t>
  </si>
  <si>
    <t>PSC host name</t>
  </si>
  <si>
    <t>Administrator email</t>
  </si>
  <si>
    <t>Local Host</t>
  </si>
  <si>
    <t>Create a Port Group for vSphere Replication Traffic</t>
  </si>
  <si>
    <t>distributed_switch</t>
  </si>
  <si>
    <t>vSphere Replication Network</t>
  </si>
  <si>
    <t>Add a Network Adapter and Configure Static Routes for vSphere Replication</t>
  </si>
  <si>
    <t>vsphere_replication_appliance</t>
  </si>
  <si>
    <t>New network</t>
  </si>
  <si>
    <t>vrms_fqdn</t>
  </si>
  <si>
    <t>IPv4 Address (eth1)</t>
  </si>
  <si>
    <t>Ipv4 address prefix (eth1)</t>
  </si>
  <si>
    <t>IPv4 gateway (eth1)</t>
  </si>
  <si>
    <t>IP Address for incoming Storage Traffic</t>
  </si>
  <si>
    <t>source_vrms_network_gateway</t>
  </si>
  <si>
    <t>target_vrms_network_cidr</t>
  </si>
  <si>
    <t>Create a VMkernel Adapter on the ESXi Hosts for vSphere Replication Traffic</t>
  </si>
  <si>
    <t>Availability Zone 1 Hosts</t>
  </si>
  <si>
    <t>vSphere Replication IP (ESXi Host 1)</t>
  </si>
  <si>
    <t>vSphere Replication IP (ESXi Host 2)</t>
  </si>
  <si>
    <t>vSphere Replication IP (ESXi Host 3)</t>
  </si>
  <si>
    <t>vSphere Replication IP (ESXi Host 4)</t>
  </si>
  <si>
    <t>vSphere Replication IP (ESXi Host 5)</t>
  </si>
  <si>
    <t>vSphere Replication IP (ESXi Host 6)</t>
  </si>
  <si>
    <t>vSphere Replication IP (ESXi Host 7)</t>
  </si>
  <si>
    <t>vSphere Replication IP (ESXi Host 8)</t>
  </si>
  <si>
    <t>vSphere Replication IP (ESXi Host 9)</t>
  </si>
  <si>
    <t>vSphere Replication IP (ESXi Host 10)</t>
  </si>
  <si>
    <t>vSphere Replication IP (ESXi Host 11)</t>
  </si>
  <si>
    <t>vSphere Replication IP (ESXi Host 12)</t>
  </si>
  <si>
    <t>vSphere Replication IP (ESXi Host 13)</t>
  </si>
  <si>
    <t>vSphere Replication IP (ESXi Host 14)</t>
  </si>
  <si>
    <t>vSphere Replication IP (ESXi Host 15)</t>
  </si>
  <si>
    <t>vSphere Replication IP (ESXi Host 16)</t>
  </si>
  <si>
    <t>Availability Zone 2 Hosts</t>
  </si>
  <si>
    <t>Configure ESXi Host Static Routes for vSphere Replication</t>
  </si>
  <si>
    <r>
      <t>&lt;host_fqdn&gt;</t>
    </r>
    <r>
      <rPr>
        <i/>
        <sz val="12"/>
        <color theme="1"/>
        <rFont val="Arial"/>
        <family val="2"/>
      </rPr>
      <t xml:space="preserve"> (Host 1)</t>
    </r>
  </si>
  <si>
    <r>
      <t>source_vrms_network_gateway</t>
    </r>
    <r>
      <rPr>
        <i/>
        <sz val="12"/>
        <color theme="1"/>
        <rFont val="Arial"/>
        <family val="2"/>
      </rPr>
      <t xml:space="preserve"> (Host 1)</t>
    </r>
  </si>
  <si>
    <r>
      <t xml:space="preserve">target_vrms_network_cidr </t>
    </r>
    <r>
      <rPr>
        <i/>
        <sz val="12"/>
        <color theme="1"/>
        <rFont val="Arial"/>
        <family val="2"/>
      </rPr>
      <t>(Host 1)</t>
    </r>
  </si>
  <si>
    <r>
      <t xml:space="preserve">&lt;host_fqdn&gt; </t>
    </r>
    <r>
      <rPr>
        <i/>
        <sz val="12"/>
        <color theme="1"/>
        <rFont val="Arial"/>
        <family val="2"/>
      </rPr>
      <t>(Host 2)</t>
    </r>
  </si>
  <si>
    <r>
      <t>source_vrms_network_gateway</t>
    </r>
    <r>
      <rPr>
        <i/>
        <sz val="12"/>
        <color theme="1"/>
        <rFont val="Arial"/>
        <family val="2"/>
      </rPr>
      <t xml:space="preserve"> (Host 2)</t>
    </r>
  </si>
  <si>
    <r>
      <t>target_vrms_network_cidr</t>
    </r>
    <r>
      <rPr>
        <i/>
        <sz val="12"/>
        <color theme="1"/>
        <rFont val="Arial"/>
        <family val="2"/>
      </rPr>
      <t xml:space="preserve"> (Host 2)</t>
    </r>
  </si>
  <si>
    <r>
      <t xml:space="preserve">&lt;host_fqdn&gt; </t>
    </r>
    <r>
      <rPr>
        <i/>
        <sz val="12"/>
        <color theme="1"/>
        <rFont val="Arial"/>
        <family val="2"/>
      </rPr>
      <t>(Host 3)</t>
    </r>
  </si>
  <si>
    <r>
      <t>source_vrms_network_gateway</t>
    </r>
    <r>
      <rPr>
        <i/>
        <sz val="12"/>
        <color theme="1"/>
        <rFont val="Arial"/>
        <family val="2"/>
      </rPr>
      <t xml:space="preserve"> (Host 3)</t>
    </r>
  </si>
  <si>
    <r>
      <t xml:space="preserve">target_vrms_network_cidr </t>
    </r>
    <r>
      <rPr>
        <i/>
        <sz val="12"/>
        <color theme="1"/>
        <rFont val="Arial"/>
        <family val="2"/>
      </rPr>
      <t>(Host 3)</t>
    </r>
  </si>
  <si>
    <r>
      <t xml:space="preserve">&lt;host_fqdn&gt; </t>
    </r>
    <r>
      <rPr>
        <i/>
        <sz val="12"/>
        <color theme="1"/>
        <rFont val="Arial"/>
        <family val="2"/>
      </rPr>
      <t>(Host 4)</t>
    </r>
  </si>
  <si>
    <r>
      <t>source_vrms_network_gateway</t>
    </r>
    <r>
      <rPr>
        <i/>
        <sz val="12"/>
        <color theme="1"/>
        <rFont val="Arial"/>
        <family val="2"/>
      </rPr>
      <t xml:space="preserve"> (Host 4)</t>
    </r>
  </si>
  <si>
    <r>
      <t xml:space="preserve">target_vrms_network_cidr </t>
    </r>
    <r>
      <rPr>
        <i/>
        <sz val="12"/>
        <color theme="1"/>
        <rFont val="Arial"/>
        <family val="2"/>
      </rPr>
      <t>(Host 4)</t>
    </r>
  </si>
  <si>
    <t>Implementation of Site Recovery Manager for the VI Workload Domain</t>
  </si>
  <si>
    <t>Create a Virtual Machine Folder for Site Recovery Manager</t>
  </si>
  <si>
    <t>Deploy Site Recovery Manager</t>
  </si>
  <si>
    <t>&lt;management_vcenter_server_fqdn&gt;</t>
  </si>
  <si>
    <r>
      <t xml:space="preserve">Password </t>
    </r>
    <r>
      <rPr>
        <i/>
        <sz val="12"/>
        <color theme="1"/>
        <rFont val="Arial"/>
        <family val="2"/>
      </rPr>
      <t>(Initial Database)</t>
    </r>
  </si>
  <si>
    <t>Replace the Certificate of Site Recovery Manager</t>
  </si>
  <si>
    <t>&lt;srm_fqdn&gt;</t>
  </si>
  <si>
    <t>Register Site Recovery Manager with vCenter Single Sign-On</t>
  </si>
  <si>
    <t>Assign Licenses to Site Recovery Manager</t>
  </si>
  <si>
    <t>Enter license keys</t>
  </si>
  <si>
    <t>License name</t>
  </si>
  <si>
    <t>Asset</t>
  </si>
  <si>
    <t>License</t>
  </si>
  <si>
    <t>Protection Site Configuration Tasks</t>
  </si>
  <si>
    <t>Create a Site Pair between Protected and the Recovery VMware Cloud Foundation Instances</t>
  </si>
  <si>
    <t>Local vCenter Server Instance</t>
  </si>
  <si>
    <t>Pair Type</t>
  </si>
  <si>
    <t>Pair with a peer vCenter Server located in the same SSO domain</t>
  </si>
  <si>
    <t>vCenter Server you want to pair</t>
  </si>
  <si>
    <t xml:space="preserve">        VMware Cloud Foundation Layer Cluster Deployment </t>
  </si>
  <si>
    <t>Initial Host Configuring - Rack 2</t>
  </si>
  <si>
    <t>Create Network Pool - Rack 2</t>
  </si>
  <si>
    <t xml:space="preserve">VCF Network Pool Type </t>
  </si>
  <si>
    <t>Start IP of vMotion Network Pool Range</t>
  </si>
  <si>
    <t>End IP of vMotion Network Pool Range</t>
  </si>
  <si>
    <t>Start IP of vSAN Network Pool Range</t>
  </si>
  <si>
    <t>End IP of vSAN Network Pool Range</t>
  </si>
  <si>
    <t>Commission Hosts - Rack 2</t>
  </si>
  <si>
    <t>Rack Profiles - Rack 2</t>
  </si>
  <si>
    <t xml:space="preserve">NSX Host Overlay Static IP Pool Type </t>
  </si>
  <si>
    <t>NSX Edge Overlay Network Pool Name</t>
  </si>
  <si>
    <t>NSX RTEP IP Pool Name</t>
  </si>
  <si>
    <t>Host Overlay Network - Rack 2</t>
  </si>
  <si>
    <t>Start IP of Host Overlay Network Pool Range</t>
  </si>
  <si>
    <t>End IP of Host Overlay Network Pool Range</t>
  </si>
  <si>
    <t>Initial Host Configuring - Rack 3</t>
  </si>
  <si>
    <t>Create Network Pool - Rack 3</t>
  </si>
  <si>
    <t>Commission Hosts - Rack 3</t>
  </si>
  <si>
    <t>Rack Profiles - Rack 3</t>
  </si>
  <si>
    <t>Host Overlay Network - Rack 3</t>
  </si>
  <si>
    <t>Initial Host Configuring - Rack 4</t>
  </si>
  <si>
    <t>Create Network Pool - Rack 4</t>
  </si>
  <si>
    <t>Start IP of the vMotion Network Pool Range</t>
  </si>
  <si>
    <t>End IP of the vMotion Network Pool Range</t>
  </si>
  <si>
    <t>Commission Hosts - Rack 4</t>
  </si>
  <si>
    <t>Rack Profiles - Rack 4</t>
  </si>
  <si>
    <t>Host Overlay Network - Rack 4</t>
  </si>
  <si>
    <t>End IP of  Host Overlay Network Pool Range</t>
  </si>
  <si>
    <t>Initial Host Configuring - Rack 5</t>
  </si>
  <si>
    <t>Create Network Pool - Rack 5</t>
  </si>
  <si>
    <t>Commission Hosts - Rack 5</t>
  </si>
  <si>
    <t>Rack Profiles - Rack 5</t>
  </si>
  <si>
    <t>Host Overlay Network - Rack 5</t>
  </si>
  <si>
    <t>Initial Host Configuring - Rack 6</t>
  </si>
  <si>
    <t>Create Network Pool - Rack 6</t>
  </si>
  <si>
    <t>Commission Hosts - Rack 6</t>
  </si>
  <si>
    <t>Rack Profiles - Rack 6</t>
  </si>
  <si>
    <t>Host Overlay Network - Rack 6</t>
  </si>
  <si>
    <t>Initial Host Configuring - Rack 7</t>
  </si>
  <si>
    <t>Create Network Pool - Rack 7</t>
  </si>
  <si>
    <t>Commission Hosts - Rack 7</t>
  </si>
  <si>
    <t>Rack Profiles - Rack 7</t>
  </si>
  <si>
    <t>Host Overlay Network - Rack 7</t>
  </si>
  <si>
    <t>Start IP of the Host Overlay Network Pool Range</t>
  </si>
  <si>
    <t>End IP of the Host Overlay Network Pool Range</t>
  </si>
  <si>
    <t>Initial Host Configuring - Rack 8</t>
  </si>
  <si>
    <t>Create Network Pool - Rack 8</t>
  </si>
  <si>
    <t>Start IP of the vSAN Network Pool Range</t>
  </si>
  <si>
    <t>End IP of the vSAN Network Pool Range</t>
  </si>
  <si>
    <t>Commission Hosts - Rack 8</t>
  </si>
  <si>
    <t>Rack Profiles - Rack 8</t>
  </si>
  <si>
    <t>Host Overlay Network - Rack 8</t>
  </si>
  <si>
    <t xml:space="preserve">         Site Protection and Disaster Recovery Validated Solution</t>
  </si>
  <si>
    <t>This page contains all user required values used during the deployment of the Site Protection and Disaster Recovery Validated Solution. Each table and value maps directly to a process in the deployment guidance documentation.</t>
  </si>
  <si>
    <t>Solution Interoperability</t>
  </si>
  <si>
    <t>Reconfigure DNS and Domain Search on the VCF Operations Fleet Management Appliance for Site Protection and Disaster Recovery for VMware Cloud Foundation</t>
  </si>
  <si>
    <t>&lt;vcf_operations_fm_fqdn&gt;</t>
  </si>
  <si>
    <t>10-eth0-static.network</t>
  </si>
  <si>
    <t>resolved.conf</t>
  </si>
  <si>
    <t>Domains</t>
  </si>
  <si>
    <t>Reconfigure NTP on the VCF Operations Fleet Management Appliance for Site Protection and Disaster Recovery for VMware Cloud Foundation</t>
  </si>
  <si>
    <t>&lt;vcf_operations_primary_node_fqdn&gt;</t>
  </si>
  <si>
    <t>VCF NTP Server 2</t>
  </si>
  <si>
    <t>FQDN / IP Address</t>
  </si>
  <si>
    <t>Reconfigure DNS and Domain Search on VCF Operations Nodes for Site Protection and Disaster Recovery for VMware Cloud Foundation</t>
  </si>
  <si>
    <t>Reconfigure NTP on the VCF Operations Cluster Nodes for Site Protection and Disaster Recovery for VMware Cloud Foundation</t>
  </si>
  <si>
    <t>NTP Server Address</t>
  </si>
  <si>
    <t>Reconfigure NTP on the VCF Operations for logs Nodes for Site Protection and Disaster Recovery for VMware Cloud Foundation</t>
  </si>
  <si>
    <t>Reconfigure NTP on the VCF Operations for networks Nodes for Site Protection and Disaster Recovery for VMware Cloud Foundation</t>
  </si>
  <si>
    <t>Reconfigure DNS on VCF Automation for Site Protection and Disaster Recovery for VMware Cloud Foundation</t>
  </si>
  <si>
    <t>&lt;vcf_operations_fqdn&gt;</t>
  </si>
  <si>
    <t>Components</t>
  </si>
  <si>
    <t>automation</t>
  </si>
  <si>
    <t>DNS Server</t>
  </si>
  <si>
    <t>Reconfigure NTP on VCF Automation for Site Protection and Disaster Recovery for VMware Cloud Foundation</t>
  </si>
  <si>
    <t>&lt;aria_automation_node_fqdn&gt; (1st Node)</t>
  </si>
  <si>
    <t>&lt;ntp_server_list&gt;</t>
  </si>
  <si>
    <t>Reconfigure DNS on VCF Identity Broker for Site Protection and Disaster Recovery for VMware Cloud Foundation</t>
  </si>
  <si>
    <t>identity broker</t>
  </si>
  <si>
    <t>Reconfigure NTP on VCF Identity Broker for Site Protection and Disaster Recovery for VMware Cloud Foundation</t>
  </si>
  <si>
    <t>Implementation of vSphere Replication for the Management Domain</t>
  </si>
  <si>
    <t>Deploy VMware Live Recovery for Site Protection and Disaster Recovery for VMware Cloud Foundation</t>
  </si>
  <si>
    <t>Management Interface for vSphere Replication in Management Domain</t>
  </si>
  <si>
    <t>Replace the Certificate of VMware Live Recovery for Site Protection and Disaster Recovery for VMware Cloud Foundation</t>
  </si>
  <si>
    <t>Organization unit</t>
  </si>
  <si>
    <t>IP addresses</t>
  </si>
  <si>
    <t>Certificate file</t>
  </si>
  <si>
    <t>csr.pem</t>
  </si>
  <si>
    <t>Create vCenter Single Sign-On User for Registering VMware Live Recovery for Site Protection and Disaster Recovery for VMware Cloud Foundation</t>
  </si>
  <si>
    <t>&lt;protected_vcenter_fqdn&gt;</t>
  </si>
  <si>
    <t>vsphere.local</t>
  </si>
  <si>
    <t>Username (vSphere Replication User)</t>
  </si>
  <si>
    <t>Password (vSphere Replication User)</t>
  </si>
  <si>
    <t>Assign vCenter Single Sign-On User with Group Role for Site Protection and Disaster Recovery for VMware Cloud Foundation</t>
  </si>
  <si>
    <t>user</t>
  </si>
  <si>
    <t>Register VMware Live Recovery with vCenter Single Sign-On for Site Protection and Disaster Recovery for VMware Cloud Foundation</t>
  </si>
  <si>
    <t>&lt;vlr_fqdn&gt;</t>
  </si>
  <si>
    <t>Create a Port Group for vSphere Replication Traffic for Site Protection and Disaster Recovery for VMware Cloud Foundation</t>
  </si>
  <si>
    <t>Create a VMkernel Adapter on the ESX Hosts for vSphere Replication Traffic for Site Protection and Disaster Recovery for VMware Cloud Foundation</t>
  </si>
  <si>
    <t>vSphere Replication IP (ESX Host 1)</t>
  </si>
  <si>
    <t>vSphere Replication IP (ESX Host 2)</t>
  </si>
  <si>
    <t>vSphere Replication IP (ESX Host 3)</t>
  </si>
  <si>
    <t>vSphere Replication IP (ESX Host 4)</t>
  </si>
  <si>
    <t>vSphere Replication IP (ESX Host 5)</t>
  </si>
  <si>
    <t>vSphere Replication IP (ESX Host 6)</t>
  </si>
  <si>
    <t>vSphere Replication IP (ESX Host 7)</t>
  </si>
  <si>
    <t>vSphere Replication IP (ESX Host 8)</t>
  </si>
  <si>
    <t>vSphere Replication IP (ESX Host 9)</t>
  </si>
  <si>
    <t>vSphere Replication IP (ESX Host 10)</t>
  </si>
  <si>
    <t>vSphere Replication IP (ESX Host 11)</t>
  </si>
  <si>
    <t>vSphere Replication IP (ESX Host 12)</t>
  </si>
  <si>
    <t>vSphere Replication IP (ESX Host 13)</t>
  </si>
  <si>
    <t>vSphere Replication IP (ESX Host 14)</t>
  </si>
  <si>
    <t>vSphere Replication IP (ESX Host 15)</t>
  </si>
  <si>
    <t>vSphere Replication IP (ESX Host 16)</t>
  </si>
  <si>
    <t>Protected Site Configuration Tasks for Site Protection and Disaster Recovery for VMware Cloud Foundation</t>
  </si>
  <si>
    <t>Create a Site Pair Between the Protected and Recovery VMware Cloud Foundation Instances</t>
  </si>
  <si>
    <t>&lt;management_vcenter_fqdn&gt;</t>
  </si>
  <si>
    <t>Assign Licenses to VMware Live Recovery using Offline Mode for Site Protection and Disaster Recovery for VMware Cloud Foundation</t>
  </si>
  <si>
    <t>Live Site Recovery Server</t>
  </si>
  <si>
    <t>Change request key</t>
  </si>
  <si>
    <t>XXXXX-XXXXX-XXXXX-XXXXX</t>
  </si>
  <si>
    <t>License Ley</t>
  </si>
  <si>
    <t>Configure Mappings between the Protected and the Recovery VMware Cloud Foundation Instances</t>
  </si>
  <si>
    <t>Site Pair tile</t>
  </si>
  <si>
    <r>
      <t xml:space="preserve">Network Mapping </t>
    </r>
    <r>
      <rPr>
        <i/>
        <sz val="12"/>
        <color theme="1"/>
        <rFont val="Arial"/>
        <family val="2"/>
      </rPr>
      <t>(Protected Network)</t>
    </r>
  </si>
  <si>
    <r>
      <t xml:space="preserve">Network Mapping </t>
    </r>
    <r>
      <rPr>
        <i/>
        <sz val="12"/>
        <color theme="1"/>
        <rFont val="Arial"/>
        <family val="2"/>
      </rPr>
      <t>(Recovery Network)</t>
    </r>
  </si>
  <si>
    <r>
      <t xml:space="preserve">Folder Mapping </t>
    </r>
    <r>
      <rPr>
        <i/>
        <sz val="12"/>
        <color theme="1"/>
        <rFont val="Arial"/>
        <family val="2"/>
      </rPr>
      <t>(Protected Folder)</t>
    </r>
  </si>
  <si>
    <r>
      <t xml:space="preserve">Folder Mapping </t>
    </r>
    <r>
      <rPr>
        <i/>
        <sz val="12"/>
        <color theme="1"/>
        <rFont val="Arial"/>
        <family val="2"/>
      </rPr>
      <t>(Recovery Folder)</t>
    </r>
  </si>
  <si>
    <r>
      <t xml:space="preserve">Resource Mapping </t>
    </r>
    <r>
      <rPr>
        <i/>
        <sz val="12"/>
        <color theme="1"/>
        <rFont val="Arial"/>
        <family val="2"/>
      </rPr>
      <t>(Protected Cluster)</t>
    </r>
  </si>
  <si>
    <r>
      <t xml:space="preserve">Resource Mapping </t>
    </r>
    <r>
      <rPr>
        <i/>
        <sz val="12"/>
        <color theme="1"/>
        <rFont val="Arial"/>
        <family val="2"/>
      </rPr>
      <t>(Recovery Cluster)</t>
    </r>
  </si>
  <si>
    <t>Configure Replication, Create a Protection Group and a Recovery Plan for VCF Operations for Site Protection and Disaster Recovery for VMware Cloud Foundation</t>
  </si>
  <si>
    <t>Virtual Machine</t>
  </si>
  <si>
    <t>Target Datastore</t>
  </si>
  <si>
    <t>Recovery Point Objective (RPO)</t>
  </si>
  <si>
    <t>Protection Group Name</t>
  </si>
  <si>
    <t>VCF-OPS-PG</t>
  </si>
  <si>
    <t>Recovery Plan Name</t>
  </si>
  <si>
    <t>VCF-OPS-RP</t>
  </si>
  <si>
    <t>Customize the Recovery Plan for VCF Operations for Site Protection and Disaster Recovery for VMware Cloud Foundation</t>
  </si>
  <si>
    <t>recovery_plan_name</t>
  </si>
  <si>
    <t>Virtual Machine (VCF Operations fleet management Node)</t>
  </si>
  <si>
    <t>Virtual Machine (VCF Operations Primary Node)</t>
  </si>
  <si>
    <t>Virtual Machine (VCF Operations Replica Node)</t>
  </si>
  <si>
    <t>Virtual Machine (VCF Operations Data Node)</t>
  </si>
  <si>
    <t>Configure Replication, Create a Protection Group and a Recovery Plan for VCF Operations for Logs for Site Protection and Disaster Recovery for  VMware Cloud Foundation</t>
  </si>
  <si>
    <t>Virtual Machine (VCF Operations for logs Primary Node)</t>
  </si>
  <si>
    <t>Virtual Machine (VCF Operations for logs Worker Node1)</t>
  </si>
  <si>
    <t>Virtual Machine (VCF Operations for logs Worker Node2)</t>
  </si>
  <si>
    <t>VCF-OPS-LOGS-PG</t>
  </si>
  <si>
    <t>VCF-OPS-LOGS-RP</t>
  </si>
  <si>
    <t>Customize the Recovery Plan for VCF Operations for logs for Site Protection and Disaster Recovery for VMware Cloud Foundation</t>
  </si>
  <si>
    <t>Configure Replication, Create a Protection Group and a Recovery Plan for VCF Operations for Networks for Site Protection and Disaster Recovery for VMware Cloud Foundation</t>
  </si>
  <si>
    <t>Virtual Machine (Platform Node 1)</t>
  </si>
  <si>
    <t>Virtual Machine (Platform Node 2)</t>
  </si>
  <si>
    <t>Virtual Machine (Platform Node 3)</t>
  </si>
  <si>
    <t>VCF-OPS-NET-PG</t>
  </si>
  <si>
    <t>VCF-OPS-NET-RP</t>
  </si>
  <si>
    <t>Customize the Recovery Plan for VCF Operations for Networks for Site Protection and Disaster Recovery for VMware Cloud Foundation</t>
  </si>
  <si>
    <t>Create Anti-Affinity Rules for the Placeholder Virtual Machines in the Recovery VMware Cloud Foundation Instance</t>
  </si>
  <si>
    <t>Name (VCF Operations)</t>
  </si>
  <si>
    <t>anti-affinity-rule-vcf-operations</t>
  </si>
  <si>
    <t>Virtual Machine (VCF Operations Cluster Primary Node)</t>
  </si>
  <si>
    <t>Virtual Machine (VCF Operations Cluster Replica Node)</t>
  </si>
  <si>
    <t>Virtual Machine (VCF Operations Cluster Data Node)</t>
  </si>
  <si>
    <t>Name (VCF Operations for Logs)</t>
  </si>
  <si>
    <t>anti-affinity-rule-vcf-logs</t>
  </si>
  <si>
    <t>Virtual Machine (Primary Node)</t>
  </si>
  <si>
    <t>Virtual Machine (Worker Node1)</t>
  </si>
  <si>
    <t>Virtual Machine (Worker Node2)</t>
  </si>
  <si>
    <t>Name (VCF Operations for Networks)</t>
  </si>
  <si>
    <t>anti-affinity-rule-vcf-networks</t>
  </si>
  <si>
    <t>Virtual Machine (Platform Node1)</t>
  </si>
  <si>
    <t>Virtual Machine (Platform Node2)</t>
  </si>
  <si>
    <t>Virtual Machine (Platform Node3)</t>
  </si>
  <si>
    <t>Create Virtual Machine Groups and Restart Order in the Recovery VMware Cloud Foundation Instance</t>
  </si>
  <si>
    <t>VM/Host Groups</t>
  </si>
  <si>
    <t>VM/Host Rules</t>
  </si>
  <si>
    <r>
      <t xml:space="preserve">Name </t>
    </r>
    <r>
      <rPr>
        <sz val="12"/>
        <color theme="1"/>
        <rFont val="Helvetica"/>
        <family val="2"/>
      </rPr>
      <t>(VCF Operations for Logs)</t>
    </r>
  </si>
  <si>
    <r>
      <t>Virtual Machine</t>
    </r>
    <r>
      <rPr>
        <sz val="12"/>
        <color theme="1"/>
        <rFont val="Helvetica"/>
        <family val="2"/>
      </rPr>
      <t xml:space="preserve"> (Primary Node)</t>
    </r>
  </si>
  <si>
    <r>
      <t xml:space="preserve">Virtual Machine </t>
    </r>
    <r>
      <rPr>
        <sz val="12"/>
        <color theme="1"/>
        <rFont val="Helvetica"/>
        <family val="2"/>
      </rPr>
      <t>(Worker Node1)</t>
    </r>
  </si>
  <si>
    <r>
      <t xml:space="preserve">Virtual Machine </t>
    </r>
    <r>
      <rPr>
        <sz val="12"/>
        <color theme="1"/>
        <rFont val="Helvetica"/>
        <family val="2"/>
      </rPr>
      <t>(Worker Node2)</t>
    </r>
  </si>
  <si>
    <r>
      <t xml:space="preserve">Name </t>
    </r>
    <r>
      <rPr>
        <sz val="12"/>
        <color theme="1"/>
        <rFont val="Helvetica"/>
        <family val="2"/>
      </rPr>
      <t>(VCF Operations for Networks)</t>
    </r>
  </si>
  <si>
    <r>
      <t>Virtual Machine</t>
    </r>
    <r>
      <rPr>
        <sz val="12"/>
        <color theme="1"/>
        <rFont val="Helvetica"/>
        <family val="2"/>
      </rPr>
      <t xml:space="preserve"> (Platform Node1)</t>
    </r>
  </si>
  <si>
    <r>
      <t xml:space="preserve">Virtual Machine </t>
    </r>
    <r>
      <rPr>
        <sz val="12"/>
        <color theme="1"/>
        <rFont val="Helvetica"/>
        <family val="2"/>
      </rPr>
      <t>(Platform Node2)</t>
    </r>
  </si>
  <si>
    <r>
      <t>Virtual Machine</t>
    </r>
    <r>
      <rPr>
        <sz val="12"/>
        <color theme="1"/>
        <rFont val="Helvetica"/>
        <family val="2"/>
      </rPr>
      <t xml:space="preserve"> (Platform Node3)</t>
    </r>
  </si>
  <si>
    <t>Name (VCF Operations )</t>
  </si>
  <si>
    <t>vm-vm-rule-idb-operations</t>
  </si>
  <si>
    <t>Restart for VM group (VCF Operations Analytics Cluster)</t>
  </si>
  <si>
    <t>VM dependency restart condition</t>
  </si>
  <si>
    <t>flt-vm-group-idb</t>
  </si>
  <si>
    <t>Name (VCF Automation)</t>
  </si>
  <si>
    <t>vm-vm-rule-idb-automation</t>
  </si>
  <si>
    <t>Restart for VM group(VCF Automation)</t>
  </si>
  <si>
    <t>flt-vm-group-vcf-automation</t>
  </si>
  <si>
    <t>Operational Guidance for Site Protection and Disaster Recovery for VMware Cloud Foundation</t>
  </si>
  <si>
    <t>Initiate a Planned Recovery of VCF Identity Broker for Site Protection and Disaster Recovery for VMware Cloud Foundation</t>
  </si>
  <si>
    <t>Infrastructure</t>
  </si>
  <si>
    <t>Certificate</t>
  </si>
  <si>
    <t>Cluster Virtual IP - FQDN</t>
  </si>
  <si>
    <t>Cluster Node IP Pool(IP or range, depending on the type of deployment)</t>
  </si>
  <si>
    <t>Initiate a Planned Recovery of VCF Automation for Site Protection and Disaster Recovery for VMware Cloud Foundation</t>
  </si>
  <si>
    <t>lax-m01-vc01.lax.rainpole.io</t>
  </si>
  <si>
    <t>lax-m01-cl01</t>
  </si>
  <si>
    <t>lax-m01-cl01-ds-vsan01</t>
  </si>
  <si>
    <t>Initiate a Disaster Recovery of VCF Identity Broker for Site Protection and Disaster Recovery for VMware Cloud Foundation</t>
  </si>
  <si>
    <t>Initiate a Disaster Recovery of VCF Automation for Site Protection and Disaster Recovery for VMware Cloud Foundation</t>
  </si>
  <si>
    <t>Create vSphere Single Sign-On Users for Integration with VMware Cloud Foundation Operations for Site Protection and Disaster Recovery for VMware Cloud Foundation</t>
  </si>
  <si>
    <r>
      <t xml:space="preserve">Username </t>
    </r>
    <r>
      <rPr>
        <i/>
        <sz val="12"/>
        <color theme="1"/>
        <rFont val="Arial"/>
        <family val="2"/>
      </rPr>
      <t>(VMware Live Site Recovery)</t>
    </r>
  </si>
  <si>
    <t>svc-vcfops-vlsr</t>
  </si>
  <si>
    <r>
      <t xml:space="preserve">Password </t>
    </r>
    <r>
      <rPr>
        <i/>
        <sz val="12"/>
        <color theme="1"/>
        <rFont val="Arial"/>
        <family val="2"/>
      </rPr>
      <t>(VMware Live Site Recovery)</t>
    </r>
  </si>
  <si>
    <r>
      <t xml:space="preserve">Username </t>
    </r>
    <r>
      <rPr>
        <i/>
        <sz val="12"/>
        <color theme="1"/>
        <rFont val="Arial"/>
        <family val="2"/>
      </rPr>
      <t>(vSphere Replication User)</t>
    </r>
  </si>
  <si>
    <t>svc-vcfops-vr</t>
  </si>
  <si>
    <r>
      <t xml:space="preserve">Password </t>
    </r>
    <r>
      <rPr>
        <i/>
        <sz val="12"/>
        <color theme="1"/>
        <rFont val="Arial"/>
        <family val="2"/>
      </rPr>
      <t>(vSphere Replication User)</t>
    </r>
  </si>
  <si>
    <t>Configure Service Account Permissions in vSphere for Integration with VMware Cloud Foundation Operations for VMware Cloud Foundation</t>
  </si>
  <si>
    <r>
      <t xml:space="preserve">User/Group </t>
    </r>
    <r>
      <rPr>
        <sz val="12"/>
        <color theme="1"/>
        <rFont val="Arial"/>
        <family val="2"/>
      </rPr>
      <t>(VMware Live Site Recovery User)</t>
    </r>
  </si>
  <si>
    <r>
      <t xml:space="preserve">Role </t>
    </r>
    <r>
      <rPr>
        <i/>
        <sz val="12"/>
        <color theme="1"/>
        <rFont val="Arial"/>
        <family val="2"/>
      </rPr>
      <t>(VMware Live Site Recovery User)</t>
    </r>
  </si>
  <si>
    <t>Read-Only</t>
  </si>
  <si>
    <r>
      <t xml:space="preserve">User/Group </t>
    </r>
    <r>
      <rPr>
        <i/>
        <sz val="12"/>
        <color theme="1"/>
        <rFont val="Arial"/>
        <family val="2"/>
      </rPr>
      <t>(vSphere Replication User)</t>
    </r>
  </si>
  <si>
    <r>
      <t xml:space="preserve">Role </t>
    </r>
    <r>
      <rPr>
        <i/>
        <sz val="12"/>
        <color theme="1"/>
        <rFont val="Arial"/>
        <family val="2"/>
      </rPr>
      <t>(vSphere Replication User)</t>
    </r>
  </si>
  <si>
    <t>VRM replication viewer</t>
  </si>
  <si>
    <t>Install the VMware Cloud Foundation Operations Management Packs for VMware Live Site Recovery for Site Protection and Disaster Recovery for VMware Cloud Foundation</t>
  </si>
  <si>
    <t>&lt;aria_operations_fqdn&gt;</t>
  </si>
  <si>
    <t>Management Pack</t>
  </si>
  <si>
    <t>vlsrAdapterPak-build_number.pak</t>
  </si>
  <si>
    <t>Add VMware Live Site Recovery Adapter Instances to VMware Cloud Foundation Operations for Site Protection and Disaster Recovery for VMware Cloud Foundation</t>
  </si>
  <si>
    <r>
      <t xml:space="preserve">Name </t>
    </r>
    <r>
      <rPr>
        <i/>
        <sz val="12"/>
        <color theme="1"/>
        <rFont val="Arial"/>
        <family val="2"/>
      </rPr>
      <t>(Management Domain)</t>
    </r>
  </si>
  <si>
    <r>
      <t>Site Recovery Manager Host</t>
    </r>
    <r>
      <rPr>
        <i/>
        <sz val="12"/>
        <color theme="1"/>
        <rFont val="Arial"/>
        <family val="2"/>
      </rPr>
      <t xml:space="preserve"> (Management Domain)</t>
    </r>
  </si>
  <si>
    <r>
      <t xml:space="preserve">Site Recovery Manager Port </t>
    </r>
    <r>
      <rPr>
        <i/>
        <sz val="12"/>
        <color theme="1"/>
        <rFont val="Arial"/>
        <family val="2"/>
      </rPr>
      <t>(Management Domain)</t>
    </r>
  </si>
  <si>
    <r>
      <t xml:space="preserve">Credential name </t>
    </r>
    <r>
      <rPr>
        <i/>
        <sz val="12"/>
        <color theme="1"/>
        <rFont val="Arial"/>
        <family val="2"/>
      </rPr>
      <t>(Management Domain)</t>
    </r>
  </si>
  <si>
    <r>
      <t xml:space="preserve">Use name </t>
    </r>
    <r>
      <rPr>
        <i/>
        <sz val="12"/>
        <color theme="1"/>
        <rFont val="Arial"/>
        <family val="2"/>
      </rPr>
      <t>(Management Domain)</t>
    </r>
  </si>
  <si>
    <r>
      <t xml:space="preserve">Password </t>
    </r>
    <r>
      <rPr>
        <i/>
        <sz val="12"/>
        <color theme="1"/>
        <rFont val="Arial"/>
        <family val="2"/>
      </rPr>
      <t>(Management Domain)</t>
    </r>
  </si>
  <si>
    <r>
      <t xml:space="preserve">Collector/Group </t>
    </r>
    <r>
      <rPr>
        <i/>
        <sz val="12"/>
        <color theme="1"/>
        <rFont val="Arial"/>
        <family val="2"/>
      </rPr>
      <t>(Management Domain)</t>
    </r>
  </si>
  <si>
    <t>Add vSphere Replication Adapter Instances to VMware Cloud Foundation Operations for Site Protection and Disaster Recovery for VMware Cloud Foundation</t>
  </si>
  <si>
    <r>
      <t xml:space="preserve">vCenter Server, where vSphere Replication is registered </t>
    </r>
    <r>
      <rPr>
        <i/>
        <sz val="12"/>
        <color theme="1"/>
        <rFont val="Arial"/>
        <family val="2"/>
      </rPr>
      <t>(Management Domain)</t>
    </r>
  </si>
  <si>
    <r>
      <t xml:space="preserve">User name </t>
    </r>
    <r>
      <rPr>
        <i/>
        <sz val="12"/>
        <color theme="1"/>
        <rFont val="Arial"/>
        <family val="2"/>
      </rPr>
      <t>(Management Domain)</t>
    </r>
  </si>
  <si>
    <t>Create Notifications in VMware Cloud Foundation Operations for Site Protection and Disaster Recovery for VMware Cloud Foundation</t>
  </si>
  <si>
    <t>Install and Configure the VCF Operations for logs Agent on the VMware Live Recovery Appliances for Site Protection and Disaster Recovery for VMware Cloud Foundation</t>
  </si>
  <si>
    <t>&lt;vcf_operations_logs_fqdn&gt;</t>
  </si>
  <si>
    <t>VLSR_environment_name</t>
  </si>
  <si>
    <t>SFO-M01-VLSR</t>
  </si>
  <si>
    <t>&lt;VR_environment_name&gt;</t>
  </si>
  <si>
    <t>SFO-M01-VR</t>
  </si>
  <si>
    <t xml:space="preserve">         VMware Cloud Foundation Live Recovery for Ransomware Recovery </t>
  </si>
  <si>
    <t>Deploy VMware Live Recovery for On-Premises Ransomware Recovery for VMware Cloud Foundation</t>
  </si>
  <si>
    <t>Password (Initial Root)</t>
  </si>
  <si>
    <t>Password (Initial Admin)</t>
  </si>
  <si>
    <t>Network 1 Prefix</t>
  </si>
  <si>
    <t>Replace the Certificate of VMware Live Recovery for On-Premises Ransomware Recovery for VMware Cloud Foundation</t>
  </si>
  <si>
    <t>Create vCenter Single Sign-On User for Registering VMware Live Recovery for On-Premises Ransomware Recovery for VMware Cloud Foundation</t>
  </si>
  <si>
    <t>Assign vCenter Single Sign-On User with Group Role for On-Premises Ransomware Recovery for VMware Cloud Foundation</t>
  </si>
  <si>
    <t>Register VMware Live Recovery with vCenter Single Sign-On for On-Premises Ransomware Recovery for VMware Cloud Foundation</t>
  </si>
  <si>
    <t>vrl-administrator@rainpole.io</t>
  </si>
  <si>
    <t>Create a Port Group for vSphere Replication Traffic for On-Premises Ransomware Recovery for VMware Cloud Foundation</t>
  </si>
  <si>
    <t>Create a VMkernel Adapter on the ESX Hosts for vSphere Replication Traffic for On-Premises Ransomware Recovery for VMware Cloud Foundation</t>
  </si>
  <si>
    <t>&lt;host_fqdn&gt; (Host 1)</t>
  </si>
  <si>
    <t>IPv4 address (Host 1)</t>
  </si>
  <si>
    <t>Subnet Mask (Host 1)</t>
  </si>
  <si>
    <t>&lt;host_fqdn&gt; (Host 2)</t>
  </si>
  <si>
    <t>IPv4 address (Host 2)</t>
  </si>
  <si>
    <t>Subnet Mask (Host 2)</t>
  </si>
  <si>
    <t>&lt;host_fqdn&gt; (Host 3)</t>
  </si>
  <si>
    <t>IPv4 address (Host 3)</t>
  </si>
  <si>
    <t>Subnet Mask (Host 3)</t>
  </si>
  <si>
    <t>&lt;host_fqdn&gt; (Host 4)</t>
  </si>
  <si>
    <t>IPv4 address (Host 4)</t>
  </si>
  <si>
    <t>Subnet Mask (Host 4)</t>
  </si>
  <si>
    <t>Configure ESX Host Static Routes for vSphere Replication for On-Premises Ransomware Recovery for VMware Cloud Foundation</t>
  </si>
  <si>
    <t>&lt;source_vrms_network_gateway&gt; (Host 1)</t>
  </si>
  <si>
    <t>&lt;target_vrms_network_cidr&gt; (Host 1)</t>
  </si>
  <si>
    <t>&lt;target_vlr_mgmt_network_cidr&gt; (Host 1)</t>
  </si>
  <si>
    <t>&lt;source_vrms_network_gateway&gt; (Host 2)</t>
  </si>
  <si>
    <t>&lt;target_vrms_network_cidr&gt; (Host 2)</t>
  </si>
  <si>
    <t>&lt;target_vlr_mgmt_network_cidr&gt; (Host 2)</t>
  </si>
  <si>
    <t>&lt;source_vrms_network_gateway&gt; (Host 3)</t>
  </si>
  <si>
    <t>&lt;target_vrms_network_cidr&gt; (Host 3)</t>
  </si>
  <si>
    <t>&lt;target_vlr_mgmt_network_cidr&gt; (Host 3)</t>
  </si>
  <si>
    <t>&lt;source_vrms_network_gateway&gt; (Host 4)</t>
  </si>
  <si>
    <t>&lt;target_vrms_network_cidr&gt; (Host 4)</t>
  </si>
  <si>
    <t>&lt;target_vlr_mgmt_network_cidr&gt; (Host 4)</t>
  </si>
  <si>
    <t>Add a Tier-1 Gateway, Network Segment, and Configure DHCP Service for On-Premises Ransomware Recovery for VMware Cloud Foundation</t>
  </si>
  <si>
    <t>&lt;nsx_manager_cluster_fqdn&gt;</t>
  </si>
  <si>
    <t>Add DHCP Profile</t>
  </si>
  <si>
    <t>DHCP Name</t>
  </si>
  <si>
    <t>tier1_dhcp_profile</t>
  </si>
  <si>
    <t>Profile Type</t>
  </si>
  <si>
    <t>DHCP Server</t>
  </si>
  <si>
    <t>Server IP Address</t>
  </si>
  <si>
    <t>192.168.90.2/24</t>
  </si>
  <si>
    <t>Edge cluster</t>
  </si>
  <si>
    <t>Add Tier-1 Gateways</t>
  </si>
  <si>
    <t>Add Segments</t>
  </si>
  <si>
    <t>Segment Name</t>
  </si>
  <si>
    <t>Connected Gateway</t>
  </si>
  <si>
    <t>Transport Zone</t>
  </si>
  <si>
    <t>Gateway CIDR IPV4</t>
  </si>
  <si>
    <t>192.168.90.1/24</t>
  </si>
  <si>
    <t>Set DHCP Config</t>
  </si>
  <si>
    <t>DHCP Profile</t>
  </si>
  <si>
    <t>DHCP server address</t>
  </si>
  <si>
    <t>192.168.90.3/24</t>
  </si>
  <si>
    <t>DHCP Ranges</t>
  </si>
  <si>
    <t>192.168.90.100-192.168.90.200</t>
  </si>
  <si>
    <t>Create a Virtual Machine Folder for Workload VMs for On-Premises Ransomware Recovery for VMware Cloud Foundation</t>
  </si>
  <si>
    <t>Data Center</t>
  </si>
  <si>
    <t>Protected Site Configuration Tasks for On-Premises Ransomware Recovery for VMware Cloud Foundation</t>
  </si>
  <si>
    <t>Create a Site Pair Between the Protected and Recovery Instances</t>
  </si>
  <si>
    <t>svc_lax-w01-vlr01_lax-w01-vc01@lax-w01.local</t>
  </si>
  <si>
    <t>Llicense key</t>
  </si>
  <si>
    <t>Configure Mappings between the Protected and the Recovery Instances</t>
  </si>
  <si>
    <t>Network Mapping (Protected Network)</t>
  </si>
  <si>
    <t>Network Mapping (Recovery Network)</t>
  </si>
  <si>
    <t xml:space="preserve">Compute Cluster </t>
  </si>
  <si>
    <t>Folder Mapping (Protected Folder)</t>
  </si>
  <si>
    <t>Folder Mapping (Recovery Folder)</t>
  </si>
  <si>
    <t>Resource Mapping (Protected Cluster)</t>
  </si>
  <si>
    <t>Resource Mapping (Recovery Cluster)</t>
  </si>
  <si>
    <t>Configure Replication, Create a Protection Group and a Recovery Plan for Workload VMs for On-Premises Ransomware Recovery for VMware Cloud Foundation</t>
  </si>
  <si>
    <t>workload-VM, ex: win2022</t>
  </si>
  <si>
    <t>24 Hours</t>
  </si>
  <si>
    <t xml:space="preserve">Value can be customized if required. </t>
  </si>
  <si>
    <t>Total instances</t>
  </si>
  <si>
    <t>workload PG</t>
  </si>
  <si>
    <t>workload RP</t>
  </si>
  <si>
    <t>Perform Recovery of a Business Critical Workloads for On-Premises Ransomware Recovery for VMware Cloud Foundation</t>
  </si>
  <si>
    <t>&lt;recovery_vcenter_fqdn&gt;</t>
  </si>
  <si>
    <t>Network adapter</t>
  </si>
  <si>
    <t>Create vSphere Single Sign-On Users for Integration with VCF Operations for On-Premises Ransomware Recovery for VMware Cloud Foundation</t>
  </si>
  <si>
    <t>Username (VMware Live Site Recovery)</t>
  </si>
  <si>
    <t>Password (VMware Live Site Recovery)</t>
  </si>
  <si>
    <t>Configure Service Account Permissions in vSphere for Integration with VCF Operations for VMware Cloud Foundation</t>
  </si>
  <si>
    <t>User/Group (VMware Live Site Recovery User)</t>
  </si>
  <si>
    <t>Role (VMware Live Site Recovery)</t>
  </si>
  <si>
    <t>User/Group (vSphere Replication User)</t>
  </si>
  <si>
    <t>Role (vSphere Replication User)</t>
  </si>
  <si>
    <t>Install the VCF Operations Management Packs for VMware Live Site Recovery for On-Premises Ransomware Recovery for VMware Cloud Foundation</t>
  </si>
  <si>
    <t>Management pack</t>
  </si>
  <si>
    <t>Add VMware Live Site Recovery Adapter Instances to VCF Operations for On-Premises Ransomware Recovery for VMware Cloud Foundation</t>
  </si>
  <si>
    <t>VMware Live Site Recovery Host</t>
  </si>
  <si>
    <t>VMware Live Site Recovery Port</t>
  </si>
  <si>
    <t>Credential name</t>
  </si>
  <si>
    <t>Collector/Group</t>
  </si>
  <si>
    <t>Add vSphere Replication Adapter Instances to VCF Operations for On-Premises Ransomware Recovery for VMware Cloud Foundation</t>
  </si>
  <si>
    <t>vCenter Server, where vSphere Replication is registered</t>
  </si>
  <si>
    <t>Create Notifications in VCF Operations for On-Premises Ransomware Recovery for VMware Cloud Foundation</t>
  </si>
  <si>
    <t xml:space="preserve">         VMware Cloud Foundation Management Domain Post-Deployment as Built </t>
  </si>
  <si>
    <t>NSX Network Connectivity for MGMT Workload Domain Reference Sheet</t>
  </si>
  <si>
    <t>NSX Routing for Managment Domain</t>
  </si>
  <si>
    <t>Management Domain BGP Requirements</t>
  </si>
  <si>
    <t>FQDNS</t>
  </si>
  <si>
    <t>Overlay IP Address #02 for Edge Node 1</t>
  </si>
  <si>
    <t>AVI Load Balancer Reference Sheet</t>
  </si>
  <si>
    <t>FQDNs</t>
  </si>
  <si>
    <t>Stretched Cluster Reference Sheet</t>
  </si>
  <si>
    <t>Witness Network</t>
  </si>
  <si>
    <t>Stretched L2</t>
  </si>
  <si>
    <t>ESX Hosts</t>
  </si>
  <si>
    <t xml:space="preserve">Should this be a different network </t>
  </si>
  <si>
    <t>RTEP Network</t>
  </si>
  <si>
    <t xml:space="preserve">         VMware Cloud Foundation Workload Domain Post-Deployment </t>
  </si>
  <si>
    <t>NSX Network Connectivity for  Workload Domain Reference Sheet</t>
  </si>
  <si>
    <t>NSX Routing for Workload Domain</t>
  </si>
  <si>
    <t>Workload Domain BGP Requirements</t>
  </si>
  <si>
    <t>AVI Load Balancer</t>
  </si>
  <si>
    <t>Host Overlay</t>
  </si>
  <si>
    <t xml:space="preserve">          VMware Cloud Foundation Management Domain Post-Deployment </t>
  </si>
  <si>
    <t>MGMT Workload Domain Networking</t>
  </si>
  <si>
    <t>Management Domain VLAN and IP Subnet Requirements (Primary Availability Zone)</t>
  </si>
  <si>
    <t>Function</t>
  </si>
  <si>
    <t xml:space="preserve"> VLAN ID</t>
  </si>
  <si>
    <t>Network Cidr</t>
  </si>
  <si>
    <t xml:space="preserve"> Gateway</t>
  </si>
  <si>
    <t>Your MTU</t>
  </si>
  <si>
    <t>ESXi Management Network</t>
  </si>
  <si>
    <t xml:space="preserve">NSX Edge Uplink1 </t>
  </si>
  <si>
    <t>NSX Edge Uplink2</t>
  </si>
  <si>
    <t>Management Domain BGP Requirements (Primary Availability Zone)</t>
  </si>
  <si>
    <t>Management Domain VLAN and IP Subnet Requirements (Secondary Availability Zone)</t>
  </si>
  <si>
    <t xml:space="preserve">vSphere Replication </t>
  </si>
  <si>
    <t>Management Domain BGP Requirements (Secondary Availability Zone)</t>
  </si>
  <si>
    <t>Management Domain ESX Hosts Names and IP Addresss (Primary Availability Zone)</t>
  </si>
  <si>
    <t xml:space="preserve">MGMT IP Address </t>
  </si>
  <si>
    <t>Management Domain Virtula Machines Names and IP Addresss (Primary Availability Zone)</t>
  </si>
  <si>
    <t xml:space="preserve">IP Address </t>
  </si>
  <si>
    <t>NSX Manager Cluster</t>
  </si>
  <si>
    <t>NSX Manager #1</t>
  </si>
  <si>
    <t>NSX Manager #2</t>
  </si>
  <si>
    <t>NSX Manager #3</t>
  </si>
  <si>
    <t>NSX Edge #1</t>
  </si>
  <si>
    <t>NSX Edge #2</t>
  </si>
  <si>
    <t>VCF Operation primary</t>
  </si>
  <si>
    <t>VCF Operations LB</t>
  </si>
  <si>
    <t>VCF Automation - Node IP 1</t>
  </si>
  <si>
    <t>VCF Automation - Node IP 2</t>
  </si>
  <si>
    <t>VCF Automation - Node IP 3</t>
  </si>
  <si>
    <t>VCF Automation - Node IP 4</t>
  </si>
  <si>
    <t>VIDB - FQDN</t>
  </si>
  <si>
    <t>VIDB - Node IP 1</t>
  </si>
  <si>
    <t>VIDB - Node IP 2</t>
  </si>
  <si>
    <t>VIDB - Node IP 3</t>
  </si>
  <si>
    <t>VIDB - Node IP 4</t>
  </si>
  <si>
    <t>Witness Node</t>
  </si>
  <si>
    <t>Management Domain Naming and IP Addresss (Secondary Availability Zone)</t>
  </si>
  <si>
    <t>Workload Domain Networking</t>
  </si>
  <si>
    <t>Workload Domain  VLAN and IP Subnet Requirements (Primary Availability Zone)</t>
  </si>
  <si>
    <t xml:space="preserve">Network </t>
  </si>
  <si>
    <t>Workload Domain BGP Requirements (Primary Availability Zone)</t>
  </si>
  <si>
    <t>Workload Domain VLAN and IP Subnet Requirements (Secondary Availability Zone)</t>
  </si>
  <si>
    <t>Workload Domain BGP Requirements (Secondary Availability Zone)</t>
  </si>
  <si>
    <t>Workload Domain Naming and IP Addresss (Primary Availability Zone)</t>
  </si>
  <si>
    <t>Workload  Domain Naming and IP Addresss (Secondary Availability Zone)</t>
  </si>
  <si>
    <t>History</t>
  </si>
  <si>
    <t>Date</t>
  </si>
  <si>
    <t xml:space="preserve">Details </t>
  </si>
  <si>
    <t>v1.9.0.007</t>
  </si>
  <si>
    <t>Feb-3-2026</t>
  </si>
  <si>
    <t>- Adding Additonal NSX Manager Sizing form factors to allow for Proof of Concept sizing 
- Updated the VCF Operations Unfied Cloud Proxy Appliance Sizes
- Added Support for LACP / VDS LAG in the Configure Managment Workload Domain 
- Added Support for LACP / VDS LAG in the Deploy Workload Domain 
- Added Support for LACP / VDS LAG in the Deploy Cluster 
- Added Storage Choice in Management Domain Sizing Tab</t>
  </si>
  <si>
    <t>v1.9.0.006</t>
  </si>
  <si>
    <t>Oct-1-2025</t>
  </si>
  <si>
    <t xml:space="preserve">- Corrected Issue with appliance type for VIDB on Deploy Fleet Management Day-N Tab
- Added Additonal notes to the Configure Management Domain Tab
- Fixed Stretched Cluster link at the top of the worksheet on Configure Management Domain 
- Corrected name of NSX Edge Cluster on Configure Management Domain
- Corrected Issue with Edge Gateway Type dropdown not appearing 
- Correct issue with Data node 1 of VCF Operations output name </t>
  </si>
  <si>
    <t>v1.9.0.005</t>
  </si>
  <si>
    <t>Aug-20-2025</t>
  </si>
  <si>
    <t>- Corrected formulae for workload domain az2 fqdns</t>
  </si>
  <si>
    <t>v1.9.0.004</t>
  </si>
  <si>
    <t>- Fixed locked cells on 'Configure Management Domain' and 'Deploy Fleet Management Day-N' tabs</t>
  </si>
  <si>
    <t>v1.9.0.003</t>
  </si>
  <si>
    <t>Aug-04-2025</t>
  </si>
  <si>
    <t xml:space="preserve">- Adding Sizing optionality for Security Services Platform
- Fixed vMotion MTU value showing as CIDR address in the VCF MGMT Domain FQDN and IP Addresses Table
- Corrected conditional formatting when creating a new Workload Domain with a new VCF Network Pools
- Added Input for Storage Cluster name when adding a compute cluster </t>
  </si>
  <si>
    <t>v1.9.0.002</t>
  </si>
  <si>
    <t>June-31-2025</t>
  </si>
  <si>
    <t>- Corrected conditional formatting in the Sizing Section
- Corrected formula in Management Domain Sizing that was returning an error for some users
- Removed sizing optionality for VMware Live Recovery Appliance
- Resolved locked cells in the Deploy Workload Domain Tab
- Resolved Minor text edits throughout the document</t>
  </si>
  <si>
    <t>v1.9.0.001</t>
  </si>
  <si>
    <t>June-17-2025</t>
  </si>
  <si>
    <t>- Initial Release</t>
  </si>
  <si>
    <t xml:space="preserve">File Version Availability </t>
  </si>
  <si>
    <t>This file changes as new versions of VMware Cloud Foundation / VMware Validated Solutions are released. To verify you have the correct and most accurate version of this file please visit  https://techdocs.broadcom.com/us/en/vmware-cis.html</t>
  </si>
  <si>
    <t xml:space="preserve">          Private AI Ready Infrastructure Validated Solution</t>
  </si>
  <si>
    <t>This page contains all user required values used during the deployment of the Private AI Ready Infrastruture Validated Solution. Each table and value maps directly to a process in the deployment guidance documentation.</t>
  </si>
  <si>
    <t>Private AI Ready Infrastructure Inputs</t>
  </si>
  <si>
    <t>xxxxx-xxxxx-xxxxx-xxxxx-xxxxx</t>
  </si>
  <si>
    <t>Kubernetes</t>
  </si>
  <si>
    <t>Kubernetes Cluster Name</t>
  </si>
  <si>
    <t>Developer Ready Infrastructure Inputs</t>
  </si>
  <si>
    <t>NSX Kubernetes Management Virtual Network Segment Name</t>
  </si>
  <si>
    <t>vsphere-with-tanzu-category</t>
  </si>
  <si>
    <t>vsphere-with-tanzu-tag</t>
  </si>
  <si>
    <t>Path to kubectl</t>
  </si>
  <si>
    <t>c:\kube\bin\</t>
  </si>
  <si>
    <t>Initial Virtual Machine Class for Tanzu Kubernetes Cluster</t>
  </si>
  <si>
    <t>guaranteed-small</t>
  </si>
  <si>
    <t>Enable vSphere vMotion for vGPU-Enabled Virtual Machines for Private AI Ready Infrastructure for VMware Cloud Foundation</t>
  </si>
  <si>
    <t>Install the Vendor GPU Driver on the ESXi Hosts for Private AI Ready Infrastructure for VMware Cloud Foundation</t>
  </si>
  <si>
    <t>&lt;sddc_manager_fqdn&gt;</t>
  </si>
  <si>
    <t>Create a Namespace for the Tanzu Kubernetes Grid Cluster for Private AI Ready Infrastructure for VMware Cloud Foundation</t>
  </si>
  <si>
    <t>vsphere-with-tanzu-storage-policy</t>
  </si>
  <si>
    <t>Assign the New Tanzu Cluster Namespace Roles to Active Directory Groups for VMware Cloud Foundation</t>
  </si>
  <si>
    <t>Namespace</t>
  </si>
  <si>
    <r>
      <t xml:space="preserve">Group </t>
    </r>
    <r>
      <rPr>
        <i/>
        <sz val="12"/>
        <color theme="1"/>
        <rFont val="Arial"/>
        <family val="2"/>
      </rPr>
      <t>(Edit Role)</t>
    </r>
  </si>
  <si>
    <r>
      <t>Group</t>
    </r>
    <r>
      <rPr>
        <i/>
        <sz val="12"/>
        <color theme="1"/>
        <rFont val="Arial"/>
        <family val="2"/>
      </rPr>
      <t xml:space="preserve"> (View Role)</t>
    </r>
  </si>
  <si>
    <t>Add GPU-Enabled VM Classes for the Tanzu Kubernetes Grid Cluster for Private AI Ready Infrastructure for VMware Cloud Foundation</t>
  </si>
  <si>
    <t>vgpu-a100-16vcpu-128gb</t>
  </si>
  <si>
    <t>GPU VM Class CPU Reservation</t>
  </si>
  <si>
    <t>GPU VM Class Mem Reservation</t>
  </si>
  <si>
    <t>Provision a Tanzu Kubernetes Grid Cluster for Private AI Ready Infrastructure for VMware Cloud Foundation</t>
  </si>
  <si>
    <t>Server</t>
  </si>
  <si>
    <t>namespace</t>
  </si>
  <si>
    <t>storageClass</t>
  </si>
  <si>
    <t>class</t>
  </si>
  <si>
    <t>cidrBlock (services)</t>
  </si>
  <si>
    <t>198.51.100.0/12</t>
  </si>
  <si>
    <t>cidrBlock (pods)</t>
  </si>
  <si>
    <t>192.0.2.0/16</t>
  </si>
  <si>
    <t>Install the NVIDIA GPU Operator for Private AI Ready Infrastructure for VMware Cloud Foundation</t>
  </si>
  <si>
    <t>gpu-operator</t>
  </si>
  <si>
    <t>Install the NVIDIA Network Operator for Private AI Ready Infrastructure for VMware Cloud Foundation</t>
  </si>
  <si>
    <t>GPU Operator Network Namespace</t>
  </si>
  <si>
    <t>nvidia-network-operator</t>
  </si>
  <si>
    <t>Create AI Self-Service Catalog Items in VMware Aria Automation for Private AI Ready Infrastructure for VMware Cloud Foundation</t>
  </si>
  <si>
    <t>&lt;aria_suite_lifecycle_fqdn&gt;</t>
  </si>
  <si>
    <t>Deploy VMware Data Services Manager for Private AI Ready Infrastructure for VMware Cloud Foundation</t>
  </si>
  <si>
    <t>Create a Content Library with Deep Learning VM Images for Private AI Ready Infrastructure for VMware Cloud Foundation</t>
  </si>
  <si>
    <t>Content Library Name</t>
  </si>
  <si>
    <t>vSAN Datastore</t>
  </si>
  <si>
    <t>Deploy a Deep Learning VM from the VMware Aria Automation Self-Service Catalog for Private AI Ready Infrastructure for VMware Cloud Foundation</t>
  </si>
  <si>
    <t>Provision a Tanzu Kubernetes Grid Cluster from the VMware Aria Automation Self-Service Catalog for Private AI Ready Infrastructure for VMware Cloud Foundation</t>
  </si>
  <si>
    <t>Create a Vector Database Catalog Item in VMware Aria Automation for RAG Workloads for Private AI Ready Infrastructure for VMware Cloud Foundation</t>
  </si>
  <si>
    <t>Deploy a Vector Database by Using a Self-Service Catalog Item in VMware Aria Automation for RAG Workloads for Private AI Ready Infrastructure for VMware Cloud Foundation</t>
  </si>
  <si>
    <t xml:space="preserve">        Cloud-Based Ransomware Recovery Validated Solution</t>
  </si>
  <si>
    <t>This page contains all user required values used during the deployment of the Cloud-Based Ransomware Recovery Validated Solution. Each table and value maps directly to a process in the deployment guidance documentation.</t>
  </si>
  <si>
    <t>Section Navigation (Click to Navigate)</t>
  </si>
  <si>
    <t>Cloud-Based Ramsomware Recovery</t>
  </si>
  <si>
    <t>DRaaS Connector Appliance</t>
  </si>
  <si>
    <t>Chid</t>
  </si>
  <si>
    <t>Cloud-Based Ransomware Recovery</t>
  </si>
  <si>
    <t>VMware Live Cyber Recovery to vSphere Integration</t>
  </si>
  <si>
    <t>svc-vlcr-vsphere</t>
  </si>
  <si>
    <r>
      <t xml:space="preserve">VM Folder </t>
    </r>
    <r>
      <rPr>
        <i/>
        <sz val="12"/>
        <color theme="1"/>
        <rFont val="Arial"/>
        <family val="2"/>
      </rPr>
      <t>(DRaaS Connectors)</t>
    </r>
  </si>
  <si>
    <t>aws-recovery-sddc</t>
  </si>
  <si>
    <t>I4i (Local SSD)</t>
  </si>
  <si>
    <t>&lt;generated&gt;</t>
  </si>
  <si>
    <t>10.2.0.0/16</t>
  </si>
  <si>
    <r>
      <t xml:space="preserve">Firewall Rule Name </t>
    </r>
    <r>
      <rPr>
        <i/>
        <sz val="12"/>
        <color theme="1"/>
        <rFont val="Arial"/>
        <family val="2"/>
      </rPr>
      <t>(vCenter Server Inbound)</t>
    </r>
  </si>
  <si>
    <t>vCenter Inbound Rule</t>
  </si>
  <si>
    <r>
      <t xml:space="preserve">User Defined Group </t>
    </r>
    <r>
      <rPr>
        <i/>
        <sz val="12"/>
        <color theme="1"/>
        <rFont val="Arial"/>
        <family val="2"/>
      </rPr>
      <t>(Firewall Access)</t>
    </r>
  </si>
  <si>
    <t>External-Access</t>
  </si>
  <si>
    <t>69.34.34.11</t>
  </si>
  <si>
    <r>
      <t>Cloud File System</t>
    </r>
    <r>
      <rPr>
        <i/>
        <sz val="12"/>
        <color theme="1"/>
        <rFont val="Arial"/>
        <family val="2"/>
      </rPr>
      <t xml:space="preserve"> (VMware Cloud Disaster Recovery)</t>
    </r>
  </si>
  <si>
    <t>usw2-az2-cfs01</t>
  </si>
  <si>
    <r>
      <t xml:space="preserve">On-Premises Site Name </t>
    </r>
    <r>
      <rPr>
        <i/>
        <sz val="12"/>
        <color theme="1"/>
        <rFont val="Arial"/>
        <family val="2"/>
      </rPr>
      <t>(VMware Cloud Disaster Recovery)</t>
    </r>
  </si>
  <si>
    <r>
      <t xml:space="preserve">Timezone </t>
    </r>
    <r>
      <rPr>
        <i/>
        <sz val="12"/>
        <color theme="1"/>
        <rFont val="Arial"/>
        <family val="2"/>
      </rPr>
      <t>(VMware Cloud Disaster Recovery)</t>
    </r>
  </si>
  <si>
    <t>UTC</t>
  </si>
  <si>
    <t>https://vcdr-34-212-247-60.app.vcdr.vmware.com:443/vmware-cloud-connector.ova</t>
  </si>
  <si>
    <t>vcdr-34-212-247-60.app.vcdr.vmware.com</t>
  </si>
  <si>
    <t>cloudadmins@rainpole.io</t>
  </si>
  <si>
    <t>Create Virtual Machine and Template Folder for the VMware Live Cyber Recovery Connector Appliances for Cloud-Based Ransomware Recovery for VMware Cloud Foundation</t>
  </si>
  <si>
    <r>
      <t xml:space="preserve">Folder Name </t>
    </r>
    <r>
      <rPr>
        <i/>
        <sz val="12"/>
        <color rgb="FF000000"/>
        <rFont val="Arial"/>
        <family val="2"/>
      </rPr>
      <t>(Cyber Recovery Connectors)</t>
    </r>
  </si>
  <si>
    <t>Deploy the Recovery SDDC for Cloud-Based Ransomware Recovery for VMware Cloud Foundation</t>
  </si>
  <si>
    <t>&lt;csp_console_fqdn&gt;</t>
  </si>
  <si>
    <t>console.cloud.vmware.com</t>
  </si>
  <si>
    <t>SDDC Name</t>
  </si>
  <si>
    <t>Configure vCenter Server Access to the Recovery SDDC for Cloud-Based Ransomware Recovery for VMware Cloud Foundation</t>
  </si>
  <si>
    <r>
      <t xml:space="preserve">Name </t>
    </r>
    <r>
      <rPr>
        <i/>
        <sz val="12"/>
        <color theme="1"/>
        <rFont val="Arial"/>
        <family val="2"/>
      </rPr>
      <t>(Rule Name)</t>
    </r>
  </si>
  <si>
    <r>
      <t xml:space="preserve">Sources </t>
    </r>
    <r>
      <rPr>
        <i/>
        <sz val="12"/>
        <color theme="1"/>
        <rFont val="Arial"/>
        <family val="2"/>
      </rPr>
      <t>(User Defined Group)</t>
    </r>
  </si>
  <si>
    <t>Destinations</t>
  </si>
  <si>
    <t>Service</t>
  </si>
  <si>
    <t>HTTPS (TCP 443)</t>
  </si>
  <si>
    <t>SSO (TCP 7444)</t>
  </si>
  <si>
    <t>IP Address(es)</t>
  </si>
  <si>
    <t>Activate a VMware Cloud Disaster Recovery Region for Cloud-Based Ransomware Recovery for VMware Cloud Foundation</t>
  </si>
  <si>
    <t>Deploy a Cloud File System for Cloud-Based Ransomware Recovery for VMware Cloud Foundation</t>
  </si>
  <si>
    <t xml:space="preserve">Recovery SDDC														</t>
  </si>
  <si>
    <t>Cloud file system name</t>
  </si>
  <si>
    <t>Create a Protected Site for Cloud-Based Ransomware Recovery for VMware Cloud Foundation</t>
  </si>
  <si>
    <t>Cloud Backup</t>
  </si>
  <si>
    <t>Timezone</t>
  </si>
  <si>
    <t>On-Premises Site Name</t>
  </si>
  <si>
    <t>Deploy the VMware Live Cyber Recovery Connector Appliances for Cloud-Based Ransomware Recovery for VMware Cloud Foundation</t>
  </si>
  <si>
    <t>Protected Site</t>
  </si>
  <si>
    <t>Cyber Recovery Connector OVA Link</t>
  </si>
  <si>
    <t>vSAN datastore</t>
  </si>
  <si>
    <t>Console User</t>
  </si>
  <si>
    <t>Network IP Address Allocation</t>
  </si>
  <si>
    <t>Subnet mask</t>
  </si>
  <si>
    <t>Create and Configure a Custom Role in vSphere for Cloud-Based Ransomware Recovery for VMware Cloud Foundation</t>
  </si>
  <si>
    <t>vCenter Server IP Address</t>
  </si>
  <si>
    <t>--admin-username</t>
  </si>
  <si>
    <t>--admin-password</t>
  </si>
  <si>
    <t>--new-username</t>
  </si>
  <si>
    <t>--new-password</t>
  </si>
  <si>
    <t>--vcenter-role</t>
  </si>
  <si>
    <t>Configure a vSphere DRS Anti-Affinity Rule for the VMware Live Cyber Recovery Connector Appliances for Cloud-Based Ransomware Recovery for VMware Cloud Foundation</t>
  </si>
  <si>
    <r>
      <t xml:space="preserve">Member </t>
    </r>
    <r>
      <rPr>
        <i/>
        <sz val="12"/>
        <color theme="1"/>
        <rFont val="Arial"/>
        <family val="2"/>
      </rPr>
      <t>(Cyber Recovery Connector Node 1)</t>
    </r>
  </si>
  <si>
    <r>
      <t xml:space="preserve">Member </t>
    </r>
    <r>
      <rPr>
        <i/>
        <sz val="12"/>
        <color theme="1"/>
        <rFont val="Arial"/>
        <family val="2"/>
      </rPr>
      <t>(Cyber Recovery Connector Node 2)</t>
    </r>
  </si>
  <si>
    <t>Add the Connector Appliances to the First Availability Zone VM Group for Cloud-Based Ransomware Recovery for VMware Cloud Foundation</t>
  </si>
  <si>
    <t>Register a VI Workload Domain vCenter Server for Cloud-Based Ransomware Recovery for VMware Cloud Foundation</t>
  </si>
  <si>
    <t>vCenter Server IP address</t>
  </si>
  <si>
    <t>vCenter user name</t>
  </si>
  <si>
    <t>Add a Recovery SDDC for Cloud-Based Ransomware Recovery for VMware Cloud Foundation</t>
  </si>
  <si>
    <t>Configure Email Alerts for Cloud-Based Ransomware Recovery for VMware Cloud Foundation</t>
  </si>
  <si>
    <t>Sender name</t>
  </si>
  <si>
    <t>no-reply-vlcr</t>
  </si>
  <si>
    <t>Integration with Intelligent Operations Management for VMware Cloud Foundation</t>
  </si>
  <si>
    <t>Configure a Ping Adapter for the Connector Appliances in the on-premises VMware Aria Operations for Cloud-Based Ransomware Recovery for VMware Cloud Foundation</t>
  </si>
  <si>
    <t>Unique Name</t>
  </si>
  <si>
    <t xml:space="preserve">Address list </t>
  </si>
  <si>
    <t>Collector Group</t>
  </si>
  <si>
    <t xml:space="preserve">          Cross Cloud Mobility Validated Solution</t>
  </si>
  <si>
    <t>This page contains all user required values used during the deployment of the Cross Cloud Mobility Validated Solution. Each table and value maps directly to a process in the deployment guidance documentation.</t>
  </si>
  <si>
    <t>Cross Cloud Mobility</t>
  </si>
  <si>
    <t>HCX Appliance</t>
  </si>
  <si>
    <t>HCX Network Profiles</t>
  </si>
  <si>
    <t>Reference IP Range</t>
  </si>
  <si>
    <t>Your IP Range</t>
  </si>
  <si>
    <t>VMware HCX to vSphere Integration</t>
  </si>
  <si>
    <r>
      <t>VM Folder (</t>
    </r>
    <r>
      <rPr>
        <i/>
        <sz val="12"/>
        <color theme="1"/>
        <rFont val="Arial"/>
        <family val="2"/>
      </rPr>
      <t>HCX Connector)</t>
    </r>
  </si>
  <si>
    <t>mobility-sddc</t>
  </si>
  <si>
    <t>I3 (Local SSD)</t>
  </si>
  <si>
    <t>HCX Inbound Rule</t>
  </si>
  <si>
    <t>San Francisco, United States of America</t>
  </si>
  <si>
    <t>https://hcx.sddc-44-231-98-23.vmwarevmc.com/</t>
  </si>
  <si>
    <t>cloudadmin@vmc.local</t>
  </si>
  <si>
    <t>TBvAZf-Aj*1ap6T</t>
  </si>
  <si>
    <t>Define Custom Roles in vSphere for Cross Cloud Mobility for VMware Cloud Foundation</t>
  </si>
  <si>
    <r>
      <t xml:space="preserve">Role name </t>
    </r>
    <r>
      <rPr>
        <i/>
        <sz val="12"/>
        <color theme="1"/>
        <rFont val="Arial"/>
        <family val="2"/>
      </rPr>
      <t>(VMware HCX to vSphere)</t>
    </r>
  </si>
  <si>
    <t>Configure Service Account Permissions for vSphere Integration for Cross Cloud Mobility for VMware Cloud Foundation</t>
  </si>
  <si>
    <r>
      <t xml:space="preserve">Domain </t>
    </r>
    <r>
      <rPr>
        <i/>
        <sz val="12"/>
        <color theme="1"/>
        <rFont val="Arial"/>
        <family val="2"/>
      </rPr>
      <t>(VMware HCX Service Account)</t>
    </r>
  </si>
  <si>
    <r>
      <t xml:space="preserve">User / Group </t>
    </r>
    <r>
      <rPr>
        <i/>
        <sz val="12"/>
        <color theme="1"/>
        <rFont val="Arial"/>
        <family val="2"/>
      </rPr>
      <t>(VMware HCX Service Account)</t>
    </r>
  </si>
  <si>
    <r>
      <t xml:space="preserve">Role </t>
    </r>
    <r>
      <rPr>
        <i/>
        <sz val="12"/>
        <color theme="1"/>
        <rFont val="Arial"/>
        <family val="2"/>
      </rPr>
      <t>(VMware HCX Service Account)</t>
    </r>
  </si>
  <si>
    <t>Create a Virtual Machine and Template Folder for the HCX Appliance for Cross Cloud Mobility for VMware Cloud Foundation</t>
  </si>
  <si>
    <r>
      <t xml:space="preserve">Folder Name </t>
    </r>
    <r>
      <rPr>
        <i/>
        <sz val="12"/>
        <color rgb="FF000000"/>
        <rFont val="Arial"/>
        <family val="2"/>
      </rPr>
      <t>(HCX Connector)</t>
    </r>
  </si>
  <si>
    <t>Create a Virtual Machine and Template Folder and a Resource Pool for the HCX Appliances for Cross Cloud Mobility for VMware Cloud Foundation</t>
  </si>
  <si>
    <t>&lt;vi_workload_domain_vcenter_server_fqdn&gt;</t>
  </si>
  <si>
    <r>
      <t xml:space="preserve">Folder Name </t>
    </r>
    <r>
      <rPr>
        <i/>
        <sz val="12"/>
        <color theme="1"/>
        <rFont val="Arial"/>
        <family val="2"/>
      </rPr>
      <t>(HCX Appliances)</t>
    </r>
  </si>
  <si>
    <t>Configure Service Account Permissions for NSX Integration for Cross Cloud Mobility for VMware Cloud Foundation</t>
  </si>
  <si>
    <t>&lt;vi_workload_domain_nsx_manager_fqdn&gt;</t>
  </si>
  <si>
    <t>Deploy the Mobility SDDC for Cross Cloud Mobility for VMware Cloud Foundation</t>
  </si>
  <si>
    <t>Configure vCenter Server Access to the Mobililty SDDC for Cross Cloud Mobility for VMware Cloud Foundation</t>
  </si>
  <si>
    <t>Deploy VMware HCX to the Mobility SDDC for Cross Cloud Mobility for VMware Cloud Foundation</t>
  </si>
  <si>
    <t>Deploy the HCX Connector Appliance for Cross Cloud Mobility for VMware Cloud Foundation</t>
  </si>
  <si>
    <t>Deploy HCX Connector</t>
  </si>
  <si>
    <t>Connector Folder</t>
  </si>
  <si>
    <t>CLI "admin" User Password</t>
  </si>
  <si>
    <t>root Password</t>
  </si>
  <si>
    <t>Network 1 IPv4 Address</t>
  </si>
  <si>
    <t>Network 1 IPv4 Prefix Length</t>
  </si>
  <si>
    <t>DNS Server list</t>
  </si>
  <si>
    <t>Domain Search List</t>
  </si>
  <si>
    <t>NTP Server List</t>
  </si>
  <si>
    <t xml:space="preserve">Configure HCX Connector			</t>
  </si>
  <si>
    <t>Location of your datacenter (nearest city)</t>
  </si>
  <si>
    <t>System name</t>
  </si>
  <si>
    <t>Identity Sources</t>
  </si>
  <si>
    <t>Replace the Certificate of the HCX Connector Appliance for Cross Cloud Mobility for VMware Cloud Foundation</t>
  </si>
  <si>
    <t>&lt;hcx_connector_fqdn&gt;</t>
  </si>
  <si>
    <t>Add the HCX Connector Appliance to the First Availability Zone VM Group for Cross Cloud Mobility for VMware Cloud Foundation</t>
  </si>
  <si>
    <t>Member</t>
  </si>
  <si>
    <t>Configure VMware HCX Access to the Mobility SDDC for Cross Cloud Mobility for VMware Cloud Foundation</t>
  </si>
  <si>
    <t>HCX</t>
  </si>
  <si>
    <t>Appliance Management (TCP 9443)</t>
  </si>
  <si>
    <t>Pair On-Premises vSphere Environment with HCX Cloud for Cross Cloud Mobility for VMware Cloud Foundation</t>
  </si>
  <si>
    <t>Create Network Profiles in HCX for Cross Cloud Mobility for VMware Cloud Foundation</t>
  </si>
  <si>
    <t>Management Network Profile</t>
  </si>
  <si>
    <t>IP Ranges</t>
  </si>
  <si>
    <t>Prefix Length</t>
  </si>
  <si>
    <t>Primary DNS</t>
  </si>
  <si>
    <t>Secondary DNS</t>
  </si>
  <si>
    <t>DNS Suffix</t>
  </si>
  <si>
    <t>vMotion Network Profile</t>
  </si>
  <si>
    <t>Create a Compute Profile in HCX for Cross Cloud Mobility for VMware Cloud Foundation</t>
  </si>
  <si>
    <t>Name your Compute Profile</t>
  </si>
  <si>
    <t>Select Resource(s)</t>
  </si>
  <si>
    <t>Select Resource</t>
  </si>
  <si>
    <t>Select Management Network Profile</t>
  </si>
  <si>
    <t xml:space="preserve">Select Uplink Network Profile </t>
  </si>
  <si>
    <t>Select vMotion Network Profile</t>
  </si>
  <si>
    <t>Select vSphere Replication Network Profile</t>
  </si>
  <si>
    <t>Select Network Containers</t>
  </si>
  <si>
    <t>Create a Service Mesh in HCX for Cross Cloud Mobility for VMware Cloud Foundation</t>
  </si>
  <si>
    <t>Select Source Compute Profile</t>
  </si>
  <si>
    <t>Select Remote Compute Profile</t>
  </si>
  <si>
    <t>ComputeProfile(vcenter)</t>
  </si>
  <si>
    <t>Name for this Service Mesh</t>
  </si>
  <si>
    <t>Configure a Ping Adapter for the HCX Connector Appliance in the on-premises VMware Aria Operations for Cross Cloud Mobility for VMware Cloud Foundation</t>
  </si>
  <si>
    <t>Data Protection for Cross Cloud Mobility for VMware Cloud Foundation</t>
  </si>
  <si>
    <t>Backup the HCX Connector Configuration for Cross Cloud Mobility for VMware Cloud Foundation</t>
  </si>
  <si>
    <t>IP/Host name</t>
  </si>
  <si>
    <t>Transfer protocol</t>
  </si>
  <si>
    <t>Backup directory</t>
  </si>
  <si>
    <t>Configure a Backup Schedule for the HCX Connector for Cross Cloud Mobility for VMware Cloud Foundation</t>
  </si>
  <si>
    <t>Backup Frequency</t>
  </si>
  <si>
    <t>DAILY</t>
  </si>
  <si>
    <t>Hour of day</t>
  </si>
  <si>
    <t>Minute</t>
  </si>
  <si>
    <t xml:space="preserve">      VMware Cloud Foundaation Active Directory Inputs</t>
  </si>
  <si>
    <t xml:space="preserve">To be completed by a member of the Customer Active Directory Team. Inputs are enabled by choices made on Deployment Options Tab and values will be presented in relevant sections of Workflow Execution Tabs								</t>
  </si>
  <si>
    <t>Active Directory Details</t>
  </si>
  <si>
    <t>Purpose</t>
  </si>
  <si>
    <t>Reference Fully Qualified Name</t>
  </si>
  <si>
    <t>Your Fully Qualified Name</t>
  </si>
  <si>
    <t>Reference NETBIOS Name</t>
  </si>
  <si>
    <r>
      <t xml:space="preserve">FQDN &amp; NetBIOS </t>
    </r>
    <r>
      <rPr>
        <sz val="12"/>
        <color theme="1"/>
        <rFont val="Arial"/>
        <family val="2"/>
      </rPr>
      <t>(Parent)</t>
    </r>
  </si>
  <si>
    <t>RAINPOLE</t>
  </si>
  <si>
    <r>
      <t xml:space="preserve">FQDN &amp; NetBIOS </t>
    </r>
    <r>
      <rPr>
        <sz val="12"/>
        <color theme="1"/>
        <rFont val="Arial"/>
        <family val="2"/>
      </rPr>
      <t>(Child)</t>
    </r>
  </si>
  <si>
    <r>
      <t xml:space="preserve">User and Group OUs </t>
    </r>
    <r>
      <rPr>
        <sz val="12"/>
        <color theme="1"/>
        <rFont val="Arial"/>
        <family val="2"/>
      </rPr>
      <t>(Parent)</t>
    </r>
  </si>
  <si>
    <t>ou=Security Groups,dc=rainpole,dc=io</t>
  </si>
  <si>
    <t>ou=Security Users,dc=rainpole,dc=io</t>
  </si>
  <si>
    <r>
      <t xml:space="preserve">User and Group OUs </t>
    </r>
    <r>
      <rPr>
        <sz val="12"/>
        <color theme="1"/>
        <rFont val="Arial"/>
        <family val="2"/>
      </rPr>
      <t>(Child)</t>
    </r>
  </si>
  <si>
    <t>Active Directory Users (Service Accounts for Application to External Service Communication)</t>
  </si>
  <si>
    <t>Reference Username</t>
  </si>
  <si>
    <t>Your Username</t>
  </si>
  <si>
    <t>Reference Password</t>
  </si>
  <si>
    <t>Your Password</t>
  </si>
  <si>
    <t>Identity and Access Management</t>
  </si>
  <si>
    <t>Active Directory Bind (vSphere)</t>
  </si>
  <si>
    <t>Active Directory Bind (NSX)</t>
  </si>
  <si>
    <t>svc-nsx-ad</t>
  </si>
  <si>
    <t>Active Directory Users (Service Accounts for Application to Application Communication)</t>
  </si>
  <si>
    <t>Intelligent Logging and Analytics for VMware Cloud Foundation</t>
  </si>
  <si>
    <t>VMware Aria Operations for Logs to Active Directory</t>
  </si>
  <si>
    <t>svc-logs-ad</t>
  </si>
  <si>
    <t>Intelligent Operations Management for VMware Cloud Foundation</t>
  </si>
  <si>
    <t>VMware Aria Operations to VMware Cloud Foundation</t>
  </si>
  <si>
    <t>svc-ops-vcf</t>
  </si>
  <si>
    <t>x</t>
  </si>
  <si>
    <t>VMware Aria Operations to vCenter Server</t>
  </si>
  <si>
    <t>svc-ops-vsphere</t>
  </si>
  <si>
    <t>VMware Aria Operations to VMware Aria Automation</t>
  </si>
  <si>
    <t>svc-ops-cmp</t>
  </si>
  <si>
    <t>Intelligent Network Visibility for VMware Cloud Foundation</t>
  </si>
  <si>
    <t>VMware Aria Operations for Networks to Active Directory</t>
  </si>
  <si>
    <t>svc-net-ad</t>
  </si>
  <si>
    <t>VMware Aria Operations for Networks to vCenter Server</t>
  </si>
  <si>
    <t>svc-net-vsphere</t>
  </si>
  <si>
    <t>VMware Aria Operations to VMware Aria Operations for Networks</t>
  </si>
  <si>
    <t>svc-net-ops</t>
  </si>
  <si>
    <t>Private Cloud Automation on VMware Cloud Foundation</t>
  </si>
  <si>
    <t>svc-cmp-vsphere</t>
  </si>
  <si>
    <t>svc-cmp-nsx</t>
  </si>
  <si>
    <t>svc-cmp-vcf</t>
  </si>
  <si>
    <t>svc-orch-vsphere</t>
  </si>
  <si>
    <t>svc-cmp-ops</t>
  </si>
  <si>
    <t>Health Reporting and Monitoring</t>
  </si>
  <si>
    <t>HRM to SDDC Manager</t>
  </si>
  <si>
    <t>svc-hrm-vcf</t>
  </si>
  <si>
    <t>HRM to VMware Aria Operations</t>
  </si>
  <si>
    <t>svc-hrm-ops</t>
  </si>
  <si>
    <t>VMware HCX to vCenter Server</t>
  </si>
  <si>
    <t>svc-hcx-vsphere</t>
  </si>
  <si>
    <t>VMware HCX to NSX</t>
  </si>
  <si>
    <t>svc-hcx-nsx</t>
  </si>
  <si>
    <t>VMware Aria Suite Lifecycle</t>
  </si>
  <si>
    <t>Product</t>
  </si>
  <si>
    <t>Reference Group Name</t>
  </si>
  <si>
    <t>Your Group Name</t>
  </si>
  <si>
    <t>gg-lcm-admins</t>
  </si>
  <si>
    <t>gg-lcm-release-managers</t>
  </si>
  <si>
    <t>gg-lcm-content-developers</t>
  </si>
  <si>
    <t>Clustered Workspace ONE Access</t>
  </si>
  <si>
    <t>Workspace ONE Access</t>
  </si>
  <si>
    <t>gg-idm-admins</t>
  </si>
  <si>
    <t>gg-idm-directory-admins</t>
  </si>
  <si>
    <t>gg-idm-read-only</t>
  </si>
  <si>
    <t>Identity and Access Management for VMware Cloud Foundation</t>
  </si>
  <si>
    <t>Developer Ready Infrastructure using VMware Cloud Foundation</t>
  </si>
  <si>
    <t xml:space="preserve">Kubernetes </t>
  </si>
  <si>
    <t>gg-kub-admins</t>
  </si>
  <si>
    <t>gg-kub-readonly</t>
  </si>
  <si>
    <t>VMware Aria Operations for Logs</t>
  </si>
  <si>
    <t>gg-logs-admins</t>
  </si>
  <si>
    <t>gg-logs-users</t>
  </si>
  <si>
    <t>gg-logs-viewers</t>
  </si>
  <si>
    <t>VMware Aria Operations</t>
  </si>
  <si>
    <t>gg-ops-admins</t>
  </si>
  <si>
    <t>gg-ops-content-admins</t>
  </si>
  <si>
    <t>gg-ops-read-only</t>
  </si>
  <si>
    <t>VMware Aria Operations for Networks</t>
  </si>
  <si>
    <t>gg-networks-admin</t>
  </si>
  <si>
    <t>gg-networks-member</t>
  </si>
  <si>
    <t>gg-networks-auditor</t>
  </si>
  <si>
    <t>VMware Aria Automation</t>
  </si>
  <si>
    <t>gg-cmp-org-owners</t>
  </si>
  <si>
    <t>gg-cmp-cloud-assembly-admins</t>
  </si>
  <si>
    <t>gg-cmp-cloud-assembly-users</t>
  </si>
  <si>
    <t>gg-cmp-cloud-assembly-viewers</t>
  </si>
  <si>
    <t>gg-cmp-service-broker-admins</t>
  </si>
  <si>
    <t>gg-cmp-service-broker-users</t>
  </si>
  <si>
    <t>gg-cmp-service-broker-viewers</t>
  </si>
  <si>
    <t>gg-cmp-orchestrator-admins</t>
  </si>
  <si>
    <t>gg-cmp-orchestrator-designers</t>
  </si>
  <si>
    <t>gg-cmp-orchestrator-viewers</t>
  </si>
  <si>
    <t>gg-cmp-project-admins-sample</t>
  </si>
  <si>
    <t>gg-cmp-project-users-sample</t>
  </si>
  <si>
    <t xml:space="preserve">         VMware Cloud Foundation and VMware vSphere Foundation Planning</t>
  </si>
  <si>
    <t>Use this page to select your options for a VMware Cloud Foundation Deployment</t>
  </si>
  <si>
    <t>VMware Values</t>
  </si>
  <si>
    <t>At VMware we value inclusion. To foster this principle within our customer, partner, and internal community, we are replacing some of the terminology in our content. We have updated this document to remove instances of non-inclusive language.</t>
  </si>
  <si>
    <t>VMware Cloud Foundation</t>
  </si>
  <si>
    <t xml:space="preserve">Deployment Specification </t>
  </si>
  <si>
    <t>Instance to perform operation on</t>
  </si>
  <si>
    <t>Operation to be performed</t>
  </si>
  <si>
    <t>Prerequisite Checklist</t>
  </si>
  <si>
    <t>The following pre-requisites need to be completed before proceeding with deployments</t>
  </si>
  <si>
    <t>Hardware (Management Domain)</t>
  </si>
  <si>
    <t>Server Component</t>
  </si>
  <si>
    <t>Minimum Requirements</t>
  </si>
  <si>
    <t>Server Type</t>
  </si>
  <si>
    <t>Two Supported Servers - Simple (Single-Node) Deployment
or
Four Supported Servers -  High Availability (Three-Node) Deployment</t>
  </si>
  <si>
    <t>Refer to the VMware Compatibility Guide at https://compatibilityguide.broadcom.com/ for supported configurations. Note that VMware Cloud Foundation supports three node vSAN clusters in Workload Domains. VMware recommends a minimum of four nodes for production.</t>
  </si>
  <si>
    <t>Supported Configurations</t>
  </si>
  <si>
    <t>Memory</t>
  </si>
  <si>
    <r>
      <t xml:space="preserve">Rainpole example suggests
- 1TB per host based on 4 hosts with ability to tolerate failure of a single host.
</t>
    </r>
    <r>
      <rPr>
        <b/>
        <sz val="12"/>
        <color theme="1"/>
        <rFont val="Arial"/>
        <family val="2"/>
      </rPr>
      <t>Use Management Domain Sizing for sizing based on your chosen options.</t>
    </r>
  </si>
  <si>
    <t>Storage (Boot)</t>
  </si>
  <si>
    <t>Supported configurations</t>
  </si>
  <si>
    <t>SD-Cards are considered legacy and not recommended.</t>
  </si>
  <si>
    <t>Storage VSAN-OSA  (Cache)</t>
  </si>
  <si>
    <r>
      <t xml:space="preserve">Rainpole example suggests 
- 1.2TB of Raw Capacity for the Caching Tier (All-Flash) per host. 
- Two disk groups, 600GB cache per disk group.
Ensure no existing partitions exist on disks intended for use
See Designing and Sizing a vSAN Cluster from the VMware vSAN documentation for guidelines about cache sizing.
</t>
    </r>
    <r>
      <rPr>
        <b/>
        <sz val="12"/>
        <color theme="1"/>
        <rFont val="Arial"/>
        <family val="2"/>
      </rPr>
      <t>Use Management Domain Sizing for sizing based on your chosen options.</t>
    </r>
  </si>
  <si>
    <t>Storage vSAN-OSA (Capacity)</t>
  </si>
  <si>
    <r>
      <t xml:space="preserve">Rainpole example suggests
- 12.5TB of Raw Capacity for the Capacity Tier (All-Flash) per host.
- Two disk groups, 6.25TB per disk group
Ensure no existing partitions exist on disks intended for use
</t>
    </r>
    <r>
      <rPr>
        <b/>
        <sz val="12"/>
        <color theme="1"/>
        <rFont val="Arial"/>
        <family val="2"/>
      </rPr>
      <t>Use Management Domain Sizing for sizing based on your chosen options.</t>
    </r>
  </si>
  <si>
    <t xml:space="preserve">Storage vSAN-ESA </t>
  </si>
  <si>
    <r>
      <t xml:space="preserve">Rainpole example suggests
- 12.5TB of Raw Capacity for the Capacity Tier (All-Flash) per host.
 - 4 x 3.2TB NVME SSD Drives per node.
Ensure no existing partitions exist on disks intended for use
</t>
    </r>
    <r>
      <rPr>
        <b/>
        <sz val="12"/>
        <color theme="1"/>
        <rFont val="Arial"/>
        <family val="2"/>
      </rPr>
      <t>Use Management Domain Sizing for sizing based on your chosen options.</t>
    </r>
  </si>
  <si>
    <t>Storage NFS</t>
  </si>
  <si>
    <t>Use Management Domain Sizing for sizing based on your chosen options.</t>
  </si>
  <si>
    <t>Storage FC</t>
  </si>
  <si>
    <t>NICs per server</t>
  </si>
  <si>
    <t>- One 10 GbE NICs
- One 1 GbE BMC NIC</t>
  </si>
  <si>
    <t xml:space="preserve">Single NIC is supported with API Only
25GbE NICs are recommended for vSAN ESA 
</t>
  </si>
  <si>
    <t>Hardware (Workload Domain)</t>
  </si>
  <si>
    <t>Three Supported Servers</t>
  </si>
  <si>
    <t>Refer to the VMware Compatibility Guide at https://www.vmware.com/resources/compatibility/search.php for supported configurations. Note that VMware Cloud Foundation supports three node vSAN clusters in Workload Domains. VMware recommends a minimum of four nodes for production.
Ensure no existing partitions exist on disks intended for use</t>
  </si>
  <si>
    <t>Storage vSAN-OSA (Cache)</t>
  </si>
  <si>
    <t>Storage vSAN-OSA(Capacity)</t>
  </si>
  <si>
    <t xml:space="preserve">Single NIC is supported with API Only
VI Workload Domain: Supports a maximum of 64 x pNICs per host
25GbE NICs are recommended for vSAN ESA </t>
  </si>
  <si>
    <t>Network Requirements</t>
  </si>
  <si>
    <t>Physical Network</t>
  </si>
  <si>
    <t>Jumbo frames</t>
  </si>
  <si>
    <t>Required for the following traffic types:
- vSAN
- vSphere vMotion
- ESX Host Overlay
- NSX Edge Overlay
- NFS</t>
  </si>
  <si>
    <t>BGP adjacency and BGP autonomous system (AS) numbers</t>
  </si>
  <si>
    <t>Required for Dynamic routing in the SDDC</t>
  </si>
  <si>
    <t>Teaming Configurations</t>
  </si>
  <si>
    <t>Use teaming options within vSphere Distributed Switch to provide load-balancing and failover.</t>
  </si>
  <si>
    <t>Multi-path routing</t>
  </si>
  <si>
    <t>Verfiy that Equal-cost multi-path routing (ECMP) is supported on interfaces between NSX Edge uplinks and Top-of Rack Switchs (ToRs)</t>
  </si>
  <si>
    <t>Stretched Network Requirements
(Multiple Availability Zone Environments Only)</t>
  </si>
  <si>
    <t>Verify that routing is in place between ESXI Management IP  subnets of  Availability Zone 1 (AZ1) and Availability Zone 2 (AZ2).
Verify that the following networks from AZ1 are are stretched across the two availability zones.
- VM Management network
- Uplink01 (If NSX Centralized Connectivity is enabled for Management Domain, or Centralized Connectivity is enabled for Workload Domain)
- Uplink02 (If NSX Centralized Connectivity is enabled for Management Domain, or Centralized Connectivity is enabled for Workload Domain)
- Edge Overlay (If NSX Centralized Connectivity is enabled for Management Domain, or Centralized Connectivity is enabled for Workload Domain)</t>
  </si>
  <si>
    <t>VMware Software, Scripts, and Tools</t>
  </si>
  <si>
    <t>Software</t>
  </si>
  <si>
    <t>Download Location</t>
  </si>
  <si>
    <t>Download</t>
  </si>
  <si>
    <t>VMware Cloud Foundation Installer</t>
  </si>
  <si>
    <t>support.broadcom.com</t>
  </si>
  <si>
    <t>VCF-SDDC-Manager-Appliance-9.0.x.0.xxxxxxxx</t>
  </si>
  <si>
    <t>Certificate generation utility for VMware Validated Solutions</t>
  </si>
  <si>
    <t>VMware Knowledge Base article 85527</t>
  </si>
  <si>
    <t>CertGenVVS</t>
  </si>
  <si>
    <t>Use this tool to generate Certificate Signing Request (CSR), OpenSSL CA-signed certificates, and Microsoft CA-signed certificates for all VMware products that are included in the VMware Validated Design.
In the context of VMware Validated Solutions, use the CertGenVVS tool to save time in creating signed certificates.</t>
  </si>
  <si>
    <t>vSAN Witness Appliance</t>
  </si>
  <si>
    <t>VMware-VirtualSAN-Witness-x.x.x-xxxxxxxx.ova</t>
  </si>
  <si>
    <t>You use this when deploying a witness appliance to a different fault domain when adding secodary availability zones.</t>
  </si>
  <si>
    <t>Third Party Software</t>
  </si>
  <si>
    <t>Vendor</t>
  </si>
  <si>
    <t>Product / Version</t>
  </si>
  <si>
    <t xml:space="preserve">Virtual Infrastructure
</t>
  </si>
  <si>
    <t>Any Supported</t>
  </si>
  <si>
    <t>Operating system for VMware vSphere® deployment.</t>
  </si>
  <si>
    <t xml:space="preserve">A host machine in the data center that has access to the ESXi management and VM Management Network. </t>
  </si>
  <si>
    <t>Active Directory</t>
  </si>
  <si>
    <t>Active Directory Element</t>
  </si>
  <si>
    <t>Domain Instance</t>
  </si>
  <si>
    <t>Active Directory Forest Configuration</t>
  </si>
  <si>
    <t>Parent Active Directory</t>
  </si>
  <si>
    <t>Contains Domain Name System (DNS) server, time server, SDDC users,  local and global groups.  Contains DNS records that replicate to all DNS servers in the forest.</t>
  </si>
  <si>
    <t>Active Directory Users and Groups</t>
  </si>
  <si>
    <t>All user accounts and groups from the Active Directory Inputs tab must exist in the Active Directory before installing and configuring the SDDC.</t>
  </si>
  <si>
    <t>Active Directory Connectivity</t>
  </si>
  <si>
    <t>All Active Directory domain controllers must be accessible by all management components within the SDDC.</t>
  </si>
  <si>
    <t>Active Directory Version</t>
  </si>
  <si>
    <t>Windows Server 2019 and Windows Server 2022 are supported.</t>
  </si>
  <si>
    <t>DHCP</t>
  </si>
  <si>
    <t>DHCP Server (Optional)</t>
  </si>
  <si>
    <t>The subnet and associated VLAN that provides IPv4 transport for the ESXi Host Overlay VMkernel ports can be configured for IPv4 address auto-assignment by using DHCP. You will need 1 IP address per NIC, per host available in the DHCP scope e.g a 4 node cluster with 2 NICs per node would require a minimum of 8 IP addresses in the DHCP scope.</t>
  </si>
  <si>
    <t>Entries</t>
  </si>
  <si>
    <t>DNS host entries</t>
  </si>
  <si>
    <t>Parent Instance</t>
  </si>
  <si>
    <t>Contains DNS Entries for Parent Domain</t>
  </si>
  <si>
    <t xml:space="preserve">DNS Entries resides in the parent domain. </t>
  </si>
  <si>
    <t>Child Instances</t>
  </si>
  <si>
    <t>Contain DNS Entries for Respective Child Domains</t>
  </si>
  <si>
    <t xml:space="preserve">Configure both DNS servers with the following settings
- Create PTR and A Records for all FQDNS listed in the Management Domain Creation, Workload Domain Creation and Cluster Creation Tabs 
- FQDNS and IP Address must be unique
- Dynamic updates for the domain set to Nonsecure and secure. 
- Zone replication scope for the domain set to All DNS server in this forest. </t>
  </si>
  <si>
    <t>DNS Configuration</t>
  </si>
  <si>
    <t>All Instances</t>
  </si>
  <si>
    <t>Configure a DNS Canonical Name (CNAME) record that maps the two time sources to one DNS name.</t>
  </si>
  <si>
    <t>Target</t>
  </si>
  <si>
    <t>NTP Sources</t>
  </si>
  <si>
    <t>An NTP source, for Rainpole, must be available and accessible from all nodes of the SDDC.
Use the ToR switches in the Management Workload Domain as the NTP servers or the upstream physical router. These switches must synchronize with different upstream NTP servers and provide time synchronization capabilities in the SDDC. As a best practice, make the NTP servers available under a friendly FQDN, for Rainpole, ntp.sfo.rainpole.io.</t>
  </si>
  <si>
    <t>NTP Configuration</t>
  </si>
  <si>
    <t>ESXi hosts
AD domain controllers
Virtual appliances of the management applications</t>
  </si>
  <si>
    <t>Configure two time sources per instance that are external to the SDDC. These sources can be physical radio or GPS time servers, or even NTP servers running on physical routers or servers. You may share the same time sources across instances if they are part of the same fault domain / location. Different time sources should be used if the instances are in different fault domains / locations. Within DNS, ensure that you have two identical hostnames referencing the individual IP addresses of your time sources, and one CNAME that references the identical hostname. This provides round robin high availablity via a single FQDN which is important when setting NTP on Cross-Instance components. Also consider placing the individual NTP servers on different networks to further improve high availability e.g. 
A Records
ntpserver.sfo.rainpole.io -&gt; 172.16.10.251
ntpserver.sfo.rainpole.io -&gt; 172.16.30.251
CNAME
ntp.sfo.rainpole.io -&gt; ntpserver.sfo.rainpole.io
If desired have two additional A Records for direct management of the NTP servers via FQDN e.g 
A Records
ntp0.sfo.rainpole.io -&gt; 172.16.10.251
ntp1.sfo.rainpole.io -&gt; 172.16.30.251
Ensure that the external time servers are synchronized to different time sources to ensure desirable NTP dispersion.
Ensure that NTP is configured properly in your Microsoft Active Directory Domain.
See https://blogs.technet.microsoft.com/nepapfe/2013/03/01/its-simple-time-configuration-in-active-directory/ and https://blogs.technet.microsoft.com/nepapfe/2013/03/01/its-simple-time-configuration-in-active-directory/</t>
  </si>
  <si>
    <t>SMTP Mail Relay</t>
  </si>
  <si>
    <t>SMTP mail relay</t>
  </si>
  <si>
    <t>A mail relay instance, must be reachable from each SDDC component. As a best practice, limit the relay function to the management IP range(s) of the SDDC deployment.</t>
  </si>
  <si>
    <t>CA must be able to ingest a Certificate Signing Request (CSR) from the SDDC components and issue a signed certificate.
Microsoft CAs must support basic authentication.</t>
  </si>
  <si>
    <t>CA must be able to ingest a Certificate Signing Request (CSR) from the SDDC components and issue a signed certificate.
For this validated design, use the Microsoft Windows Enterprise CA that is available in the Windows Server 2016 operating system of a root domain controller. The domain controller must be configured with the Certificate Authority Service and the Certificate Authority Web Enrollment roles.</t>
  </si>
  <si>
    <t>An SFTP server must be used to provide backups for VMware NSX-T Data Center instances and SDDC Manager which is configured through SDDC Manager.</t>
  </si>
  <si>
    <t>Host Machine Access</t>
  </si>
  <si>
    <t>A virtual machine or physical server must be available to that is permitted to route to
 - ESXi Management networks
 - Internet for software downloads</t>
  </si>
  <si>
    <t xml:space="preserve">         VMware Cloud Foundation Management Domain Deployment using VCF Installer</t>
  </si>
  <si>
    <t>This page contains all user required values used during the deployment of a VMware Cloud Foundation Management Domain. Each table and value maps directly to a process in the deployment guidance documentation.</t>
  </si>
  <si>
    <t>Download Binaries</t>
  </si>
  <si>
    <t>Depot Settings and Binary Management</t>
  </si>
  <si>
    <t>Depot Type</t>
  </si>
  <si>
    <t>Online</t>
  </si>
  <si>
    <t>Offline Depot - Hostname</t>
  </si>
  <si>
    <t>my-offline-depot.rainpole.io</t>
  </si>
  <si>
    <t xml:space="preserve">Offline Depot - Port </t>
  </si>
  <si>
    <t>Download Token</t>
  </si>
  <si>
    <t>rqkOYDQRWJJbO7FIxdMgfgcKFOzPZRg4</t>
  </si>
  <si>
    <t>Enable Proxy Server</t>
  </si>
  <si>
    <t>VCF Fleet</t>
  </si>
  <si>
    <t>HTTPS</t>
  </si>
  <si>
    <t>internet-proxy.rainpole.io</t>
  </si>
  <si>
    <t>VCF Automation</t>
  </si>
  <si>
    <t>Authenticated</t>
  </si>
  <si>
    <t>my_proxy_username@rainpole.io</t>
  </si>
  <si>
    <t>Deploy</t>
  </si>
  <si>
    <t>Deployment Wizard</t>
  </si>
  <si>
    <t>Values are set based on selections made in VCF VVF Planning Tab</t>
  </si>
  <si>
    <t>Existing Components</t>
  </si>
  <si>
    <t>Select the existing components you want to reuse in this VCF fleet</t>
  </si>
  <si>
    <t>VMware vCenter</t>
  </si>
  <si>
    <t>Use an existing vCenter as the management domain vCenter.</t>
  </si>
  <si>
    <t>VMware NSX</t>
  </si>
  <si>
    <t>Minimum 3 Characters</t>
  </si>
  <si>
    <t>Management domain name</t>
  </si>
  <si>
    <t>Advanced: Custom networking for VCF Operations and VCF Automation</t>
  </si>
  <si>
    <t xml:space="preserve">Deployment model </t>
  </si>
  <si>
    <t>High Availability (Three-node)</t>
  </si>
  <si>
    <t>This selection applies to newly deployed appliances of VCF Operations, VCF Automation and NSX Manager.</t>
  </si>
  <si>
    <t>Domain name</t>
  </si>
  <si>
    <t>Auto-generate passwords for newly installed appliances</t>
  </si>
  <si>
    <t>Enter the configuration details for the VCF Operations appliances.</t>
  </si>
  <si>
    <t>Operations Appliance Size</t>
  </si>
  <si>
    <t>Administrator Password</t>
  </si>
  <si>
    <t>Load Balancer FQDN</t>
  </si>
  <si>
    <t>Fleet management appliance</t>
  </si>
  <si>
    <t>Appliance FQDN</t>
  </si>
  <si>
    <t>Use same password as VCF Operations</t>
  </si>
  <si>
    <t xml:space="preserve"> Minimum 15 Characters, 1 Uppercase, 1 Special</t>
  </si>
  <si>
    <t>Enter the configuration details for VCF Automation appliance</t>
  </si>
  <si>
    <t>I want to connect a VCF Automation instance later</t>
  </si>
  <si>
    <t>Node IP 1</t>
  </si>
  <si>
    <t>Node IP 2</t>
  </si>
  <si>
    <t>Node IP 3</t>
  </si>
  <si>
    <t>Node IP 4</t>
  </si>
  <si>
    <t>Node Name Prefix</t>
  </si>
  <si>
    <t>Enter the configuration details for the management domain vCenter.</t>
  </si>
  <si>
    <t>SSO Username</t>
  </si>
  <si>
    <t>Enter configuration details for the NSX Manager to be deployed.</t>
  </si>
  <si>
    <t>Select your desired storage type and fill out the corresponding fields</t>
  </si>
  <si>
    <t>vSAN Architecture</t>
  </si>
  <si>
    <t>Datastore Name</t>
  </si>
  <si>
    <t>Failures to Tolerate</t>
  </si>
  <si>
    <t>Enable vSAN Deduplication and Compression</t>
  </si>
  <si>
    <t>Path to NFS Share</t>
  </si>
  <si>
    <t>NFS Server IP Address</t>
  </si>
  <si>
    <t>NFS Datastore with datastore bound to vmknic</t>
  </si>
  <si>
    <t>Hosts</t>
  </si>
  <si>
    <t>Add Hosts</t>
  </si>
  <si>
    <t xml:space="preserve">Host #1 FQDN </t>
  </si>
  <si>
    <t xml:space="preserve">Host #2 FQDN </t>
  </si>
  <si>
    <t xml:space="preserve">Host #3 FQDN </t>
  </si>
  <si>
    <t xml:space="preserve">Host #4 FQDN </t>
  </si>
  <si>
    <t xml:space="preserve">Host #5 FQDN </t>
  </si>
  <si>
    <t xml:space="preserve">Host #6 FQDN </t>
  </si>
  <si>
    <t xml:space="preserve">Host #7 FQDN </t>
  </si>
  <si>
    <t xml:space="preserve">Host #8 FQDN </t>
  </si>
  <si>
    <t xml:space="preserve">Host #9 FQDN </t>
  </si>
  <si>
    <t xml:space="preserve">Host #10 FQDN </t>
  </si>
  <si>
    <t xml:space="preserve">Host #11 FQDN </t>
  </si>
  <si>
    <t xml:space="preserve">Host #12 FQDN </t>
  </si>
  <si>
    <t xml:space="preserve">Host #13 FQDN </t>
  </si>
  <si>
    <t xml:space="preserve">Host #14 FQDN </t>
  </si>
  <si>
    <t xml:space="preserve">Host #15 FQDN </t>
  </si>
  <si>
    <t xml:space="preserve">Host #16 FQDN </t>
  </si>
  <si>
    <t>Networks</t>
  </si>
  <si>
    <t>Use same inputs from Management Network</t>
  </si>
  <si>
    <t>vMotion IP Address Range - Start</t>
  </si>
  <si>
    <t>vMotion IP Address Range - End</t>
  </si>
  <si>
    <t>vSAN IP Address Range - Start</t>
  </si>
  <si>
    <t>vSAN IP Address Range - End</t>
  </si>
  <si>
    <t>NFS IP Address Range - Start</t>
  </si>
  <si>
    <t>NFS IP Address Range - End</t>
  </si>
  <si>
    <t>Provide the vSphere Distributed Switch configuration to be applied to the hosts in the cluster.</t>
  </si>
  <si>
    <t>Primary Distributed Switch</t>
  </si>
  <si>
    <t>Distributed Switch Name</t>
  </si>
  <si>
    <t>vmnic2</t>
  </si>
  <si>
    <t>vmnic3</t>
  </si>
  <si>
    <t>vmnic4</t>
  </si>
  <si>
    <t>vmnic5</t>
  </si>
  <si>
    <t>Network Traffic: ESX Management Network</t>
  </si>
  <si>
    <t>Network Traffic: vSAN</t>
  </si>
  <si>
    <t>Network Traffic: NFS</t>
  </si>
  <si>
    <t xml:space="preserve">Leaving this as selected enables Enhanced Datapath Standard by default. </t>
  </si>
  <si>
    <t>Operational Mode</t>
  </si>
  <si>
    <t>Enhanced Datapath Standard</t>
  </si>
  <si>
    <t>Route Based on the Source of the Port ID</t>
  </si>
  <si>
    <t>IP Pool</t>
  </si>
  <si>
    <t>Enter the configuration details for the SDDC Manager appliance.</t>
  </si>
  <si>
    <t xml:space="preserve">VCF Installer deployed location </t>
  </si>
  <si>
    <t>Deployed on one of the hosts in the management domain</t>
  </si>
  <si>
    <t>VCF Password</t>
  </si>
  <si>
    <t xml:space="preserve">VCF MGMT Domain FQDN and IP Addresses </t>
  </si>
  <si>
    <t xml:space="preserve">Use this additional table to capture IP addressed required for each appliance being deployed </t>
  </si>
  <si>
    <t xml:space="preserve">VCF Fleet Management </t>
  </si>
  <si>
    <t xml:space="preserve">VCF Operations </t>
  </si>
  <si>
    <t>vCenter | VCF installer | SDDC Manager</t>
  </si>
  <si>
    <t xml:space="preserve">Possible Advanced Settings  </t>
  </si>
  <si>
    <t>FIPS</t>
  </si>
  <si>
    <t xml:space="preserve">        VMware Cloud Foundation Management Domain Sizing Inputs</t>
  </si>
  <si>
    <t>Management Domain Assumptions</t>
  </si>
  <si>
    <t>Management Domain Virtual Machine Requirement Summary</t>
  </si>
  <si>
    <t>Host Requirement Summary</t>
  </si>
  <si>
    <t>Component</t>
  </si>
  <si>
    <t>Nodes</t>
  </si>
  <si>
    <t>vCPU</t>
  </si>
  <si>
    <t>RAM (GB)</t>
  </si>
  <si>
    <t>Disk (GB)</t>
  </si>
  <si>
    <t>Management Hosts</t>
  </si>
  <si>
    <r>
      <rPr>
        <b/>
        <sz val="12"/>
        <color theme="1"/>
        <rFont val="Arial"/>
        <family val="2"/>
      </rPr>
      <t>General Guidance</t>
    </r>
    <r>
      <rPr>
        <sz val="12"/>
        <color theme="1"/>
        <rFont val="Arial"/>
        <family val="2"/>
      </rPr>
      <t xml:space="preserve">
• Configure the Assumptions and Host parameters according to your preference. Set VCF Operations and Automation Deployment models and Sizes according to your requirements. Include Identity Broker if you plan to configure VCF Authentication using the Identity Broker appliance.
• The over-subscription ratio maximums of 2:1 are designed to ensure a performant management domain for most deployments. Regardless of the ratios you choose, you should monitor the platform continuously and add hardware if consistent performance bottlenecks are observed
• Appliance sizes are listed per appliance. Totals are calculated in the requirements summary table 
• vSAN and Non-vSAN storage Space capacity requirements are both listed as VCF 9.0 Supports Non-vSAN Storage in the Management Domain
</t>
    </r>
    <r>
      <rPr>
        <b/>
        <sz val="12"/>
        <color theme="1"/>
        <rFont val="Arial"/>
        <family val="2"/>
      </rPr>
      <t>vSphere and NSX Sizing</t>
    </r>
    <r>
      <rPr>
        <sz val="12"/>
        <color theme="1"/>
        <rFont val="Arial"/>
        <family val="2"/>
      </rPr>
      <t xml:space="preserve">
• As each workload domain requires additional vSphere and, optionally, NSX components to be deployed, this tab allows you to correctly calculate the requirements for your management domain by selecting the intended number and profile of workload domains you plan to deploy.
• This workbook allows for gathering inputs for the management domain and the first workload domain only (w01). To gather inputs for subsequent workload domains (w02 through w24), you should use separate copies of this file for each domain.
• The management domain is mandatory and cannot be deselected. Its NSX Manager instance is required and dedicated. 
• The NSX instance for the first workload domain is mandatory, subsequent workload domains may share this instance or deploy a dedicated instance.
• A maximum of four NSX Local Manager instances may be federated by a single NSX Global Manager instance. This includes inter-region and intra-region NSX Local Manager instances. Factor in this maximum when deciding whether to include Global Manager resources for a new workload domain.
</t>
    </r>
    <r>
      <rPr>
        <b/>
        <sz val="12"/>
        <color theme="1"/>
        <rFont val="Arial"/>
        <family val="2"/>
      </rPr>
      <t>VCF Operations and Automation Sizing</t>
    </r>
    <r>
      <rPr>
        <sz val="12"/>
        <color theme="1"/>
        <rFont val="Arial"/>
        <family val="2"/>
      </rPr>
      <t xml:space="preserve">
• If VCF Operations is already existing, then sizing input is not required for VCF Operations and VCF Automation
• Appliance Deployment Model sets the HA deployment model for VCF Operations and VCF Automation
</t>
    </r>
    <r>
      <rPr>
        <b/>
        <sz val="12"/>
        <color theme="1"/>
        <rFont val="Arial"/>
        <family val="2"/>
      </rPr>
      <t>Security Service Platform:
SSPI</t>
    </r>
    <r>
      <rPr>
        <sz val="12"/>
        <color theme="1"/>
        <rFont val="Arial"/>
        <family val="2"/>
      </rPr>
      <t xml:space="preserve"> = Security Services Platform Installer; </t>
    </r>
    <r>
      <rPr>
        <b/>
        <sz val="12"/>
        <color theme="1"/>
        <rFont val="Arial"/>
        <family val="2"/>
      </rPr>
      <t>SSP</t>
    </r>
    <r>
      <rPr>
        <sz val="12"/>
        <color theme="1"/>
        <rFont val="Arial"/>
        <family val="2"/>
      </rPr>
      <t xml:space="preserve"> = Security Services Platform 
</t>
    </r>
    <r>
      <rPr>
        <b/>
        <sz val="12"/>
        <color theme="1"/>
        <rFont val="Arial"/>
        <family val="2"/>
      </rPr>
      <t>Medium</t>
    </r>
    <r>
      <rPr>
        <sz val="12"/>
        <color theme="1"/>
        <rFont val="Arial"/>
        <family val="2"/>
      </rPr>
      <t xml:space="preserve">  = 1 SSPI + 3 SSP Controller Nodes + 5 SSP Worker Nodes; 
</t>
    </r>
    <r>
      <rPr>
        <b/>
        <sz val="12"/>
        <color theme="1"/>
        <rFont val="Arial"/>
        <family val="2"/>
      </rPr>
      <t>Large</t>
    </r>
    <r>
      <rPr>
        <sz val="12"/>
        <color theme="1"/>
        <rFont val="Arial"/>
        <family val="2"/>
      </rPr>
      <t xml:space="preserve"> = 1 SSPI + 3 SSP Controller Nodes + 8 SSP Worker Node; 
</t>
    </r>
    <r>
      <rPr>
        <b/>
        <sz val="12"/>
        <color theme="1"/>
        <rFont val="Arial"/>
        <family val="2"/>
      </rPr>
      <t>X-Large</t>
    </r>
    <r>
      <rPr>
        <sz val="12"/>
        <color theme="1"/>
        <rFont val="Arial"/>
        <family val="2"/>
      </rPr>
      <t xml:space="preserve"> = 1 SSPI + 3 SSP Controller Nodes + 10 SSP Worker Nodes</t>
    </r>
  </si>
  <si>
    <t>Host and Operations Reserve (%)</t>
  </si>
  <si>
    <t>Hosts count based on User Specification</t>
  </si>
  <si>
    <t>Storage Estimated Growth (%)</t>
  </si>
  <si>
    <t>Management Domain vSphere Cluster Services</t>
  </si>
  <si>
    <t>CPU usage Per Host (based on N-1 hosts)</t>
  </si>
  <si>
    <t>Management Domain vCenter Server</t>
  </si>
  <si>
    <t>RAM usage Per Host (based on N-1 hosts)</t>
  </si>
  <si>
    <t xml:space="preserve">Management Domain Host Parameters </t>
  </si>
  <si>
    <t>Management Domain NSX Managers (Local  Global)</t>
  </si>
  <si>
    <t>Attribute</t>
  </si>
  <si>
    <t>Management Domain NSX Edges</t>
  </si>
  <si>
    <t>vSAN Storage Requirements if used as Primary Storage</t>
  </si>
  <si>
    <t>CPU Cores</t>
  </si>
  <si>
    <t>Management Domain AVI Load Balancer</t>
  </si>
  <si>
    <t>vSAN Storage Type</t>
  </si>
  <si>
    <t>FC</t>
  </si>
  <si>
    <t>RAM Count (GB)</t>
  </si>
  <si>
    <t>Management Workload Security Services Platform</t>
  </si>
  <si>
    <t>GB</t>
  </si>
  <si>
    <t>CPU Oversubscription (X:1)</t>
  </si>
  <si>
    <t>Workload Domain vCenter Servers</t>
  </si>
  <si>
    <t>Virtual Machine Capacity Requirements</t>
  </si>
  <si>
    <t>Memory Oversubscription (X:1)</t>
  </si>
  <si>
    <t>Workload Domain NSX Managers (Local  Global)</t>
  </si>
  <si>
    <t>Swap File Requirements</t>
  </si>
  <si>
    <t>Workload Domain AVI Load Balancer</t>
  </si>
  <si>
    <t>Interim Total  (VM Capacity + Swap File)</t>
  </si>
  <si>
    <t xml:space="preserve">VCF Operations and Automation </t>
  </si>
  <si>
    <t>Workload Domain Security Services Platform</t>
  </si>
  <si>
    <t>Allow for Redundancy based on FTT1</t>
  </si>
  <si>
    <t>Conponent</t>
  </si>
  <si>
    <t>VMware Cloud Foundation Operations fleet management</t>
  </si>
  <si>
    <t>Allow for Host Rebuild and Operations Reserve</t>
  </si>
  <si>
    <t>Appliance Deployment Model</t>
  </si>
  <si>
    <t>Deploy HA</t>
  </si>
  <si>
    <t>VMware Cloud Foundation Operations</t>
  </si>
  <si>
    <t>Allow for Estimated Growth</t>
  </si>
  <si>
    <t>VMware Cloud Foundation Operations collector</t>
  </si>
  <si>
    <t>Storage per Host (based on N-1 hosts)</t>
  </si>
  <si>
    <t>VCF Operations collector</t>
  </si>
  <si>
    <t>VMware Cloud Foundation Automation</t>
  </si>
  <si>
    <t xml:space="preserve">VMware Cloud Foundation Operations for logs </t>
  </si>
  <si>
    <t>VCF Operations for logs</t>
  </si>
  <si>
    <t>VMware Cloud Foundation Operations for networks</t>
  </si>
  <si>
    <t>VCF Operations for networks</t>
  </si>
  <si>
    <t>VMware Cloud Foundation Operations for networks collector</t>
  </si>
  <si>
    <t>VCF Operations for networks collector</t>
  </si>
  <si>
    <t>Identity Broker</t>
  </si>
  <si>
    <t>Validated Solution Requirements</t>
  </si>
  <si>
    <t>Totals</t>
  </si>
  <si>
    <t>Select</t>
  </si>
  <si>
    <t>vCenter               CPUs : RAM</t>
  </si>
  <si>
    <t>vCenter         Disk</t>
  </si>
  <si>
    <t>NSX Model</t>
  </si>
  <si>
    <t>NSX LM                           CPU : RAM : Disk</t>
  </si>
  <si>
    <t>NSX Edge                     CPU : RAM : Disk</t>
  </si>
  <si>
    <t>NSX GM                   CPU : RAM : Disk</t>
  </si>
  <si>
    <t>Avi LB                 CPU : RAM : Disk</t>
  </si>
  <si>
    <t>Security Services Platform             CPU : RAM : Disk</t>
  </si>
  <si>
    <t>m01</t>
  </si>
  <si>
    <t>Included</t>
  </si>
  <si>
    <t>Mandatory - HA Cluster</t>
  </si>
  <si>
    <t>Workload Domains</t>
  </si>
  <si>
    <t>vCenter                CPUs : RAM</t>
  </si>
  <si>
    <t>vCenter          Disk</t>
  </si>
  <si>
    <t>NSX LM                 CPU : RAM : Disk</t>
  </si>
  <si>
    <t>Federation</t>
  </si>
  <si>
    <t>NSX GM                  CPU : RAM : Disk</t>
  </si>
  <si>
    <t>Site Protection DR                   CPU : RAM : Disk</t>
  </si>
  <si>
    <t>SSP                       CPU : RAM : Disk</t>
  </si>
  <si>
    <t>w01</t>
  </si>
  <si>
    <t>w02</t>
  </si>
  <si>
    <t>w03</t>
  </si>
  <si>
    <t>w04</t>
  </si>
  <si>
    <t>w05</t>
  </si>
  <si>
    <t>w06</t>
  </si>
  <si>
    <t>w07</t>
  </si>
  <si>
    <t>w08</t>
  </si>
  <si>
    <t>w09</t>
  </si>
  <si>
    <t>w10</t>
  </si>
  <si>
    <t>w11</t>
  </si>
  <si>
    <t>w12</t>
  </si>
  <si>
    <t>w13</t>
  </si>
  <si>
    <t>w14</t>
  </si>
  <si>
    <t>w15</t>
  </si>
  <si>
    <t>w16</t>
  </si>
  <si>
    <t>w17</t>
  </si>
  <si>
    <t>w18</t>
  </si>
  <si>
    <t>w19</t>
  </si>
  <si>
    <t>w20</t>
  </si>
  <si>
    <t>w21</t>
  </si>
  <si>
    <t>w22</t>
  </si>
  <si>
    <t>w23</t>
  </si>
  <si>
    <t>w24</t>
  </si>
  <si>
    <t>Validated Solutions: Deployment</t>
  </si>
  <si>
    <t>Site Protection and Disaster Recovery for VMware Cloud Foundation</t>
  </si>
  <si>
    <t>On Premise Ransomware Recovery for VMware Cloud Foundation</t>
  </si>
  <si>
    <t>Cloud-Based Ransomware Recovery for VMware Cloud Foundation</t>
  </si>
  <si>
    <t>Cross Cloud Mobility for VMware Cloud Foundation</t>
  </si>
  <si>
    <t>VMware Validated Solutions Sizing Details</t>
  </si>
  <si>
    <t xml:space="preserve">Memory </t>
  </si>
  <si>
    <t>Storage (GB)</t>
  </si>
  <si>
    <t>VMware Live Recovery Appliance Size MGMT Domain</t>
  </si>
  <si>
    <t>No sizing optionality for the appliance</t>
  </si>
  <si>
    <t>VMware Live Recovery Appliance Size VI Workload Domain</t>
  </si>
  <si>
    <t xml:space="preserve">On Premise Ransomware Recovery </t>
  </si>
  <si>
    <t>VMware Live Recovery Appliance Size</t>
  </si>
  <si>
    <t xml:space="preserve">Cloud-Based Ransomware Recovery </t>
  </si>
  <si>
    <t>VMware Live Cyber Recovery Connector Appliance Size</t>
  </si>
  <si>
    <t>Cross Cloud Mobility  for VMware Cloud Foundation</t>
  </si>
  <si>
    <t>HCX Connector Appliance Size</t>
  </si>
  <si>
    <t>9.0.2.0</t>
  </si>
  <si>
    <t>v1.9.0.008</t>
  </si>
  <si>
    <t>Feb-20-2026</t>
  </si>
  <si>
    <t>- Corrected Issue with appliance size for Site Protection and Disaster Recovery  
- Added Support for additonal sizing options for VCF Operations for Networks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</si>
</sst>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2"/>
      <color theme="1"/>
      <name val="Calibri"/>
      <family val="2"/>
      <scheme val="minor"/>
    </font>
    <font>
      <sz val="12"/>
      <color theme="1"/>
      <name val="Calibri"/>
      <family val="2"/>
      <scheme val="minor"/>
    </font>
    <font>
      <sz val="12"/>
      <color theme="0"/>
      <name val="Calibri"/>
      <family val="2"/>
      <scheme val="minor"/>
    </font>
    <font>
      <sz val="11"/>
      <color theme="1"/>
      <name val="Calibri"/>
      <family val="2"/>
      <scheme val="minor"/>
    </font>
    <font>
      <b/>
      <sz val="12"/>
      <color theme="1"/>
      <name val="Helvetica"/>
      <family val="2"/>
    </font>
    <font>
      <u/>
      <sz val="10"/>
      <color indexed="12"/>
      <name val="Verdana"/>
      <family val="2"/>
    </font>
    <font>
      <u/>
      <sz val="12"/>
      <color theme="10"/>
      <name val="Calibri"/>
      <family val="2"/>
      <scheme val="minor"/>
    </font>
    <font>
      <sz val="12"/>
      <color rgb="FF006100"/>
      <name val="Calibri"/>
      <family val="2"/>
      <scheme val="minor"/>
    </font>
    <font>
      <sz val="12"/>
      <color theme="1"/>
      <name val="Arial"/>
      <family val="2"/>
    </font>
    <font>
      <sz val="12"/>
      <color rgb="FF000000"/>
      <name val="Arial"/>
      <family val="2"/>
    </font>
    <font>
      <b/>
      <sz val="12"/>
      <color theme="0"/>
      <name val="Arial"/>
      <family val="2"/>
    </font>
    <font>
      <b/>
      <sz val="12"/>
      <color theme="1"/>
      <name val="Arial"/>
      <family val="2"/>
    </font>
    <font>
      <b/>
      <sz val="12"/>
      <color rgb="FFFF0000"/>
      <name val="Arial"/>
      <family val="2"/>
    </font>
    <font>
      <sz val="12"/>
      <color theme="0"/>
      <name val="Arial"/>
      <family val="2"/>
    </font>
    <font>
      <b/>
      <sz val="24"/>
      <color theme="0"/>
      <name val="Arial"/>
      <family val="2"/>
    </font>
    <font>
      <b/>
      <sz val="12"/>
      <color rgb="FF000000"/>
      <name val="Arial"/>
      <family val="2"/>
    </font>
    <font>
      <b/>
      <sz val="12"/>
      <color rgb="FF002439"/>
      <name val="Arial"/>
      <family val="2"/>
    </font>
    <font>
      <sz val="12"/>
      <color rgb="FFFF0000"/>
      <name val="Arial"/>
      <family val="2"/>
    </font>
    <font>
      <sz val="12"/>
      <color rgb="FF006100"/>
      <name val="Arial"/>
      <family val="2"/>
    </font>
    <font>
      <b/>
      <sz val="12"/>
      <color rgb="FFFFFFFF"/>
      <name val="Arial"/>
      <family val="2"/>
    </font>
    <font>
      <b/>
      <sz val="14"/>
      <color theme="0"/>
      <name val="Arial"/>
      <family val="2"/>
    </font>
    <font>
      <b/>
      <sz val="12"/>
      <color rgb="FF808080"/>
      <name val="Arial"/>
      <family val="2"/>
    </font>
    <font>
      <u/>
      <sz val="12"/>
      <color theme="10"/>
      <name val="Arial"/>
      <family val="2"/>
    </font>
    <font>
      <sz val="11.5"/>
      <color theme="1"/>
      <name val="Arial"/>
      <family val="2"/>
    </font>
    <font>
      <sz val="12"/>
      <color rgb="FF505E69"/>
      <name val="Arial"/>
      <family val="2"/>
    </font>
    <font>
      <sz val="11"/>
      <color theme="1"/>
      <name val="Arial"/>
      <family val="2"/>
    </font>
    <font>
      <b/>
      <sz val="12"/>
      <name val="Arial"/>
      <family val="2"/>
    </font>
    <font>
      <sz val="12"/>
      <color rgb="FF4F5F69"/>
      <name val="Arial"/>
      <family val="2"/>
    </font>
    <font>
      <b/>
      <sz val="28"/>
      <color theme="0"/>
      <name val="Arial"/>
      <family val="2"/>
    </font>
    <font>
      <sz val="14"/>
      <color theme="1"/>
      <name val="Arial"/>
      <family val="2"/>
    </font>
    <font>
      <u/>
      <sz val="12"/>
      <color theme="1"/>
      <name val="Arial"/>
      <family val="2"/>
    </font>
    <font>
      <b/>
      <sz val="26"/>
      <color theme="0"/>
      <name val="Arial"/>
      <family val="2"/>
    </font>
    <font>
      <b/>
      <sz val="13"/>
      <color theme="0"/>
      <name val="Arial"/>
      <family val="2"/>
    </font>
    <font>
      <b/>
      <sz val="24"/>
      <color theme="1"/>
      <name val="Arial"/>
      <family val="2"/>
    </font>
    <font>
      <u/>
      <sz val="12"/>
      <color theme="0"/>
      <name val="Arial"/>
      <family val="2"/>
    </font>
    <font>
      <sz val="12"/>
      <color rgb="FFFFFFFF"/>
      <name val="Arial"/>
      <family val="2"/>
    </font>
    <font>
      <i/>
      <sz val="12"/>
      <color theme="1"/>
      <name val="Arial"/>
      <family val="2"/>
    </font>
    <font>
      <sz val="12"/>
      <name val="Arial"/>
      <family val="2"/>
    </font>
    <font>
      <b/>
      <sz val="14"/>
      <color rgb="FFFFFFFF"/>
      <name val="Arial"/>
      <family val="2"/>
    </font>
    <font>
      <sz val="12"/>
      <color rgb="FF506069"/>
      <name val="Arial"/>
      <family val="2"/>
    </font>
    <font>
      <sz val="12"/>
      <color rgb="FF9CDCFE"/>
      <name val="Arial"/>
      <family val="2"/>
    </font>
    <font>
      <sz val="12"/>
      <color rgb="FF9C0006"/>
      <name val="Arial"/>
      <family val="2"/>
    </font>
    <font>
      <sz val="12"/>
      <color theme="9" tint="-0.249977111117893"/>
      <name val="Arial"/>
      <family val="2"/>
    </font>
    <font>
      <b/>
      <sz val="18"/>
      <color theme="0"/>
      <name val="Arial"/>
      <family val="2"/>
    </font>
    <font>
      <b/>
      <u/>
      <sz val="12"/>
      <color theme="0"/>
      <name val="Arial"/>
      <family val="2"/>
    </font>
    <font>
      <b/>
      <sz val="20"/>
      <color theme="0"/>
      <name val="Arial"/>
      <family val="2"/>
    </font>
    <font>
      <b/>
      <sz val="26"/>
      <color rgb="FFFFFFFF"/>
      <name val="Arial"/>
      <family val="2"/>
    </font>
    <font>
      <b/>
      <u/>
      <sz val="14"/>
      <color theme="0"/>
      <name val="Arial"/>
      <family val="2"/>
    </font>
    <font>
      <b/>
      <u/>
      <sz val="14"/>
      <color theme="10"/>
      <name val="Arial"/>
      <family val="2"/>
    </font>
    <font>
      <sz val="12"/>
      <color theme="9"/>
      <name val="Arial"/>
      <family val="2"/>
    </font>
    <font>
      <b/>
      <sz val="11"/>
      <color theme="1"/>
      <name val="Arial"/>
      <family val="2"/>
    </font>
    <font>
      <sz val="12"/>
      <color rgb="FF0E223A"/>
      <name val="Arial"/>
      <family val="2"/>
    </font>
    <font>
      <b/>
      <sz val="24"/>
      <color rgb="FFFFFFFF"/>
      <name val="Arial"/>
      <family val="2"/>
    </font>
    <font>
      <b/>
      <sz val="12"/>
      <color rgb="FF000000"/>
      <name val="Helvetica"/>
      <family val="2"/>
    </font>
    <font>
      <b/>
      <sz val="12"/>
      <color rgb="FF0E223A"/>
      <name val="Arial"/>
      <family val="2"/>
    </font>
    <font>
      <sz val="14"/>
      <color theme="0"/>
      <name val="Arial"/>
      <family val="2"/>
    </font>
    <font>
      <sz val="12"/>
      <color rgb="FF000000"/>
      <name val="Calibri"/>
      <family val="2"/>
      <scheme val="minor"/>
    </font>
    <font>
      <i/>
      <sz val="12"/>
      <color rgb="FF000000"/>
      <name val="Arial"/>
      <family val="2"/>
    </font>
    <font>
      <sz val="12"/>
      <color theme="1"/>
      <name val="Helvetica"/>
      <family val="2"/>
    </font>
  </fonts>
  <fills count="56">
    <fill>
      <patternFill patternType="none"/>
    </fill>
    <fill>
      <patternFill patternType="gray125"/>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rgb="FF9BC2E6"/>
        <bgColor rgb="FF000000"/>
      </patternFill>
    </fill>
    <fill>
      <patternFill patternType="solid">
        <fgColor theme="0" tint="-0.249977111117893"/>
        <bgColor indexed="64"/>
      </patternFill>
    </fill>
    <fill>
      <patternFill patternType="solid">
        <fgColor theme="9" tint="-0.249977111117893"/>
        <bgColor indexed="64"/>
      </patternFill>
    </fill>
    <fill>
      <patternFill patternType="solid">
        <fgColor theme="1" tint="0.34998626667073579"/>
        <bgColor indexed="64"/>
      </patternFill>
    </fill>
    <fill>
      <patternFill patternType="solid">
        <fgColor rgb="FF595959"/>
        <bgColor rgb="FF000000"/>
      </patternFill>
    </fill>
    <fill>
      <patternFill patternType="solid">
        <fgColor theme="1" tint="0.499984740745262"/>
        <bgColor indexed="64"/>
      </patternFill>
    </fill>
    <fill>
      <patternFill patternType="solid">
        <fgColor theme="7" tint="0.79998168889431442"/>
        <bgColor indexed="64"/>
      </patternFill>
    </fill>
    <fill>
      <patternFill patternType="solid">
        <fgColor rgb="FFC6EFCE"/>
      </patternFill>
    </fill>
    <fill>
      <patternFill patternType="solid">
        <fgColor theme="8"/>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C7CE"/>
        <bgColor rgb="FF000000"/>
      </patternFill>
    </fill>
    <fill>
      <patternFill patternType="solid">
        <fgColor rgb="FFFFFF00"/>
        <bgColor indexed="64"/>
      </patternFill>
    </fill>
    <fill>
      <patternFill patternType="solid">
        <fgColor theme="0"/>
        <bgColor indexed="64"/>
      </patternFill>
    </fill>
    <fill>
      <patternFill patternType="solid">
        <fgColor theme="0"/>
        <bgColor rgb="FF000000"/>
      </patternFill>
    </fill>
    <fill>
      <patternFill patternType="solid">
        <fgColor rgb="FFFFFFFF"/>
        <bgColor rgb="FF000000"/>
      </patternFill>
    </fill>
    <fill>
      <patternFill patternType="solid">
        <fgColor rgb="FFC6EFCE"/>
        <bgColor rgb="FF000000"/>
      </patternFill>
    </fill>
    <fill>
      <patternFill patternType="solid">
        <fgColor rgb="FF9BC2E6"/>
      </patternFill>
    </fill>
    <fill>
      <patternFill patternType="solid">
        <fgColor rgb="FFF8CBAD"/>
        <bgColor indexed="64"/>
      </patternFill>
    </fill>
    <fill>
      <patternFill patternType="solid">
        <fgColor rgb="FF808080"/>
        <bgColor rgb="FF000000"/>
      </patternFill>
    </fill>
    <fill>
      <patternFill patternType="solid">
        <fgColor rgb="FF808080"/>
        <bgColor indexed="64"/>
      </patternFill>
    </fill>
    <fill>
      <patternFill patternType="solid">
        <fgColor theme="0" tint="-4.9989318521683403E-2"/>
        <bgColor indexed="64"/>
      </patternFill>
    </fill>
    <fill>
      <patternFill patternType="solid">
        <fgColor rgb="FFEFFDE3"/>
        <bgColor indexed="64"/>
      </patternFill>
    </fill>
    <fill>
      <patternFill patternType="solid">
        <fgColor rgb="FFE5F7FF"/>
        <bgColor indexed="64"/>
      </patternFill>
    </fill>
    <fill>
      <patternFill patternType="solid">
        <fgColor rgb="FF0E223A"/>
        <bgColor indexed="64"/>
      </patternFill>
    </fill>
    <fill>
      <patternFill patternType="solid">
        <fgColor rgb="FF506069"/>
        <bgColor indexed="64"/>
      </patternFill>
    </fill>
    <fill>
      <patternFill patternType="solid">
        <fgColor rgb="FFF2F7F9"/>
        <bgColor indexed="64"/>
      </patternFill>
    </fill>
    <fill>
      <patternFill patternType="solid">
        <fgColor rgb="FFC65600"/>
        <bgColor indexed="64"/>
      </patternFill>
    </fill>
    <fill>
      <patternFill patternType="solid">
        <fgColor rgb="FF002439"/>
        <bgColor indexed="64"/>
      </patternFill>
    </fill>
    <fill>
      <patternFill patternType="solid">
        <fgColor rgb="FFE5F7FF"/>
      </patternFill>
    </fill>
    <fill>
      <patternFill patternType="solid">
        <fgColor rgb="FFE5F7FF"/>
        <bgColor rgb="FF000000"/>
      </patternFill>
    </fill>
    <fill>
      <patternFill patternType="solid">
        <fgColor rgb="FFF2F7F9"/>
        <bgColor rgb="FF000000"/>
      </patternFill>
    </fill>
    <fill>
      <patternFill patternType="solid">
        <fgColor rgb="FF4F5F69"/>
        <bgColor indexed="64"/>
      </patternFill>
    </fill>
    <fill>
      <patternFill patternType="solid">
        <fgColor rgb="FF0E223A"/>
        <bgColor rgb="FF000000"/>
      </patternFill>
    </fill>
    <fill>
      <patternFill patternType="solid">
        <fgColor rgb="FFE5F8FF"/>
        <bgColor indexed="64"/>
      </patternFill>
    </fill>
    <fill>
      <patternFill patternType="solid">
        <fgColor rgb="FFF2F8F9"/>
        <bgColor indexed="64"/>
      </patternFill>
    </fill>
    <fill>
      <patternFill patternType="solid">
        <fgColor rgb="FF505E69"/>
        <bgColor indexed="64"/>
      </patternFill>
    </fill>
    <fill>
      <patternFill patternType="solid">
        <fgColor rgb="FFEFFDE3"/>
        <bgColor rgb="FF000000"/>
      </patternFill>
    </fill>
    <fill>
      <patternFill patternType="solid">
        <fgColor rgb="FFF2F8F9"/>
        <bgColor rgb="FF000000"/>
      </patternFill>
    </fill>
    <fill>
      <patternFill patternType="solid">
        <fgColor rgb="FFF9CBAD"/>
        <bgColor rgb="FF000000"/>
      </patternFill>
    </fill>
    <fill>
      <patternFill patternType="solid">
        <fgColor rgb="FF454545"/>
        <bgColor indexed="64"/>
      </patternFill>
    </fill>
    <fill>
      <patternFill patternType="solid">
        <fgColor rgb="FF0E223A"/>
      </patternFill>
    </fill>
    <fill>
      <patternFill patternType="solid">
        <fgColor rgb="FF595959"/>
        <bgColor indexed="64"/>
      </patternFill>
    </fill>
    <fill>
      <patternFill patternType="solid">
        <fgColor rgb="FF505F69"/>
        <bgColor indexed="64"/>
      </patternFill>
    </fill>
    <fill>
      <patternFill patternType="solid">
        <fgColor rgb="FFFFBE29"/>
        <bgColor indexed="64"/>
      </patternFill>
    </fill>
    <fill>
      <patternFill patternType="solid">
        <fgColor rgb="FF808080"/>
      </patternFill>
    </fill>
    <fill>
      <patternFill patternType="solid">
        <fgColor rgb="FF506069"/>
        <bgColor rgb="FF000000"/>
      </patternFill>
    </fill>
    <fill>
      <patternFill patternType="solid">
        <fgColor rgb="FFF8CBAD"/>
        <bgColor rgb="FF000000"/>
      </patternFill>
    </fill>
    <fill>
      <patternFill patternType="solid">
        <fgColor rgb="FFA6A6A6"/>
        <bgColor rgb="FF000000"/>
      </patternFill>
    </fill>
    <fill>
      <patternFill patternType="solid">
        <fgColor rgb="FFEFFEE3"/>
        <bgColor indexed="64"/>
      </patternFill>
    </fill>
    <fill>
      <patternFill patternType="solid">
        <fgColor rgb="FFFFBD29"/>
        <bgColor rgb="FF000000"/>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70A8"/>
      </left>
      <right style="thin">
        <color rgb="FF0070A8"/>
      </right>
      <top style="thin">
        <color rgb="FF0070A8"/>
      </top>
      <bottom style="thin">
        <color rgb="FF0070A8"/>
      </bottom>
      <diagonal/>
    </border>
    <border>
      <left style="thick">
        <color theme="5" tint="-0.249977111117893"/>
      </left>
      <right/>
      <top/>
      <bottom/>
      <diagonal/>
    </border>
    <border>
      <left/>
      <right style="thick">
        <color theme="5" tint="-0.249977111117893"/>
      </right>
      <top/>
      <bottom/>
      <diagonal/>
    </border>
    <border>
      <left/>
      <right/>
      <top/>
      <bottom style="thick">
        <color theme="9" tint="-0.249977111117893"/>
      </bottom>
      <diagonal/>
    </border>
    <border>
      <left style="thick">
        <color theme="9" tint="-0.249977111117893"/>
      </left>
      <right/>
      <top/>
      <bottom/>
      <diagonal/>
    </border>
    <border>
      <left/>
      <right style="thick">
        <color theme="9" tint="-0.249977111117893"/>
      </right>
      <top/>
      <bottom/>
      <diagonal/>
    </border>
    <border>
      <left style="thick">
        <color theme="9" tint="-0.249977111117893"/>
      </left>
      <right/>
      <top/>
      <bottom style="thick">
        <color theme="9" tint="-0.249977111117893"/>
      </bottom>
      <diagonal/>
    </border>
    <border>
      <left/>
      <right style="thick">
        <color theme="9" tint="-0.249977111117893"/>
      </right>
      <top/>
      <bottom style="thick">
        <color theme="9" tint="-0.249977111117893"/>
      </bottom>
      <diagonal/>
    </border>
    <border>
      <left style="thick">
        <color theme="5" tint="-0.249977111117893"/>
      </left>
      <right/>
      <top/>
      <bottom style="thick">
        <color theme="5" tint="-0.249977111117893"/>
      </bottom>
      <diagonal/>
    </border>
    <border>
      <left/>
      <right/>
      <top/>
      <bottom style="thick">
        <color theme="5" tint="-0.249977111117893"/>
      </bottom>
      <diagonal/>
    </border>
    <border>
      <left/>
      <right style="thick">
        <color theme="5" tint="-0.249977111117893"/>
      </right>
      <top/>
      <bottom style="thick">
        <color theme="5" tint="-0.249977111117893"/>
      </bottom>
      <diagonal/>
    </border>
    <border>
      <left/>
      <right style="thick">
        <color rgb="FF0070A8"/>
      </right>
      <top/>
      <bottom/>
      <diagonal/>
    </border>
    <border>
      <left/>
      <right/>
      <top/>
      <bottom style="thick">
        <color rgb="FF0070A8"/>
      </bottom>
      <diagonal/>
    </border>
    <border>
      <left/>
      <right style="thick">
        <color rgb="FF0070A8"/>
      </right>
      <top style="thick">
        <color rgb="FF0070A8"/>
      </top>
      <bottom style="thick">
        <color rgb="FF0070A8"/>
      </bottom>
      <diagonal/>
    </border>
    <border>
      <left/>
      <right style="thick">
        <color rgb="FF0070A8"/>
      </right>
      <top style="thick">
        <color rgb="FF0070A8"/>
      </top>
      <bottom/>
      <diagonal/>
    </border>
    <border>
      <left/>
      <right style="thick">
        <color rgb="FF0070A8"/>
      </right>
      <top/>
      <bottom style="thick">
        <color rgb="FF0070A8"/>
      </bottom>
      <diagonal/>
    </border>
    <border>
      <left style="thick">
        <color theme="9" tint="-0.249977111117893"/>
      </left>
      <right style="thick">
        <color rgb="FF0070A8"/>
      </right>
      <top/>
      <bottom/>
      <diagonal/>
    </border>
    <border>
      <left style="thick">
        <color rgb="FF0070A8"/>
      </left>
      <right style="thick">
        <color rgb="FF0070A8"/>
      </right>
      <top style="thick">
        <color theme="3" tint="0.249977111117893"/>
      </top>
      <bottom style="thick">
        <color rgb="FF0070A8"/>
      </bottom>
      <diagonal/>
    </border>
    <border>
      <left style="thick">
        <color rgb="FF0070A8"/>
      </left>
      <right style="thick">
        <color rgb="FF0070A8"/>
      </right>
      <top style="thick">
        <color rgb="FF0070A8"/>
      </top>
      <bottom style="thick">
        <color rgb="FF0070A8"/>
      </bottom>
      <diagonal/>
    </border>
    <border>
      <left style="thick">
        <color rgb="FF0070A8"/>
      </left>
      <right style="thick">
        <color rgb="FF0070A8"/>
      </right>
      <top/>
      <bottom style="thick">
        <color theme="3" tint="0.249977111117893"/>
      </bottom>
      <diagonal/>
    </border>
    <border>
      <left style="thick">
        <color rgb="FF0070A8"/>
      </left>
      <right/>
      <top style="thick">
        <color rgb="FF0070A8"/>
      </top>
      <bottom style="thick">
        <color rgb="FF0070A8"/>
      </bottom>
      <diagonal/>
    </border>
    <border>
      <left/>
      <right/>
      <top style="thick">
        <color rgb="FF0070A8"/>
      </top>
      <bottom style="thick">
        <color rgb="FF0070A8"/>
      </bottom>
      <diagonal/>
    </border>
    <border>
      <left style="thin">
        <color theme="1"/>
      </left>
      <right style="thin">
        <color theme="1"/>
      </right>
      <top style="thin">
        <color theme="1"/>
      </top>
      <bottom style="thin">
        <color theme="1"/>
      </bottom>
      <diagonal/>
    </border>
    <border>
      <left style="thin">
        <color rgb="FF0070A8"/>
      </left>
      <right style="thin">
        <color rgb="FF0070A8"/>
      </right>
      <top style="thin">
        <color rgb="FF0070A8"/>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1"/>
      </left>
      <right style="thin">
        <color theme="1"/>
      </right>
      <top style="thin">
        <color theme="1"/>
      </top>
      <bottom/>
      <diagonal/>
    </border>
    <border>
      <left style="thin">
        <color theme="1"/>
      </left>
      <right/>
      <top style="thin">
        <color theme="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000000"/>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0" fontId="1" fillId="2" borderId="0"/>
    <xf numFmtId="0" fontId="1" fillId="2" borderId="0"/>
    <xf numFmtId="0" fontId="1" fillId="3" borderId="0"/>
    <xf numFmtId="0" fontId="1" fillId="3" borderId="0"/>
    <xf numFmtId="0" fontId="2" fillId="4" borderId="0"/>
    <xf numFmtId="0" fontId="2" fillId="4" borderId="0"/>
    <xf numFmtId="0" fontId="7" fillId="12" borderId="0"/>
    <xf numFmtId="0" fontId="7" fillId="12" borderId="0"/>
    <xf numFmtId="0" fontId="6" fillId="0" borderId="0"/>
    <xf numFmtId="0" fontId="5" fillId="0" borderId="0">
      <alignment vertical="top"/>
      <protection locked="0"/>
    </xf>
    <xf numFmtId="0" fontId="3" fillId="0" borderId="0"/>
    <xf numFmtId="0" fontId="1" fillId="0" borderId="0"/>
    <xf numFmtId="0" fontId="1" fillId="0" borderId="0"/>
    <xf numFmtId="0" fontId="4" fillId="22" borderId="1">
      <alignment horizontal="left" vertical="center" wrapText="1" indent="1"/>
    </xf>
  </cellStyleXfs>
  <cellXfs count="683">
    <xf numFmtId="0" fontId="0" fillId="0" borderId="0" xfId="0"/>
    <xf numFmtId="0" fontId="8" fillId="0" borderId="0" xfId="0" applyFont="1" applyAlignment="1" applyProtection="1">
      <alignment horizontal="left" vertical="center" indent="1"/>
      <protection locked="0"/>
    </xf>
    <xf numFmtId="0" fontId="8" fillId="0" borderId="0" xfId="0" applyFont="1" applyAlignment="1">
      <alignment horizontal="left" vertical="center" indent="1"/>
    </xf>
    <xf numFmtId="0" fontId="8" fillId="0" borderId="0" xfId="0" applyFont="1" applyAlignment="1">
      <alignment horizontal="left" vertical="center" wrapText="1" indent="1"/>
    </xf>
    <xf numFmtId="0" fontId="11" fillId="0" borderId="1" xfId="0" applyFont="1" applyBorder="1" applyAlignment="1">
      <alignment horizontal="left" vertical="center" indent="1"/>
    </xf>
    <xf numFmtId="0" fontId="12" fillId="0" borderId="1" xfId="0" applyFont="1" applyBorder="1" applyAlignment="1">
      <alignment horizontal="left" vertical="center" indent="1"/>
    </xf>
    <xf numFmtId="0" fontId="11" fillId="0" borderId="0" xfId="0" applyFont="1" applyAlignment="1">
      <alignment horizontal="left" vertical="center" indent="1"/>
    </xf>
    <xf numFmtId="0" fontId="8" fillId="18" borderId="0" xfId="0" applyFont="1" applyFill="1" applyAlignment="1">
      <alignment horizontal="left" vertical="center" indent="1"/>
    </xf>
    <xf numFmtId="0" fontId="8" fillId="0" borderId="0" xfId="0" applyFont="1"/>
    <xf numFmtId="0" fontId="8" fillId="6" borderId="1" xfId="0" applyFont="1" applyFill="1" applyBorder="1" applyAlignment="1">
      <alignment horizontal="left" vertical="center" indent="1"/>
    </xf>
    <xf numFmtId="49" fontId="8" fillId="0" borderId="0" xfId="0" applyNumberFormat="1" applyFont="1" applyAlignment="1">
      <alignment horizontal="left" vertical="center" indent="1"/>
    </xf>
    <xf numFmtId="0" fontId="10" fillId="25" borderId="1" xfId="2" applyFont="1" applyFill="1" applyBorder="1" applyAlignment="1">
      <alignment horizontal="left" vertical="center" wrapText="1" indent="1"/>
    </xf>
    <xf numFmtId="0" fontId="10" fillId="25" borderId="1" xfId="4" applyFont="1" applyFill="1" applyBorder="1" applyAlignment="1">
      <alignment horizontal="left" vertical="center" wrapText="1" indent="1"/>
    </xf>
    <xf numFmtId="0" fontId="10" fillId="25" borderId="1" xfId="2" applyFont="1" applyFill="1" applyBorder="1" applyAlignment="1">
      <alignment horizontal="left" vertical="center" wrapText="1"/>
    </xf>
    <xf numFmtId="0" fontId="10" fillId="25" borderId="1" xfId="4" applyFont="1" applyFill="1" applyBorder="1" applyAlignment="1">
      <alignment horizontal="left" vertical="center" wrapText="1"/>
    </xf>
    <xf numFmtId="0" fontId="13" fillId="0" borderId="0" xfId="0" applyFont="1" applyAlignment="1">
      <alignment horizontal="left" vertical="center" indent="1"/>
    </xf>
    <xf numFmtId="0" fontId="11" fillId="17" borderId="1" xfId="0" applyFont="1" applyFill="1" applyBorder="1" applyAlignment="1">
      <alignment horizontal="left" vertical="center" indent="1"/>
    </xf>
    <xf numFmtId="0" fontId="15" fillId="0" borderId="1" xfId="0" applyFont="1" applyBorder="1" applyAlignment="1">
      <alignment horizontal="left" vertical="center" indent="1"/>
    </xf>
    <xf numFmtId="0" fontId="16" fillId="0" borderId="1" xfId="0" applyFont="1" applyBorder="1" applyAlignment="1">
      <alignment horizontal="left" vertical="center" indent="1"/>
    </xf>
    <xf numFmtId="0" fontId="8" fillId="18" borderId="0" xfId="0" applyFont="1" applyFill="1"/>
    <xf numFmtId="0" fontId="10" fillId="33" borderId="1" xfId="6" applyFont="1" applyFill="1" applyBorder="1" applyAlignment="1">
      <alignment horizontal="left" vertical="center" indent="1"/>
    </xf>
    <xf numFmtId="0" fontId="12" fillId="0" borderId="13" xfId="0" applyFont="1" applyBorder="1" applyAlignment="1">
      <alignment horizontal="left" vertical="center" indent="1"/>
    </xf>
    <xf numFmtId="0" fontId="15" fillId="0" borderId="13" xfId="0" applyFont="1" applyBorder="1" applyAlignment="1">
      <alignment horizontal="left" vertical="center" indent="1"/>
    </xf>
    <xf numFmtId="0" fontId="11" fillId="0" borderId="0" xfId="0" applyFont="1" applyAlignment="1">
      <alignment horizontal="left" vertical="center" wrapText="1" indent="1"/>
    </xf>
    <xf numFmtId="0" fontId="13" fillId="0" borderId="0" xfId="0" applyFont="1"/>
    <xf numFmtId="0" fontId="17" fillId="0" borderId="1" xfId="0" applyFont="1" applyBorder="1" applyAlignment="1">
      <alignment horizontal="left" vertical="center" indent="1"/>
    </xf>
    <xf numFmtId="0" fontId="17" fillId="0" borderId="0" xfId="0" applyFont="1" applyAlignment="1">
      <alignment horizontal="left" vertical="center" indent="1"/>
    </xf>
    <xf numFmtId="0" fontId="17" fillId="0" borderId="0" xfId="0" applyFont="1"/>
    <xf numFmtId="0" fontId="15" fillId="0" borderId="1" xfId="0" applyFont="1" applyBorder="1" applyAlignment="1">
      <alignment horizontal="left" vertical="center" wrapText="1" indent="1"/>
    </xf>
    <xf numFmtId="0" fontId="11" fillId="18" borderId="0" xfId="0" applyFont="1" applyFill="1" applyAlignment="1">
      <alignment horizontal="left" vertical="center" wrapText="1" indent="1"/>
    </xf>
    <xf numFmtId="0" fontId="11" fillId="18" borderId="1" xfId="0" applyFont="1" applyFill="1" applyBorder="1" applyAlignment="1">
      <alignment horizontal="left" vertical="center" indent="1"/>
    </xf>
    <xf numFmtId="0" fontId="18" fillId="21" borderId="1" xfId="0" applyFont="1" applyFill="1" applyBorder="1" applyAlignment="1">
      <alignment horizontal="left" vertical="center" indent="1"/>
    </xf>
    <xf numFmtId="0" fontId="8" fillId="0" borderId="1" xfId="0" applyFont="1" applyBorder="1"/>
    <xf numFmtId="0" fontId="8" fillId="0" borderId="1" xfId="0" applyFont="1" applyBorder="1" applyAlignment="1">
      <alignment horizontal="left" indent="1"/>
    </xf>
    <xf numFmtId="0" fontId="11" fillId="18" borderId="0" xfId="0" applyFont="1" applyFill="1" applyAlignment="1">
      <alignment horizontal="left" vertical="center" indent="1"/>
    </xf>
    <xf numFmtId="0" fontId="9" fillId="0" borderId="0" xfId="0" applyFont="1" applyAlignment="1">
      <alignment horizontal="left" vertical="center" indent="1"/>
    </xf>
    <xf numFmtId="0" fontId="19" fillId="24" borderId="13" xfId="0" applyFont="1" applyFill="1" applyBorder="1" applyAlignment="1">
      <alignment horizontal="left" vertical="center" wrapText="1" indent="1"/>
    </xf>
    <xf numFmtId="0" fontId="19" fillId="24" borderId="4" xfId="0" applyFont="1" applyFill="1" applyBorder="1" applyAlignment="1">
      <alignment horizontal="left" vertical="center" wrapText="1" indent="1"/>
    </xf>
    <xf numFmtId="0" fontId="16" fillId="0" borderId="13" xfId="0" applyFont="1" applyBorder="1" applyAlignment="1">
      <alignment horizontal="left" vertical="center" indent="1"/>
    </xf>
    <xf numFmtId="0" fontId="8" fillId="18" borderId="0" xfId="0" applyFont="1" applyFill="1" applyAlignment="1" applyProtection="1">
      <alignment horizontal="left" vertical="center" indent="1"/>
      <protection locked="0"/>
    </xf>
    <xf numFmtId="0" fontId="8" fillId="18" borderId="0" xfId="0" applyFont="1" applyFill="1" applyAlignment="1">
      <alignment horizontal="left" vertical="center" wrapText="1" indent="1"/>
    </xf>
    <xf numFmtId="0" fontId="10" fillId="18" borderId="0" xfId="5" applyFont="1" applyFill="1" applyAlignment="1">
      <alignment horizontal="left" vertical="center" indent="1"/>
    </xf>
    <xf numFmtId="0" fontId="10" fillId="18" borderId="0" xfId="0" applyFont="1" applyFill="1" applyAlignment="1">
      <alignment horizontal="left" vertical="center" indent="1"/>
    </xf>
    <xf numFmtId="0" fontId="11" fillId="39" borderId="1" xfId="1" applyFont="1" applyFill="1" applyBorder="1" applyAlignment="1">
      <alignment horizontal="left" vertical="center" wrapText="1" indent="1"/>
    </xf>
    <xf numFmtId="0" fontId="8" fillId="18" borderId="29" xfId="0" applyFont="1" applyFill="1" applyBorder="1" applyAlignment="1">
      <alignment horizontal="left" vertical="center" indent="1"/>
    </xf>
    <xf numFmtId="0" fontId="8" fillId="18" borderId="28" xfId="0" applyFont="1" applyFill="1" applyBorder="1" applyAlignment="1">
      <alignment horizontal="left" vertical="center" indent="1"/>
    </xf>
    <xf numFmtId="0" fontId="11" fillId="18" borderId="0" xfId="0" applyFont="1" applyFill="1"/>
    <xf numFmtId="0" fontId="8" fillId="18" borderId="31" xfId="0" applyFont="1" applyFill="1" applyBorder="1"/>
    <xf numFmtId="0" fontId="11" fillId="18" borderId="29" xfId="0" applyFont="1" applyFill="1" applyBorder="1"/>
    <xf numFmtId="0" fontId="8" fillId="18" borderId="29" xfId="0" applyFont="1" applyFill="1" applyBorder="1"/>
    <xf numFmtId="0" fontId="8" fillId="18" borderId="28" xfId="0" applyFont="1" applyFill="1" applyBorder="1"/>
    <xf numFmtId="0" fontId="11" fillId="18" borderId="28" xfId="0" applyFont="1" applyFill="1" applyBorder="1"/>
    <xf numFmtId="0" fontId="8" fillId="18" borderId="37" xfId="0" applyFont="1" applyFill="1" applyBorder="1" applyAlignment="1">
      <alignment horizontal="left" indent="2"/>
    </xf>
    <xf numFmtId="0" fontId="8" fillId="18" borderId="38" xfId="0" applyFont="1" applyFill="1" applyBorder="1" applyAlignment="1">
      <alignment horizontal="left" indent="2"/>
    </xf>
    <xf numFmtId="0" fontId="8" fillId="18" borderId="30" xfId="0" applyFont="1" applyFill="1" applyBorder="1" applyAlignment="1">
      <alignment horizontal="left" indent="2"/>
    </xf>
    <xf numFmtId="0" fontId="8" fillId="18" borderId="26" xfId="0" applyFont="1" applyFill="1" applyBorder="1"/>
    <xf numFmtId="0" fontId="8" fillId="0" borderId="8" xfId="0" applyFont="1" applyBorder="1"/>
    <xf numFmtId="0" fontId="8" fillId="18" borderId="19" xfId="0" applyFont="1" applyFill="1" applyBorder="1"/>
    <xf numFmtId="0" fontId="8" fillId="18" borderId="18" xfId="0" applyFont="1" applyFill="1" applyBorder="1"/>
    <xf numFmtId="0" fontId="8" fillId="18" borderId="20" xfId="0" applyFont="1" applyFill="1" applyBorder="1"/>
    <xf numFmtId="0" fontId="8" fillId="18" borderId="21" xfId="0" applyFont="1" applyFill="1" applyBorder="1"/>
    <xf numFmtId="0" fontId="8" fillId="18" borderId="22" xfId="0" applyFont="1" applyFill="1" applyBorder="1"/>
    <xf numFmtId="0" fontId="8" fillId="18" borderId="33" xfId="0" applyFont="1" applyFill="1" applyBorder="1"/>
    <xf numFmtId="0" fontId="8" fillId="18" borderId="35" xfId="0" applyFont="1" applyFill="1" applyBorder="1" applyAlignment="1">
      <alignment horizontal="left" indent="2"/>
    </xf>
    <xf numFmtId="0" fontId="8" fillId="18" borderId="36" xfId="0" applyFont="1" applyFill="1" applyBorder="1" applyAlignment="1">
      <alignment horizontal="left" indent="2"/>
    </xf>
    <xf numFmtId="0" fontId="8" fillId="18" borderId="34" xfId="0" applyFont="1" applyFill="1" applyBorder="1" applyAlignment="1">
      <alignment horizontal="left" indent="2"/>
    </xf>
    <xf numFmtId="0" fontId="22" fillId="0" borderId="1" xfId="9" applyFont="1" applyBorder="1" applyAlignment="1">
      <alignment horizontal="left" vertical="center" indent="1"/>
    </xf>
    <xf numFmtId="0" fontId="8" fillId="18" borderId="23" xfId="0" applyFont="1" applyFill="1" applyBorder="1"/>
    <xf numFmtId="0" fontId="8" fillId="18" borderId="24" xfId="0" applyFont="1" applyFill="1" applyBorder="1"/>
    <xf numFmtId="0" fontId="11" fillId="0" borderId="3" xfId="0" applyFont="1" applyBorder="1" applyAlignment="1">
      <alignment horizontal="left" vertical="center" indent="1"/>
    </xf>
    <xf numFmtId="0" fontId="8" fillId="18" borderId="25" xfId="0" applyFont="1" applyFill="1" applyBorder="1"/>
    <xf numFmtId="0" fontId="8" fillId="18" borderId="27" xfId="0" applyFont="1" applyFill="1" applyBorder="1"/>
    <xf numFmtId="0" fontId="8" fillId="18" borderId="32" xfId="0" applyFont="1" applyFill="1" applyBorder="1"/>
    <xf numFmtId="49" fontId="23" fillId="18" borderId="0" xfId="0" applyNumberFormat="1" applyFont="1" applyFill="1" applyAlignment="1">
      <alignment horizontal="left" vertical="top" wrapText="1"/>
    </xf>
    <xf numFmtId="0" fontId="11" fillId="0" borderId="15" xfId="0" applyFont="1" applyBorder="1" applyAlignment="1">
      <alignment horizontal="left" vertical="center" indent="1"/>
    </xf>
    <xf numFmtId="0" fontId="24" fillId="41" borderId="1" xfId="0" applyFont="1" applyFill="1" applyBorder="1" applyAlignment="1" applyProtection="1">
      <alignment horizontal="left" vertical="center" indent="1"/>
      <protection locked="0"/>
    </xf>
    <xf numFmtId="0" fontId="8" fillId="0" borderId="9" xfId="0" applyFont="1" applyBorder="1"/>
    <xf numFmtId="0" fontId="9" fillId="42" borderId="1" xfId="0" applyFont="1" applyFill="1" applyBorder="1" applyAlignment="1">
      <alignment horizontal="left" vertical="center" indent="1"/>
    </xf>
    <xf numFmtId="0" fontId="9" fillId="40" borderId="1" xfId="0" applyFont="1" applyFill="1" applyBorder="1" applyAlignment="1">
      <alignment horizontal="left" vertical="center" indent="1"/>
    </xf>
    <xf numFmtId="0" fontId="9" fillId="42" borderId="1" xfId="0" applyFont="1" applyFill="1" applyBorder="1" applyAlignment="1" applyProtection="1">
      <alignment horizontal="left" vertical="center" indent="1"/>
      <protection locked="0"/>
    </xf>
    <xf numFmtId="0" fontId="8" fillId="31" borderId="1" xfId="0" applyFont="1" applyFill="1" applyBorder="1" applyAlignment="1">
      <alignment horizontal="left" vertical="center" indent="1"/>
    </xf>
    <xf numFmtId="0" fontId="8" fillId="40" borderId="15" xfId="0" applyFont="1" applyFill="1" applyBorder="1" applyAlignment="1">
      <alignment horizontal="left" vertical="center" indent="1"/>
    </xf>
    <xf numFmtId="0" fontId="22" fillId="0" borderId="0" xfId="9" applyFont="1" applyAlignment="1" applyProtection="1">
      <alignment horizontal="left" vertical="center" indent="1"/>
      <protection locked="0"/>
    </xf>
    <xf numFmtId="0" fontId="22" fillId="0" borderId="1" xfId="9" applyFont="1" applyBorder="1" applyAlignment="1" applyProtection="1">
      <alignment horizontal="left" vertical="center" indent="1"/>
      <protection locked="0"/>
    </xf>
    <xf numFmtId="0" fontId="9" fillId="43" borderId="1" xfId="0" applyFont="1" applyFill="1" applyBorder="1" applyAlignment="1">
      <alignment horizontal="left" vertical="center" indent="1"/>
    </xf>
    <xf numFmtId="0" fontId="8" fillId="40" borderId="7" xfId="0" applyFont="1" applyFill="1" applyBorder="1" applyAlignment="1">
      <alignment horizontal="left" vertical="center" indent="1"/>
    </xf>
    <xf numFmtId="0" fontId="8" fillId="0" borderId="15" xfId="0" applyFont="1" applyBorder="1" applyAlignment="1" applyProtection="1">
      <alignment horizontal="left" vertical="center" indent="1"/>
      <protection locked="0"/>
    </xf>
    <xf numFmtId="0" fontId="8" fillId="31" borderId="46" xfId="0" applyFont="1" applyFill="1" applyBorder="1" applyAlignment="1">
      <alignment horizontal="left" vertical="center" indent="1"/>
    </xf>
    <xf numFmtId="0" fontId="8" fillId="0" borderId="47" xfId="0" applyFont="1" applyBorder="1" applyAlignment="1" applyProtection="1">
      <alignment horizontal="left" vertical="center" indent="1"/>
      <protection locked="0"/>
    </xf>
    <xf numFmtId="0" fontId="8" fillId="31" borderId="1" xfId="0" applyFont="1" applyFill="1" applyBorder="1" applyAlignment="1">
      <alignment horizontal="left" vertical="center" wrapText="1" indent="1"/>
    </xf>
    <xf numFmtId="0" fontId="11" fillId="0" borderId="12" xfId="0" applyFont="1" applyBorder="1" applyAlignment="1">
      <alignment horizontal="left" vertical="center" indent="1"/>
    </xf>
    <xf numFmtId="0" fontId="11" fillId="0" borderId="15" xfId="0" applyFont="1" applyBorder="1" applyAlignment="1" applyProtection="1">
      <alignment horizontal="left" vertical="center" indent="1"/>
      <protection locked="0"/>
    </xf>
    <xf numFmtId="0" fontId="8" fillId="0" borderId="0" xfId="0" applyFont="1" applyAlignment="1">
      <alignment horizontal="left" indent="1"/>
    </xf>
    <xf numFmtId="0" fontId="26" fillId="0" borderId="1" xfId="0" applyFont="1" applyBorder="1" applyAlignment="1">
      <alignment horizontal="left" vertical="center" indent="1"/>
    </xf>
    <xf numFmtId="0" fontId="8" fillId="0" borderId="7" xfId="0" applyFont="1" applyBorder="1" applyAlignment="1" applyProtection="1">
      <alignment horizontal="left" vertical="center" indent="1"/>
      <protection locked="0"/>
    </xf>
    <xf numFmtId="0" fontId="8" fillId="15" borderId="1" xfId="0" applyFont="1" applyFill="1" applyBorder="1" applyAlignment="1" applyProtection="1">
      <alignment horizontal="left" vertical="center" indent="1"/>
      <protection locked="0"/>
    </xf>
    <xf numFmtId="0" fontId="11" fillId="28" borderId="1" xfId="0" applyFont="1" applyFill="1" applyBorder="1" applyAlignment="1">
      <alignment horizontal="left" vertical="center" indent="1"/>
    </xf>
    <xf numFmtId="0" fontId="11" fillId="28" borderId="1" xfId="3" applyFont="1" applyFill="1" applyBorder="1" applyAlignment="1">
      <alignment horizontal="left" vertical="center" wrapText="1" indent="1"/>
    </xf>
    <xf numFmtId="0" fontId="8" fillId="31" borderId="0" xfId="0" applyFont="1" applyFill="1" applyAlignment="1">
      <alignment horizontal="left" vertical="center" indent="1"/>
    </xf>
    <xf numFmtId="0" fontId="8" fillId="18" borderId="1" xfId="0" applyFont="1" applyFill="1" applyBorder="1" applyAlignment="1">
      <alignment horizontal="left" vertical="center" indent="1"/>
    </xf>
    <xf numFmtId="0" fontId="8" fillId="18" borderId="1" xfId="0" applyFont="1" applyFill="1" applyBorder="1" applyAlignment="1">
      <alignment horizontal="left" vertical="center" wrapText="1" indent="1"/>
    </xf>
    <xf numFmtId="0" fontId="8" fillId="31" borderId="39" xfId="0" applyFont="1" applyFill="1" applyBorder="1" applyAlignment="1">
      <alignment horizontal="left" vertical="center" indent="1"/>
    </xf>
    <xf numFmtId="0" fontId="8" fillId="0" borderId="1" xfId="0" applyFont="1" applyBorder="1" applyAlignment="1" applyProtection="1">
      <alignment horizontal="left" vertical="center" wrapText="1" indent="1"/>
      <protection locked="0"/>
    </xf>
    <xf numFmtId="0" fontId="11" fillId="28" borderId="1" xfId="0" applyFont="1" applyFill="1" applyBorder="1" applyAlignment="1">
      <alignment horizontal="left" vertical="center" wrapText="1" indent="1"/>
    </xf>
    <xf numFmtId="0" fontId="29" fillId="0" borderId="0" xfId="0" applyFont="1" applyAlignment="1">
      <alignment horizontal="left" vertical="center" indent="1"/>
    </xf>
    <xf numFmtId="0" fontId="20" fillId="29" borderId="5" xfId="5" applyFont="1" applyFill="1" applyBorder="1" applyAlignment="1">
      <alignment horizontal="left" vertical="center" indent="1"/>
    </xf>
    <xf numFmtId="0" fontId="8" fillId="27" borderId="8" xfId="0" applyFont="1" applyFill="1" applyBorder="1" applyAlignment="1" applyProtection="1">
      <alignment horizontal="left" vertical="center" indent="1"/>
      <protection locked="0"/>
    </xf>
    <xf numFmtId="0" fontId="20" fillId="29" borderId="12" xfId="5" applyFont="1" applyFill="1" applyBorder="1" applyAlignment="1">
      <alignment horizontal="left" vertical="center" indent="1"/>
    </xf>
    <xf numFmtId="0" fontId="13" fillId="48" borderId="1" xfId="0" applyFont="1" applyFill="1" applyBorder="1" applyAlignment="1" applyProtection="1">
      <alignment horizontal="left" vertical="center" wrapText="1" indent="1"/>
      <protection locked="0"/>
    </xf>
    <xf numFmtId="0" fontId="8" fillId="18" borderId="1" xfId="0" applyFont="1" applyFill="1" applyBorder="1" applyAlignment="1" applyProtection="1">
      <alignment horizontal="left" vertical="center" wrapText="1" indent="1"/>
      <protection locked="0"/>
    </xf>
    <xf numFmtId="0" fontId="8" fillId="0" borderId="7" xfId="0" applyFont="1" applyBorder="1" applyAlignment="1" applyProtection="1">
      <alignment horizontal="left" vertical="center" wrapText="1" indent="1"/>
      <protection locked="0"/>
    </xf>
    <xf numFmtId="0" fontId="13" fillId="37" borderId="1" xfId="0" applyFont="1" applyFill="1" applyBorder="1" applyAlignment="1" applyProtection="1">
      <alignment horizontal="left" vertical="center" wrapText="1" indent="1"/>
      <protection locked="0"/>
    </xf>
    <xf numFmtId="0" fontId="8" fillId="0" borderId="1" xfId="11" applyFont="1" applyBorder="1" applyAlignment="1">
      <alignment horizontal="left" vertical="center" indent="1"/>
    </xf>
    <xf numFmtId="49" fontId="8" fillId="0" borderId="1" xfId="0" applyNumberFormat="1" applyFont="1" applyBorder="1" applyAlignment="1" applyProtection="1">
      <alignment horizontal="left" vertical="center" indent="1"/>
      <protection locked="0"/>
    </xf>
    <xf numFmtId="0" fontId="18" fillId="32" borderId="1" xfId="7" applyFont="1" applyFill="1" applyBorder="1" applyAlignment="1" applyProtection="1">
      <alignment horizontal="left" vertical="center" indent="1"/>
      <protection locked="0"/>
    </xf>
    <xf numFmtId="0" fontId="13" fillId="48" borderId="1" xfId="7" applyFont="1" applyFill="1" applyBorder="1" applyAlignment="1" applyProtection="1">
      <alignment horizontal="left" vertical="center" indent="1"/>
      <protection locked="0"/>
    </xf>
    <xf numFmtId="0" fontId="13" fillId="48" borderId="1" xfId="11" applyFont="1" applyFill="1" applyBorder="1" applyAlignment="1" applyProtection="1">
      <alignment horizontal="left" vertical="center" indent="1"/>
      <protection locked="0"/>
    </xf>
    <xf numFmtId="11" fontId="13" fillId="48" borderId="1" xfId="7" applyNumberFormat="1" applyFont="1" applyFill="1" applyBorder="1" applyAlignment="1" applyProtection="1">
      <alignment horizontal="left" vertical="center" indent="1"/>
      <protection locked="0"/>
    </xf>
    <xf numFmtId="0" fontId="8" fillId="0" borderId="0" xfId="0" applyFont="1" applyProtection="1">
      <protection locked="0"/>
    </xf>
    <xf numFmtId="0" fontId="30" fillId="0" borderId="0" xfId="9" applyFont="1"/>
    <xf numFmtId="0" fontId="9" fillId="0" borderId="0" xfId="0" applyFont="1"/>
    <xf numFmtId="0" fontId="14" fillId="18" borderId="5" xfId="0" applyFont="1" applyFill="1" applyBorder="1" applyAlignment="1">
      <alignment horizontal="left" vertical="center" indent="1"/>
    </xf>
    <xf numFmtId="0" fontId="34" fillId="37" borderId="41" xfId="9" applyFont="1" applyFill="1" applyBorder="1" applyAlignment="1" applyProtection="1">
      <alignment horizontal="left" vertical="center" indent="1"/>
      <protection locked="0"/>
    </xf>
    <xf numFmtId="0" fontId="34" fillId="18" borderId="0" xfId="9" applyFont="1" applyFill="1" applyAlignment="1" applyProtection="1">
      <alignment horizontal="left" vertical="center" indent="1"/>
      <protection locked="0"/>
    </xf>
    <xf numFmtId="0" fontId="34" fillId="18" borderId="44" xfId="9" applyFont="1" applyFill="1" applyBorder="1" applyAlignment="1" applyProtection="1">
      <alignment horizontal="left" vertical="center" indent="1"/>
      <protection locked="0"/>
    </xf>
    <xf numFmtId="0" fontId="35" fillId="24" borderId="1" xfId="0" applyFont="1" applyFill="1" applyBorder="1" applyAlignment="1" applyProtection="1">
      <alignment horizontal="left" vertical="center" indent="1"/>
      <protection locked="0"/>
    </xf>
    <xf numFmtId="0" fontId="8" fillId="40" borderId="1" xfId="0" applyFont="1" applyFill="1" applyBorder="1" applyAlignment="1">
      <alignment horizontal="left" vertical="center" wrapText="1" indent="1"/>
    </xf>
    <xf numFmtId="0" fontId="8" fillId="31" borderId="1" xfId="0" applyFont="1" applyFill="1" applyBorder="1" applyAlignment="1" applyProtection="1">
      <alignment horizontal="left" vertical="center" indent="1"/>
      <protection locked="0"/>
    </xf>
    <xf numFmtId="0" fontId="11" fillId="0" borderId="1" xfId="0" applyFont="1" applyBorder="1" applyAlignment="1">
      <alignment horizontal="left" indent="1"/>
    </xf>
    <xf numFmtId="0" fontId="8" fillId="6" borderId="1" xfId="0" applyFont="1" applyFill="1" applyBorder="1" applyAlignment="1" applyProtection="1">
      <alignment horizontal="left" vertical="center" indent="1"/>
      <protection locked="0"/>
    </xf>
    <xf numFmtId="0" fontId="11" fillId="39" borderId="1" xfId="3" applyFont="1" applyFill="1" applyBorder="1" applyAlignment="1">
      <alignment horizontal="left" vertical="center" wrapText="1" indent="1"/>
    </xf>
    <xf numFmtId="0" fontId="9" fillId="36" borderId="4" xfId="0" applyFont="1" applyFill="1" applyBorder="1" applyAlignment="1">
      <alignment horizontal="left" vertical="center" wrapText="1" indent="1"/>
    </xf>
    <xf numFmtId="0" fontId="9" fillId="20" borderId="4" xfId="0" applyFont="1" applyFill="1" applyBorder="1" applyAlignment="1">
      <alignment horizontal="left" vertical="center" wrapText="1" indent="1"/>
    </xf>
    <xf numFmtId="0" fontId="8" fillId="31" borderId="1" xfId="5" applyFont="1" applyFill="1" applyBorder="1" applyAlignment="1">
      <alignment horizontal="left" vertical="center" indent="1"/>
    </xf>
    <xf numFmtId="0" fontId="13" fillId="14" borderId="1" xfId="5" applyFont="1" applyFill="1" applyBorder="1" applyAlignment="1" applyProtection="1">
      <alignment horizontal="left" vertical="center" indent="1"/>
      <protection locked="0"/>
    </xf>
    <xf numFmtId="0" fontId="9" fillId="36" borderId="1" xfId="0" applyFont="1" applyFill="1" applyBorder="1" applyAlignment="1">
      <alignment horizontal="left" vertical="center" indent="1"/>
    </xf>
    <xf numFmtId="0" fontId="9" fillId="36" borderId="13" xfId="0" applyFont="1" applyFill="1" applyBorder="1" applyAlignment="1">
      <alignment horizontal="left" vertical="center" indent="1"/>
    </xf>
    <xf numFmtId="0" fontId="9" fillId="43" borderId="13" xfId="0" applyFont="1" applyFill="1" applyBorder="1" applyAlignment="1">
      <alignment horizontal="left" vertical="center" indent="1"/>
    </xf>
    <xf numFmtId="0" fontId="9" fillId="40" borderId="13" xfId="0" applyFont="1" applyFill="1" applyBorder="1" applyAlignment="1">
      <alignment horizontal="left" vertical="center" indent="1"/>
    </xf>
    <xf numFmtId="0" fontId="8" fillId="40" borderId="1" xfId="5" applyFont="1" applyFill="1" applyBorder="1" applyAlignment="1">
      <alignment horizontal="left" vertical="center" indent="1"/>
    </xf>
    <xf numFmtId="0" fontId="8" fillId="18" borderId="1" xfId="0" applyFont="1" applyFill="1" applyBorder="1" applyAlignment="1" applyProtection="1">
      <alignment horizontal="left" vertical="center" indent="1"/>
      <protection locked="0"/>
    </xf>
    <xf numFmtId="0" fontId="8" fillId="40" borderId="7" xfId="0" applyFont="1" applyFill="1" applyBorder="1" applyAlignment="1">
      <alignment horizontal="left" vertical="center" wrapText="1" indent="1"/>
    </xf>
    <xf numFmtId="0" fontId="8" fillId="40" borderId="0" xfId="0" applyFont="1" applyFill="1" applyAlignment="1">
      <alignment horizontal="left" vertical="center" indent="1"/>
    </xf>
    <xf numFmtId="0" fontId="37" fillId="0" borderId="1" xfId="0" applyFont="1" applyBorder="1" applyAlignment="1">
      <alignment horizontal="left" vertical="center" indent="1"/>
    </xf>
    <xf numFmtId="0" fontId="8" fillId="40" borderId="1" xfId="0" applyFont="1" applyFill="1" applyBorder="1" applyAlignment="1">
      <alignment horizontal="left" indent="1"/>
    </xf>
    <xf numFmtId="0" fontId="8" fillId="27" borderId="1" xfId="11" applyFont="1" applyFill="1" applyBorder="1" applyAlignment="1" applyProtection="1">
      <alignment horizontal="left" vertical="center" indent="1"/>
      <protection locked="0"/>
    </xf>
    <xf numFmtId="0" fontId="8" fillId="18" borderId="1" xfId="11" applyFont="1" applyFill="1" applyBorder="1" applyAlignment="1" applyProtection="1">
      <alignment horizontal="left" vertical="center" indent="1"/>
      <protection locked="0"/>
    </xf>
    <xf numFmtId="0" fontId="8" fillId="0" borderId="1" xfId="0" applyFont="1" applyBorder="1" applyAlignment="1">
      <alignment vertical="center"/>
    </xf>
    <xf numFmtId="0" fontId="8" fillId="23" borderId="1" xfId="0" applyFont="1" applyFill="1" applyBorder="1" applyAlignment="1" applyProtection="1">
      <alignment horizontal="left" vertical="center" indent="1"/>
      <protection locked="0"/>
    </xf>
    <xf numFmtId="0" fontId="9" fillId="36" borderId="1" xfId="0" applyFont="1" applyFill="1" applyBorder="1" applyAlignment="1">
      <alignment horizontal="left" vertical="center" wrapText="1" indent="1"/>
    </xf>
    <xf numFmtId="0" fontId="11" fillId="18" borderId="1" xfId="1" applyFont="1" applyFill="1" applyBorder="1" applyAlignment="1">
      <alignment horizontal="left" vertical="center" wrapText="1" indent="1"/>
    </xf>
    <xf numFmtId="0" fontId="8" fillId="6" borderId="1" xfId="0" applyFont="1" applyFill="1" applyBorder="1" applyAlignment="1" applyProtection="1">
      <alignment horizontal="left" vertical="center" wrapText="1" indent="1"/>
      <protection locked="0"/>
    </xf>
    <xf numFmtId="0" fontId="11" fillId="0" borderId="13" xfId="0" applyFont="1" applyBorder="1" applyAlignment="1">
      <alignment horizontal="left" vertical="center" indent="1"/>
    </xf>
    <xf numFmtId="0" fontId="9" fillId="0" borderId="1" xfId="0" applyFont="1" applyBorder="1" applyAlignment="1">
      <alignment horizontal="left" vertical="center" indent="1"/>
    </xf>
    <xf numFmtId="0" fontId="19" fillId="24" borderId="2" xfId="0" applyFont="1" applyFill="1" applyBorder="1" applyAlignment="1">
      <alignment horizontal="left" vertical="center" indent="1"/>
    </xf>
    <xf numFmtId="0" fontId="19" fillId="24" borderId="3" xfId="0" applyFont="1" applyFill="1" applyBorder="1" applyAlignment="1">
      <alignment horizontal="left" vertical="center" indent="1"/>
    </xf>
    <xf numFmtId="0" fontId="19" fillId="24" borderId="4" xfId="0" applyFont="1" applyFill="1" applyBorder="1" applyAlignment="1">
      <alignment horizontal="left" vertical="center" indent="1"/>
    </xf>
    <xf numFmtId="0" fontId="15" fillId="35" borderId="13" xfId="0" applyFont="1" applyFill="1" applyBorder="1" applyAlignment="1">
      <alignment horizontal="left" vertical="center" wrapText="1" indent="1"/>
    </xf>
    <xf numFmtId="0" fontId="15" fillId="35" borderId="4" xfId="0" applyFont="1" applyFill="1" applyBorder="1" applyAlignment="1">
      <alignment horizontal="left" vertical="center" wrapText="1" indent="1"/>
    </xf>
    <xf numFmtId="0" fontId="9" fillId="43" borderId="4" xfId="0" applyFont="1" applyFill="1" applyBorder="1" applyAlignment="1">
      <alignment horizontal="left" vertical="center" indent="1"/>
    </xf>
    <xf numFmtId="0" fontId="9" fillId="0" borderId="4" xfId="0" applyFont="1" applyBorder="1"/>
    <xf numFmtId="0" fontId="9" fillId="0" borderId="4" xfId="0" applyFont="1" applyBorder="1" applyAlignment="1">
      <alignment horizontal="left" vertical="center" indent="1"/>
    </xf>
    <xf numFmtId="0" fontId="38" fillId="38" borderId="1" xfId="0" applyFont="1" applyFill="1" applyBorder="1" applyAlignment="1">
      <alignment horizontal="left" vertical="center" indent="1"/>
    </xf>
    <xf numFmtId="0" fontId="9" fillId="44" borderId="1" xfId="0" applyFont="1" applyFill="1" applyBorder="1" applyAlignment="1">
      <alignment horizontal="left" vertical="center" indent="1"/>
    </xf>
    <xf numFmtId="0" fontId="9" fillId="44" borderId="1" xfId="0" applyFont="1" applyFill="1" applyBorder="1" applyAlignment="1" applyProtection="1">
      <alignment horizontal="left" vertical="center" indent="1"/>
      <protection locked="0"/>
    </xf>
    <xf numFmtId="0" fontId="9" fillId="42" borderId="1" xfId="0" applyFont="1" applyFill="1" applyBorder="1" applyAlignment="1">
      <alignment horizontal="left" vertical="center" wrapText="1" indent="1"/>
    </xf>
    <xf numFmtId="0" fontId="11" fillId="2" borderId="1" xfId="1" applyFont="1" applyBorder="1" applyAlignment="1">
      <alignment horizontal="left" vertical="center" wrapText="1" indent="1"/>
    </xf>
    <xf numFmtId="0" fontId="11" fillId="3" borderId="1" xfId="3" applyFont="1" applyBorder="1" applyAlignment="1">
      <alignment horizontal="left" vertical="center" wrapText="1" indent="1"/>
    </xf>
    <xf numFmtId="0" fontId="15" fillId="0" borderId="0" xfId="0" applyFont="1" applyAlignment="1">
      <alignment horizontal="left" vertical="center" indent="1"/>
    </xf>
    <xf numFmtId="0" fontId="34" fillId="37" borderId="45" xfId="9" applyFont="1" applyFill="1" applyBorder="1" applyAlignment="1" applyProtection="1">
      <alignment horizontal="left" vertical="center" indent="1"/>
      <protection locked="0"/>
    </xf>
    <xf numFmtId="0" fontId="34" fillId="18" borderId="0" xfId="9" applyFont="1" applyFill="1" applyAlignment="1">
      <alignment horizontal="left" vertical="center" indent="1"/>
    </xf>
    <xf numFmtId="0" fontId="8" fillId="0" borderId="1" xfId="11" applyFont="1" applyBorder="1" applyAlignment="1">
      <alignment horizontal="left" vertical="center" wrapText="1" indent="1"/>
    </xf>
    <xf numFmtId="0" fontId="8" fillId="40" borderId="13" xfId="0" applyFont="1" applyFill="1" applyBorder="1" applyAlignment="1">
      <alignment horizontal="left" vertical="center" wrapText="1" indent="1"/>
    </xf>
    <xf numFmtId="0" fontId="8" fillId="0" borderId="13" xfId="0" applyFont="1" applyBorder="1" applyAlignment="1" applyProtection="1">
      <alignment horizontal="left" vertical="center" indent="1"/>
      <protection locked="0"/>
    </xf>
    <xf numFmtId="0" fontId="8" fillId="31" borderId="13" xfId="0" applyFont="1" applyFill="1" applyBorder="1" applyAlignment="1">
      <alignment horizontal="left" vertical="center" wrapText="1" indent="1"/>
    </xf>
    <xf numFmtId="0" fontId="8" fillId="49" borderId="1" xfId="0" applyFont="1" applyFill="1" applyBorder="1" applyAlignment="1" applyProtection="1">
      <alignment horizontal="left" vertical="center" indent="1"/>
      <protection locked="0"/>
    </xf>
    <xf numFmtId="0" fontId="9" fillId="36" borderId="13" xfId="0" applyFont="1" applyFill="1" applyBorder="1" applyAlignment="1">
      <alignment horizontal="left" vertical="center" wrapText="1" indent="1"/>
    </xf>
    <xf numFmtId="0" fontId="8" fillId="49" borderId="1" xfId="0" applyFont="1" applyFill="1" applyBorder="1" applyAlignment="1">
      <alignment horizontal="left" vertical="center" indent="1"/>
    </xf>
    <xf numFmtId="0" fontId="40" fillId="0" borderId="1" xfId="0" applyFont="1" applyBorder="1"/>
    <xf numFmtId="0" fontId="8" fillId="18" borderId="15" xfId="0" applyFont="1" applyFill="1" applyBorder="1" applyAlignment="1">
      <alignment horizontal="left" vertical="center" indent="1"/>
    </xf>
    <xf numFmtId="0" fontId="8" fillId="18" borderId="39" xfId="0" applyFont="1" applyFill="1" applyBorder="1" applyAlignment="1">
      <alignment horizontal="left" vertical="center" indent="1"/>
    </xf>
    <xf numFmtId="0" fontId="8" fillId="40" borderId="1" xfId="1" applyFont="1" applyFill="1" applyBorder="1" applyAlignment="1">
      <alignment horizontal="left" vertical="center" wrapText="1" indent="1"/>
    </xf>
    <xf numFmtId="0" fontId="8" fillId="18" borderId="1" xfId="3" applyFont="1" applyFill="1" applyBorder="1" applyAlignment="1">
      <alignment horizontal="left" vertical="center" wrapText="1" indent="1"/>
    </xf>
    <xf numFmtId="0" fontId="20" fillId="33" borderId="1" xfId="6" applyFont="1" applyFill="1" applyBorder="1" applyAlignment="1">
      <alignment horizontal="left" vertical="center" indent="1"/>
    </xf>
    <xf numFmtId="0" fontId="10" fillId="25" borderId="1" xfId="3" applyFont="1" applyFill="1" applyBorder="1" applyAlignment="1">
      <alignment horizontal="left" vertical="center" wrapText="1" indent="1"/>
    </xf>
    <xf numFmtId="0" fontId="11" fillId="0" borderId="16" xfId="0" applyFont="1" applyBorder="1" applyAlignment="1">
      <alignment horizontal="left" vertical="center" indent="1"/>
    </xf>
    <xf numFmtId="0" fontId="8" fillId="0" borderId="15" xfId="0" applyFont="1" applyBorder="1" applyAlignment="1">
      <alignment horizontal="left" vertical="center" indent="1"/>
    </xf>
    <xf numFmtId="0" fontId="8" fillId="0" borderId="17" xfId="0" applyFont="1" applyBorder="1" applyAlignment="1">
      <alignment horizontal="left" vertical="center" indent="1"/>
    </xf>
    <xf numFmtId="0" fontId="8" fillId="0" borderId="17" xfId="11" applyFont="1" applyBorder="1" applyAlignment="1">
      <alignment horizontal="left" vertical="center" indent="1"/>
    </xf>
    <xf numFmtId="0" fontId="36" fillId="0" borderId="1" xfId="0" applyFont="1" applyBorder="1" applyAlignment="1">
      <alignment horizontal="left" vertical="center" indent="1"/>
    </xf>
    <xf numFmtId="0" fontId="37" fillId="0" borderId="1" xfId="0" applyFont="1" applyBorder="1" applyAlignment="1">
      <alignment horizontal="left" vertical="center" wrapText="1" indent="1"/>
    </xf>
    <xf numFmtId="0" fontId="37" fillId="0" borderId="0" xfId="0" applyFont="1" applyAlignment="1">
      <alignment horizontal="left" vertical="center" wrapText="1" indent="1"/>
    </xf>
    <xf numFmtId="0" fontId="15" fillId="5" borderId="40" xfId="0" applyFont="1" applyFill="1" applyBorder="1" applyAlignment="1">
      <alignment horizontal="left" vertical="center" wrapText="1" indent="1"/>
    </xf>
    <xf numFmtId="0" fontId="9" fillId="0" borderId="13" xfId="0" applyFont="1" applyBorder="1" applyAlignment="1">
      <alignment horizontal="left" vertical="center" indent="1"/>
    </xf>
    <xf numFmtId="0" fontId="9" fillId="0" borderId="1" xfId="0" applyFont="1" applyBorder="1" applyAlignment="1">
      <alignment horizontal="left" vertical="center" wrapText="1" indent="1"/>
    </xf>
    <xf numFmtId="0" fontId="9" fillId="0" borderId="13" xfId="0" applyFont="1" applyBorder="1" applyAlignment="1">
      <alignment horizontal="left" vertical="center" wrapText="1" indent="1"/>
    </xf>
    <xf numFmtId="1" fontId="8" fillId="0" borderId="1" xfId="0" applyNumberFormat="1" applyFont="1" applyBorder="1" applyAlignment="1">
      <alignment horizontal="left" vertical="center" indent="1"/>
    </xf>
    <xf numFmtId="49" fontId="8" fillId="0" borderId="1" xfId="0" applyNumberFormat="1" applyFont="1" applyBorder="1" applyAlignment="1">
      <alignment horizontal="left" vertical="center" indent="1"/>
    </xf>
    <xf numFmtId="0" fontId="15" fillId="5" borderId="15" xfId="0" applyFont="1" applyFill="1" applyBorder="1" applyAlignment="1">
      <alignment horizontal="left" vertical="center" wrapText="1" indent="1"/>
    </xf>
    <xf numFmtId="0" fontId="26" fillId="0" borderId="4" xfId="0" applyFont="1" applyBorder="1" applyAlignment="1">
      <alignment horizontal="left" vertical="center" indent="1"/>
    </xf>
    <xf numFmtId="0" fontId="42" fillId="0" borderId="0" xfId="0" applyFont="1" applyAlignment="1">
      <alignment horizontal="left" vertical="center" indent="1"/>
    </xf>
    <xf numFmtId="0" fontId="8" fillId="6" borderId="1" xfId="0" applyFont="1" applyFill="1" applyBorder="1" applyAlignment="1">
      <alignment horizontal="left" vertical="center" wrapText="1" indent="1"/>
    </xf>
    <xf numFmtId="0" fontId="8" fillId="26" borderId="0" xfId="0" applyFont="1" applyFill="1" applyAlignment="1">
      <alignment horizontal="left" vertical="center" indent="1"/>
    </xf>
    <xf numFmtId="0" fontId="9" fillId="18" borderId="0" xfId="0" applyFont="1" applyFill="1" applyAlignment="1">
      <alignment horizontal="left" vertical="center" indent="1"/>
    </xf>
    <xf numFmtId="0" fontId="8" fillId="18" borderId="1" xfId="0" applyFont="1" applyFill="1" applyBorder="1"/>
    <xf numFmtId="0" fontId="37" fillId="0" borderId="0" xfId="0" applyFont="1" applyAlignment="1">
      <alignment horizontal="left" vertical="center" indent="1"/>
    </xf>
    <xf numFmtId="0" fontId="8" fillId="11" borderId="1" xfId="0" applyFont="1" applyFill="1" applyBorder="1" applyAlignment="1">
      <alignment horizontal="left" vertical="center" indent="1"/>
    </xf>
    <xf numFmtId="0" fontId="11" fillId="28" borderId="1" xfId="14" applyFont="1" applyFill="1">
      <alignment horizontal="left" vertical="center" wrapText="1" indent="1"/>
    </xf>
    <xf numFmtId="0" fontId="44" fillId="29" borderId="1" xfId="9" applyFont="1" applyFill="1" applyBorder="1" applyAlignment="1">
      <alignment horizontal="left" vertical="center" wrapText="1" indent="1"/>
    </xf>
    <xf numFmtId="0" fontId="15" fillId="0" borderId="13" xfId="0" applyFont="1" applyBorder="1" applyAlignment="1">
      <alignment horizontal="left" indent="1"/>
    </xf>
    <xf numFmtId="0" fontId="9" fillId="0" borderId="4" xfId="0" applyFont="1" applyBorder="1" applyAlignment="1">
      <alignment horizontal="left" indent="1"/>
    </xf>
    <xf numFmtId="0" fontId="41" fillId="16" borderId="1" xfId="0" applyFont="1" applyFill="1" applyBorder="1" applyAlignment="1">
      <alignment horizontal="left" vertical="center" indent="1"/>
    </xf>
    <xf numFmtId="49" fontId="8" fillId="18" borderId="0" xfId="0" applyNumberFormat="1" applyFont="1" applyFill="1" applyAlignment="1">
      <alignment horizontal="left" vertical="center" indent="1"/>
    </xf>
    <xf numFmtId="0" fontId="11" fillId="18" borderId="1" xfId="0" applyFont="1" applyFill="1" applyBorder="1" applyAlignment="1">
      <alignment horizontal="left" vertical="center" wrapText="1" indent="1"/>
    </xf>
    <xf numFmtId="0" fontId="12" fillId="18" borderId="1" xfId="0" applyFont="1" applyFill="1" applyBorder="1" applyAlignment="1">
      <alignment horizontal="left" vertical="center" wrapText="1" indent="1"/>
    </xf>
    <xf numFmtId="0" fontId="9" fillId="18" borderId="0" xfId="0" applyFont="1" applyFill="1" applyAlignment="1" applyProtection="1">
      <alignment horizontal="left" vertical="center" indent="1"/>
      <protection locked="0"/>
    </xf>
    <xf numFmtId="0" fontId="9" fillId="18" borderId="0" xfId="0" applyFont="1" applyFill="1"/>
    <xf numFmtId="0" fontId="47" fillId="29" borderId="1" xfId="9" applyFont="1" applyFill="1" applyBorder="1" applyAlignment="1">
      <alignment horizontal="left" vertical="center" indent="1"/>
    </xf>
    <xf numFmtId="0" fontId="48" fillId="29" borderId="0" xfId="9" applyFont="1" applyFill="1" applyAlignment="1">
      <alignment horizontal="left" vertical="center" indent="1"/>
    </xf>
    <xf numFmtId="0" fontId="38" fillId="38" borderId="0" xfId="0" applyFont="1" applyFill="1" applyAlignment="1">
      <alignment horizontal="left" vertical="center" wrapText="1" indent="1"/>
    </xf>
    <xf numFmtId="0" fontId="38" fillId="19" borderId="0" xfId="0" applyFont="1" applyFill="1" applyAlignment="1">
      <alignment horizontal="left" vertical="center" wrapText="1" indent="1"/>
    </xf>
    <xf numFmtId="49" fontId="9" fillId="18" borderId="0" xfId="0" applyNumberFormat="1" applyFont="1" applyFill="1" applyAlignment="1">
      <alignment horizontal="left" vertical="center" indent="1"/>
    </xf>
    <xf numFmtId="0" fontId="9" fillId="18" borderId="0" xfId="0" applyFont="1" applyFill="1" applyAlignment="1">
      <alignment horizontal="left" vertical="center" wrapText="1" indent="1"/>
    </xf>
    <xf numFmtId="0" fontId="25" fillId="18" borderId="0" xfId="11" applyFont="1" applyFill="1"/>
    <xf numFmtId="0" fontId="11" fillId="39" borderId="1" xfId="2" applyFont="1" applyFill="1" applyBorder="1" applyAlignment="1">
      <alignment horizontal="left" vertical="center" wrapText="1" indent="1"/>
    </xf>
    <xf numFmtId="0" fontId="11" fillId="39" borderId="1" xfId="4" applyFont="1" applyFill="1" applyBorder="1" applyAlignment="1">
      <alignment horizontal="left" vertical="center" wrapText="1" indent="1"/>
    </xf>
    <xf numFmtId="0" fontId="11" fillId="0" borderId="1" xfId="11" applyFont="1" applyBorder="1" applyAlignment="1">
      <alignment horizontal="left" vertical="center" indent="1"/>
    </xf>
    <xf numFmtId="0" fontId="8" fillId="40" borderId="1" xfId="11" applyFont="1" applyFill="1" applyBorder="1" applyAlignment="1">
      <alignment horizontal="left" vertical="center" indent="1"/>
    </xf>
    <xf numFmtId="0" fontId="25" fillId="0" borderId="1" xfId="11" applyFont="1" applyBorder="1"/>
    <xf numFmtId="0" fontId="15" fillId="0" borderId="1" xfId="11" applyFont="1" applyBorder="1" applyAlignment="1">
      <alignment horizontal="left" vertical="center" wrapText="1" indent="1"/>
    </xf>
    <xf numFmtId="0" fontId="15" fillId="0" borderId="1" xfId="11" applyFont="1" applyBorder="1" applyAlignment="1">
      <alignment horizontal="left" vertical="center" indent="1"/>
    </xf>
    <xf numFmtId="0" fontId="11" fillId="18" borderId="0" xfId="11" applyFont="1" applyFill="1" applyAlignment="1">
      <alignment horizontal="left" vertical="center" wrapText="1" indent="1"/>
    </xf>
    <xf numFmtId="0" fontId="8" fillId="18" borderId="0" xfId="11" applyFont="1" applyFill="1" applyAlignment="1">
      <alignment horizontal="left" vertical="center" indent="1"/>
    </xf>
    <xf numFmtId="0" fontId="11" fillId="0" borderId="7" xfId="11" applyFont="1" applyBorder="1" applyAlignment="1">
      <alignment horizontal="left" vertical="center" indent="1"/>
    </xf>
    <xf numFmtId="0" fontId="8" fillId="40" borderId="7" xfId="11" applyFont="1" applyFill="1" applyBorder="1" applyAlignment="1">
      <alignment horizontal="left" vertical="center" indent="1"/>
    </xf>
    <xf numFmtId="0" fontId="8" fillId="0" borderId="7" xfId="11" applyFont="1" applyBorder="1" applyAlignment="1">
      <alignment horizontal="left" vertical="center" indent="1"/>
    </xf>
    <xf numFmtId="0" fontId="47" fillId="29" borderId="0" xfId="9" applyFont="1" applyFill="1" applyAlignment="1">
      <alignment horizontal="left" vertical="center" indent="1"/>
    </xf>
    <xf numFmtId="0" fontId="20" fillId="38" borderId="0" xfId="0" applyFont="1" applyFill="1" applyAlignment="1">
      <alignment horizontal="left" vertical="center" wrapText="1" indent="1"/>
    </xf>
    <xf numFmtId="0" fontId="11" fillId="0" borderId="1" xfId="11" applyFont="1" applyBorder="1" applyAlignment="1">
      <alignment horizontal="left" vertical="center" wrapText="1" indent="1"/>
    </xf>
    <xf numFmtId="0" fontId="11" fillId="28" borderId="0" xfId="4" applyFont="1" applyFill="1" applyAlignment="1">
      <alignment horizontal="left" vertical="center" indent="1"/>
    </xf>
    <xf numFmtId="0" fontId="49" fillId="0" borderId="1" xfId="0" applyFont="1" applyBorder="1" applyAlignment="1" applyProtection="1">
      <alignment horizontal="left" vertical="center" indent="1"/>
      <protection locked="0"/>
    </xf>
    <xf numFmtId="0" fontId="8" fillId="27" borderId="1" xfId="0" applyFont="1" applyFill="1" applyBorder="1" applyAlignment="1" applyProtection="1">
      <alignment horizontal="left" vertical="center" indent="1"/>
      <protection locked="0"/>
    </xf>
    <xf numFmtId="0" fontId="29" fillId="0" borderId="0" xfId="0" applyFont="1" applyAlignment="1">
      <alignment horizontal="left" vertical="center" wrapText="1" indent="1"/>
    </xf>
    <xf numFmtId="0" fontId="11" fillId="28" borderId="1" xfId="3" applyFont="1" applyFill="1" applyBorder="1" applyAlignment="1" applyProtection="1">
      <alignment horizontal="left" vertical="center" wrapText="1" indent="1"/>
      <protection locked="0"/>
    </xf>
    <xf numFmtId="0" fontId="37" fillId="31" borderId="1" xfId="0" applyFont="1" applyFill="1" applyBorder="1" applyAlignment="1">
      <alignment horizontal="left" vertical="center" indent="1"/>
    </xf>
    <xf numFmtId="0" fontId="37" fillId="0" borderId="1" xfId="0" applyFont="1" applyBorder="1" applyAlignment="1" applyProtection="1">
      <alignment horizontal="left" vertical="center" indent="1"/>
      <protection locked="0"/>
    </xf>
    <xf numFmtId="49" fontId="10" fillId="25" borderId="1" xfId="1" applyNumberFormat="1" applyFont="1" applyFill="1" applyBorder="1" applyAlignment="1">
      <alignment horizontal="left" vertical="center" wrapText="1" indent="1"/>
    </xf>
    <xf numFmtId="0" fontId="51" fillId="42" borderId="1" xfId="0" applyFont="1" applyFill="1" applyBorder="1" applyAlignment="1">
      <alignment horizontal="left" vertical="center" indent="1"/>
    </xf>
    <xf numFmtId="0" fontId="52" fillId="20" borderId="5" xfId="0" applyFont="1" applyFill="1" applyBorder="1" applyAlignment="1">
      <alignment horizontal="left" vertical="center" indent="1"/>
    </xf>
    <xf numFmtId="0" fontId="19" fillId="20" borderId="0" xfId="0" applyFont="1" applyFill="1" applyAlignment="1">
      <alignment horizontal="left" vertical="center" indent="1"/>
    </xf>
    <xf numFmtId="0" fontId="9" fillId="20" borderId="0" xfId="0" applyFont="1" applyFill="1"/>
    <xf numFmtId="0" fontId="10" fillId="24" borderId="1" xfId="0" applyFont="1" applyFill="1" applyBorder="1" applyAlignment="1">
      <alignment horizontal="left" vertical="center" wrapText="1" indent="1"/>
    </xf>
    <xf numFmtId="0" fontId="50" fillId="18" borderId="18" xfId="0" applyFont="1" applyFill="1" applyBorder="1" applyAlignment="1">
      <alignment horizontal="left" indent="1"/>
    </xf>
    <xf numFmtId="0" fontId="9" fillId="0" borderId="8" xfId="0" applyFont="1" applyBorder="1" applyAlignment="1">
      <alignment horizontal="left" vertical="center" indent="1"/>
    </xf>
    <xf numFmtId="1" fontId="8" fillId="0" borderId="1" xfId="11" applyNumberFormat="1" applyFont="1" applyBorder="1" applyAlignment="1" applyProtection="1">
      <alignment horizontal="left" vertical="center" indent="1"/>
      <protection locked="0"/>
    </xf>
    <xf numFmtId="0" fontId="9" fillId="43" borderId="8" xfId="0" applyFont="1" applyFill="1" applyBorder="1" applyAlignment="1">
      <alignment horizontal="left" vertical="center" indent="1"/>
    </xf>
    <xf numFmtId="0" fontId="8" fillId="42" borderId="1" xfId="0" applyFont="1" applyFill="1" applyBorder="1" applyAlignment="1">
      <alignment horizontal="left" vertical="center" indent="1"/>
    </xf>
    <xf numFmtId="0" fontId="8" fillId="19" borderId="1" xfId="0" applyFont="1" applyFill="1" applyBorder="1" applyAlignment="1">
      <alignment horizontal="left" vertical="center" indent="1"/>
    </xf>
    <xf numFmtId="0" fontId="8" fillId="6" borderId="9" xfId="0" applyFont="1" applyFill="1" applyBorder="1" applyAlignment="1">
      <alignment horizontal="left" vertical="center" indent="1"/>
    </xf>
    <xf numFmtId="0" fontId="19" fillId="9" borderId="0" xfId="0" applyFont="1" applyFill="1" applyAlignment="1">
      <alignment horizontal="left" vertical="center" indent="1"/>
    </xf>
    <xf numFmtId="0" fontId="52" fillId="38" borderId="0" xfId="0" applyFont="1" applyFill="1" applyAlignment="1">
      <alignment horizontal="left" vertical="center" indent="1"/>
    </xf>
    <xf numFmtId="0" fontId="15" fillId="0" borderId="13" xfId="0" applyFont="1" applyBorder="1" applyAlignment="1">
      <alignment horizontal="left" vertical="center" wrapText="1" indent="1"/>
    </xf>
    <xf numFmtId="0" fontId="9" fillId="36" borderId="4" xfId="0" applyFont="1" applyFill="1" applyBorder="1" applyAlignment="1">
      <alignment horizontal="left" vertical="center" indent="1"/>
    </xf>
    <xf numFmtId="0" fontId="15" fillId="0" borderId="4" xfId="0" applyFont="1" applyBorder="1" applyAlignment="1">
      <alignment horizontal="left" vertical="center" indent="1"/>
    </xf>
    <xf numFmtId="0" fontId="27" fillId="19" borderId="7" xfId="0" applyFont="1" applyFill="1" applyBorder="1" applyAlignment="1" applyProtection="1">
      <alignment horizontal="left" vertical="center" indent="1"/>
      <protection locked="0"/>
    </xf>
    <xf numFmtId="0" fontId="27" fillId="19" borderId="1" xfId="0" applyFont="1" applyFill="1" applyBorder="1" applyAlignment="1" applyProtection="1">
      <alignment horizontal="left" vertical="center" indent="1"/>
      <protection locked="0"/>
    </xf>
    <xf numFmtId="0" fontId="9" fillId="19" borderId="1" xfId="0" applyFont="1" applyFill="1" applyBorder="1" applyAlignment="1" applyProtection="1">
      <alignment horizontal="left" vertical="center" indent="1"/>
      <protection locked="0"/>
    </xf>
    <xf numFmtId="0" fontId="39" fillId="19" borderId="1" xfId="0" applyFont="1" applyFill="1" applyBorder="1" applyAlignment="1" applyProtection="1">
      <alignment horizontal="left" vertical="center" indent="1"/>
      <protection locked="0"/>
    </xf>
    <xf numFmtId="0" fontId="27" fillId="19" borderId="7" xfId="0" applyFont="1" applyFill="1" applyBorder="1" applyAlignment="1">
      <alignment horizontal="left" vertical="center" indent="1"/>
    </xf>
    <xf numFmtId="0" fontId="27" fillId="19" borderId="1" xfId="0" applyFont="1" applyFill="1" applyBorder="1" applyAlignment="1">
      <alignment horizontal="left" vertical="center" indent="1"/>
    </xf>
    <xf numFmtId="0" fontId="39" fillId="19" borderId="1" xfId="0" applyFont="1" applyFill="1" applyBorder="1" applyAlignment="1">
      <alignment horizontal="left" vertical="center" indent="1"/>
    </xf>
    <xf numFmtId="0" fontId="24" fillId="19" borderId="1" xfId="0" applyFont="1" applyFill="1" applyBorder="1" applyAlignment="1" applyProtection="1">
      <alignment horizontal="left" vertical="center" indent="1"/>
      <protection locked="0"/>
    </xf>
    <xf numFmtId="0" fontId="8" fillId="0" borderId="15" xfId="0" applyFont="1" applyBorder="1" applyAlignment="1">
      <alignment horizontal="center" vertical="center"/>
    </xf>
    <xf numFmtId="0" fontId="8" fillId="0" borderId="15" xfId="0" applyFont="1" applyBorder="1" applyAlignment="1">
      <alignment horizontal="left" vertical="center" wrapText="1" indent="1"/>
    </xf>
    <xf numFmtId="0" fontId="51" fillId="0" borderId="1" xfId="11" applyFont="1" applyBorder="1" applyAlignment="1">
      <alignment horizontal="left" vertical="center" indent="1"/>
    </xf>
    <xf numFmtId="0" fontId="8" fillId="0" borderId="8" xfId="0" applyFont="1" applyBorder="1" applyAlignment="1">
      <alignment horizontal="left" indent="1"/>
    </xf>
    <xf numFmtId="0" fontId="27" fillId="0" borderId="1" xfId="0" applyFont="1" applyBorder="1" applyAlignment="1">
      <alignment horizontal="left" vertical="center" indent="1"/>
    </xf>
    <xf numFmtId="0" fontId="39" fillId="0" borderId="1" xfId="0" applyFont="1" applyBorder="1" applyAlignment="1">
      <alignment horizontal="left" vertical="center" indent="1"/>
    </xf>
    <xf numFmtId="0" fontId="13" fillId="14" borderId="1" xfId="5" applyFont="1" applyFill="1" applyBorder="1" applyAlignment="1">
      <alignment horizontal="left" vertical="center" indent="1"/>
    </xf>
    <xf numFmtId="0" fontId="11" fillId="31" borderId="1" xfId="0" applyFont="1" applyFill="1" applyBorder="1" applyAlignment="1">
      <alignment horizontal="left" vertical="center" indent="1"/>
    </xf>
    <xf numFmtId="0" fontId="11" fillId="40" borderId="1" xfId="0" applyFont="1" applyFill="1" applyBorder="1" applyAlignment="1">
      <alignment horizontal="left" vertical="center" indent="1"/>
    </xf>
    <xf numFmtId="0" fontId="35" fillId="51" borderId="1" xfId="0" applyFont="1" applyFill="1" applyBorder="1" applyAlignment="1" applyProtection="1">
      <alignment horizontal="left" vertical="center" indent="1"/>
      <protection locked="0"/>
    </xf>
    <xf numFmtId="0" fontId="35" fillId="51" borderId="1" xfId="0" applyFont="1" applyFill="1" applyBorder="1" applyAlignment="1">
      <alignment horizontal="left" vertical="center" indent="1"/>
    </xf>
    <xf numFmtId="0" fontId="9" fillId="36" borderId="55" xfId="0" applyFont="1" applyFill="1" applyBorder="1" applyAlignment="1">
      <alignment horizontal="left" vertical="center" indent="1"/>
    </xf>
    <xf numFmtId="0" fontId="9" fillId="52" borderId="1" xfId="0" applyFont="1" applyFill="1" applyBorder="1" applyAlignment="1" applyProtection="1">
      <alignment horizontal="left" vertical="center" indent="1"/>
      <protection locked="0"/>
    </xf>
    <xf numFmtId="0" fontId="9" fillId="36" borderId="56" xfId="0" applyFont="1" applyFill="1" applyBorder="1" applyAlignment="1">
      <alignment horizontal="left" vertical="center" indent="1"/>
    </xf>
    <xf numFmtId="0" fontId="6" fillId="0" borderId="1" xfId="9" applyBorder="1" applyAlignment="1">
      <alignment horizontal="left" vertical="center" indent="1"/>
    </xf>
    <xf numFmtId="0" fontId="11" fillId="0" borderId="1" xfId="0" applyFont="1" applyBorder="1" applyAlignment="1" applyProtection="1">
      <alignment horizontal="left" vertical="center" indent="1"/>
      <protection locked="0"/>
    </xf>
    <xf numFmtId="0" fontId="4" fillId="0" borderId="1" xfId="0" applyFont="1" applyBorder="1" applyAlignment="1">
      <alignment horizontal="left" indent="1"/>
    </xf>
    <xf numFmtId="0" fontId="9" fillId="0" borderId="1" xfId="0" applyFont="1" applyBorder="1" applyAlignment="1">
      <alignment horizontal="left" indent="1"/>
    </xf>
    <xf numFmtId="0" fontId="4" fillId="0" borderId="0" xfId="0" applyFont="1"/>
    <xf numFmtId="0" fontId="53" fillId="0" borderId="13" xfId="0" applyFont="1" applyBorder="1" applyAlignment="1">
      <alignment horizontal="left" vertical="center" indent="1"/>
    </xf>
    <xf numFmtId="0" fontId="9" fillId="36" borderId="57" xfId="0" applyFont="1" applyFill="1" applyBorder="1" applyAlignment="1">
      <alignment horizontal="left" vertical="center" indent="1"/>
    </xf>
    <xf numFmtId="0" fontId="53" fillId="0" borderId="0" xfId="0" applyFont="1" applyAlignment="1">
      <alignment horizontal="left" vertical="center" indent="1"/>
    </xf>
    <xf numFmtId="0" fontId="8" fillId="29" borderId="0" xfId="0" applyFont="1" applyFill="1"/>
    <xf numFmtId="0" fontId="4" fillId="0" borderId="1" xfId="0" applyFont="1" applyBorder="1" applyAlignment="1">
      <alignment horizontal="left" vertical="center" indent="1"/>
    </xf>
    <xf numFmtId="0" fontId="11" fillId="0" borderId="0" xfId="0" applyFont="1" applyAlignment="1">
      <alignment horizontal="left" indent="1"/>
    </xf>
    <xf numFmtId="0" fontId="11" fillId="0" borderId="1" xfId="0" applyFont="1" applyBorder="1" applyAlignment="1">
      <alignment horizontal="left" vertical="center"/>
    </xf>
    <xf numFmtId="0" fontId="4" fillId="0" borderId="0" xfId="0" applyFont="1" applyAlignment="1">
      <alignment horizontal="left" vertical="center" indent="1"/>
    </xf>
    <xf numFmtId="0" fontId="8" fillId="42" borderId="1" xfId="0" applyFont="1" applyFill="1" applyBorder="1" applyAlignment="1" applyProtection="1">
      <alignment horizontal="left" vertical="center" indent="1"/>
      <protection locked="0"/>
    </xf>
    <xf numFmtId="0" fontId="54" fillId="0" borderId="1" xfId="0" applyFont="1" applyBorder="1" applyAlignment="1">
      <alignment horizontal="left" vertical="center" indent="1"/>
    </xf>
    <xf numFmtId="0" fontId="15" fillId="0" borderId="2" xfId="0" applyFont="1" applyBorder="1" applyAlignment="1">
      <alignment horizontal="left" indent="1"/>
    </xf>
    <xf numFmtId="0" fontId="13" fillId="18" borderId="1" xfId="0" applyFont="1" applyFill="1" applyBorder="1" applyAlignment="1">
      <alignment horizontal="left" vertical="center" indent="1"/>
    </xf>
    <xf numFmtId="0" fontId="0" fillId="0" borderId="0" xfId="0" applyAlignment="1">
      <alignment horizontal="left" vertical="center" indent="1"/>
    </xf>
    <xf numFmtId="0" fontId="6" fillId="0" borderId="0" xfId="9" applyAlignment="1">
      <alignment horizontal="left" indent="1"/>
    </xf>
    <xf numFmtId="0" fontId="51" fillId="25" borderId="1" xfId="0" applyFont="1" applyFill="1" applyBorder="1" applyAlignment="1">
      <alignment horizontal="left" vertical="center" indent="1"/>
    </xf>
    <xf numFmtId="0" fontId="8" fillId="0" borderId="3" xfId="0" applyFont="1" applyBorder="1" applyAlignment="1">
      <alignment horizontal="left" vertical="center" indent="1"/>
    </xf>
    <xf numFmtId="0" fontId="15" fillId="35" borderId="1" xfId="0" applyFont="1" applyFill="1" applyBorder="1" applyAlignment="1">
      <alignment horizontal="left" vertical="center" wrapText="1" indent="1"/>
    </xf>
    <xf numFmtId="0" fontId="15" fillId="35" borderId="8" xfId="0" applyFont="1" applyFill="1" applyBorder="1" applyAlignment="1">
      <alignment horizontal="left" vertical="center" wrapText="1" indent="1"/>
    </xf>
    <xf numFmtId="0" fontId="55" fillId="29" borderId="8" xfId="5" applyFont="1" applyFill="1" applyBorder="1" applyAlignment="1">
      <alignment horizontal="left" vertical="center" indent="1"/>
    </xf>
    <xf numFmtId="0" fontId="8" fillId="28" borderId="1" xfId="1" applyFont="1" applyFill="1" applyBorder="1" applyAlignment="1">
      <alignment horizontal="left" vertical="center" wrapText="1" indent="1"/>
    </xf>
    <xf numFmtId="0" fontId="22" fillId="0" borderId="0" xfId="9" applyFont="1" applyProtection="1">
      <protection locked="0"/>
    </xf>
    <xf numFmtId="0" fontId="9" fillId="18" borderId="1" xfId="0" applyFont="1" applyFill="1" applyBorder="1" applyAlignment="1">
      <alignment horizontal="left" vertical="center" indent="1"/>
    </xf>
    <xf numFmtId="0" fontId="9" fillId="18" borderId="13" xfId="0" applyFont="1" applyFill="1" applyBorder="1" applyAlignment="1">
      <alignment horizontal="left" vertical="center" indent="1"/>
    </xf>
    <xf numFmtId="0" fontId="8" fillId="18" borderId="1" xfId="1" applyFont="1" applyFill="1" applyBorder="1" applyAlignment="1">
      <alignment horizontal="left" vertical="center" wrapText="1" indent="1"/>
    </xf>
    <xf numFmtId="0" fontId="13" fillId="0" borderId="7" xfId="0" applyFont="1" applyBorder="1" applyAlignment="1" applyProtection="1">
      <alignment horizontal="left" vertical="center" indent="1"/>
      <protection locked="0"/>
    </xf>
    <xf numFmtId="0" fontId="11" fillId="28" borderId="9" xfId="0" applyFont="1" applyFill="1" applyBorder="1" applyAlignment="1">
      <alignment horizontal="left" vertical="center" indent="1"/>
    </xf>
    <xf numFmtId="0" fontId="11" fillId="28" borderId="8" xfId="0" applyFont="1" applyFill="1" applyBorder="1" applyAlignment="1">
      <alignment horizontal="left" vertical="center" indent="1"/>
    </xf>
    <xf numFmtId="0" fontId="15" fillId="5" borderId="13" xfId="0" applyFont="1" applyFill="1" applyBorder="1" applyAlignment="1">
      <alignment horizontal="left" vertical="center" wrapText="1" indent="1"/>
    </xf>
    <xf numFmtId="0" fontId="8" fillId="0" borderId="1" xfId="9" applyFont="1" applyBorder="1" applyAlignment="1" applyProtection="1">
      <alignment horizontal="left" vertical="center" indent="1"/>
      <protection locked="0"/>
    </xf>
    <xf numFmtId="0" fontId="9" fillId="20" borderId="13" xfId="0" applyFont="1" applyFill="1" applyBorder="1" applyAlignment="1">
      <alignment horizontal="left" vertical="center" indent="1"/>
    </xf>
    <xf numFmtId="0" fontId="9" fillId="20" borderId="1" xfId="0" applyFont="1" applyFill="1" applyBorder="1" applyAlignment="1">
      <alignment horizontal="left" vertical="center" indent="1"/>
    </xf>
    <xf numFmtId="0" fontId="10" fillId="30" borderId="8" xfId="0" applyFont="1" applyFill="1" applyBorder="1" applyAlignment="1">
      <alignment horizontal="left" vertical="center" indent="1"/>
    </xf>
    <xf numFmtId="0" fontId="11" fillId="0" borderId="0" xfId="0" applyFont="1"/>
    <xf numFmtId="0" fontId="56" fillId="0" borderId="0" xfId="0" applyFont="1"/>
    <xf numFmtId="0" fontId="0" fillId="0" borderId="0" xfId="0" applyAlignment="1">
      <alignment horizontal="left"/>
    </xf>
    <xf numFmtId="0" fontId="9" fillId="55" borderId="1" xfId="0" applyFont="1" applyFill="1" applyBorder="1" applyAlignment="1">
      <alignment horizontal="left" vertical="center" indent="1"/>
    </xf>
    <xf numFmtId="0" fontId="8" fillId="40" borderId="9" xfId="0" applyFont="1" applyFill="1" applyBorder="1" applyAlignment="1">
      <alignment horizontal="left" vertical="center" indent="1"/>
    </xf>
    <xf numFmtId="0" fontId="8" fillId="0" borderId="4" xfId="0" applyFont="1" applyBorder="1" applyAlignment="1">
      <alignment horizontal="left" indent="1"/>
    </xf>
    <xf numFmtId="0" fontId="8" fillId="0" borderId="0" xfId="0" applyFont="1" applyAlignment="1">
      <alignment horizontal="left"/>
    </xf>
    <xf numFmtId="0" fontId="9" fillId="36" borderId="16" xfId="0" applyFont="1" applyFill="1" applyBorder="1" applyAlignment="1">
      <alignment horizontal="left" vertical="center" indent="1"/>
    </xf>
    <xf numFmtId="0" fontId="8" fillId="0" borderId="1" xfId="0" applyFont="1" applyBorder="1" applyAlignment="1">
      <alignment horizontal="left" vertical="center" wrapText="1" indent="1"/>
    </xf>
    <xf numFmtId="0" fontId="8" fillId="0" borderId="7" xfId="0" applyFont="1" applyBorder="1" applyAlignment="1">
      <alignment horizontal="left" vertical="center" wrapText="1" indent="1"/>
    </xf>
    <xf numFmtId="0" fontId="8" fillId="0" borderId="8" xfId="0" applyFont="1" applyBorder="1" applyAlignment="1">
      <alignment horizontal="left" vertical="center" wrapText="1" indent="1"/>
    </xf>
    <xf numFmtId="49" fontId="8" fillId="0" borderId="1" xfId="0" applyNumberFormat="1" applyFont="1" applyBorder="1" applyAlignment="1">
      <alignment horizontal="left" vertical="center" wrapText="1" indent="1"/>
    </xf>
    <xf numFmtId="0" fontId="20" fillId="29" borderId="1" xfId="5" applyFont="1" applyFill="1" applyBorder="1" applyAlignment="1">
      <alignment horizontal="left" vertical="center" indent="1"/>
    </xf>
    <xf numFmtId="0" fontId="10" fillId="25" borderId="1" xfId="1" applyFont="1" applyFill="1" applyBorder="1" applyAlignment="1">
      <alignment horizontal="left" vertical="center" wrapText="1" indent="1"/>
    </xf>
    <xf numFmtId="0" fontId="8" fillId="0" borderId="1" xfId="0" applyFont="1" applyBorder="1" applyAlignment="1">
      <alignment horizontal="left" vertical="center" indent="1"/>
    </xf>
    <xf numFmtId="0" fontId="10" fillId="50" borderId="1" xfId="1" applyFont="1" applyFill="1" applyBorder="1" applyAlignment="1">
      <alignment horizontal="left" vertical="center" wrapText="1" indent="1"/>
    </xf>
    <xf numFmtId="0" fontId="10" fillId="8" borderId="0" xfId="0" applyFont="1" applyFill="1" applyAlignment="1">
      <alignment horizontal="left" vertical="center" indent="1"/>
    </xf>
    <xf numFmtId="0" fontId="20" fillId="29" borderId="7" xfId="5" applyFont="1" applyFill="1" applyBorder="1" applyAlignment="1">
      <alignment horizontal="left" vertical="center" indent="1"/>
    </xf>
    <xf numFmtId="0" fontId="20" fillId="29" borderId="9" xfId="5" applyFont="1" applyFill="1" applyBorder="1" applyAlignment="1">
      <alignment horizontal="left" vertical="center" indent="1"/>
    </xf>
    <xf numFmtId="0" fontId="20" fillId="29" borderId="8" xfId="5" applyFont="1" applyFill="1" applyBorder="1" applyAlignment="1">
      <alignment horizontal="left" vertical="center" indent="1"/>
    </xf>
    <xf numFmtId="0" fontId="8" fillId="0" borderId="7" xfId="0" applyFont="1" applyBorder="1" applyAlignment="1">
      <alignment horizontal="left" vertical="center" indent="1"/>
    </xf>
    <xf numFmtId="0" fontId="8" fillId="0" borderId="9" xfId="0" applyFont="1" applyBorder="1" applyAlignment="1">
      <alignment horizontal="left" vertical="center" indent="1"/>
    </xf>
    <xf numFmtId="0" fontId="8" fillId="0" borderId="8" xfId="0" applyFont="1" applyBorder="1" applyAlignment="1">
      <alignment horizontal="left" vertical="center" indent="1"/>
    </xf>
    <xf numFmtId="0" fontId="11" fillId="28" borderId="1" xfId="1" applyFont="1" applyFill="1" applyBorder="1" applyAlignment="1">
      <alignment horizontal="left" vertical="center" wrapText="1" indent="1"/>
    </xf>
    <xf numFmtId="0" fontId="8" fillId="0" borderId="1" xfId="0" applyFont="1" applyBorder="1" applyAlignment="1" applyProtection="1">
      <alignment horizontal="left" vertical="center" indent="1"/>
      <protection locked="0"/>
    </xf>
    <xf numFmtId="0" fontId="11" fillId="28" borderId="8" xfId="1" applyFont="1" applyFill="1" applyBorder="1" applyAlignment="1">
      <alignment horizontal="left" vertical="center" wrapText="1" indent="1"/>
    </xf>
    <xf numFmtId="0" fontId="11" fillId="34" borderId="7" xfId="1" applyFont="1" applyFill="1" applyBorder="1" applyAlignment="1">
      <alignment horizontal="left" vertical="center" wrapText="1" indent="1"/>
    </xf>
    <xf numFmtId="0" fontId="11" fillId="34" borderId="9" xfId="1" applyFont="1" applyFill="1" applyBorder="1" applyAlignment="1">
      <alignment horizontal="left" vertical="center" wrapText="1" indent="1"/>
    </xf>
    <xf numFmtId="0" fontId="11" fillId="0" borderId="7" xfId="0" applyFont="1" applyBorder="1" applyAlignment="1">
      <alignment horizontal="left" vertical="center" indent="1"/>
    </xf>
    <xf numFmtId="0" fontId="11" fillId="0" borderId="8" xfId="0" applyFont="1" applyBorder="1" applyAlignment="1">
      <alignment horizontal="left" vertical="center" indent="1"/>
    </xf>
    <xf numFmtId="0" fontId="10" fillId="25" borderId="7" xfId="5" applyFont="1" applyFill="1" applyBorder="1" applyAlignment="1">
      <alignment horizontal="left" vertical="center" indent="1"/>
    </xf>
    <xf numFmtId="0" fontId="10" fillId="25" borderId="9" xfId="5" applyFont="1" applyFill="1" applyBorder="1" applyAlignment="1">
      <alignment horizontal="left" vertical="center" indent="1"/>
    </xf>
    <xf numFmtId="0" fontId="8" fillId="0" borderId="1" xfId="11" applyFont="1" applyBorder="1" applyAlignment="1" applyProtection="1">
      <alignment horizontal="left" vertical="center" indent="1"/>
      <protection locked="0"/>
    </xf>
    <xf numFmtId="0" fontId="13" fillId="0" borderId="1" xfId="0" applyFont="1" applyBorder="1" applyAlignment="1">
      <alignment horizontal="left" vertical="center" indent="1"/>
    </xf>
    <xf numFmtId="0" fontId="20" fillId="29" borderId="0" xfId="5" applyFont="1" applyFill="1" applyAlignment="1">
      <alignment horizontal="left" vertical="center" indent="1"/>
    </xf>
    <xf numFmtId="0" fontId="11" fillId="0" borderId="7" xfId="0" applyFont="1" applyBorder="1" applyAlignment="1">
      <alignment horizontal="left" vertical="center" wrapText="1" indent="1"/>
    </xf>
    <xf numFmtId="0" fontId="11" fillId="34" borderId="1" xfId="1" applyFont="1" applyFill="1" applyBorder="1" applyAlignment="1">
      <alignment horizontal="left" vertical="center" wrapText="1" indent="1"/>
    </xf>
    <xf numFmtId="0" fontId="8" fillId="0" borderId="0" xfId="0" applyFont="1" applyAlignment="1">
      <alignment vertical="top" wrapText="1"/>
    </xf>
    <xf numFmtId="0" fontId="11" fillId="0" borderId="1" xfId="0" applyFont="1" applyBorder="1" applyAlignment="1">
      <alignment horizontal="left" vertical="center" wrapText="1" indent="1"/>
    </xf>
    <xf numFmtId="0" fontId="8" fillId="40" borderId="1" xfId="0" applyFont="1" applyFill="1" applyBorder="1" applyAlignment="1">
      <alignment horizontal="left" vertical="center" indent="1"/>
    </xf>
    <xf numFmtId="0" fontId="10" fillId="25" borderId="7" xfId="0" applyFont="1" applyFill="1" applyBorder="1" applyAlignment="1">
      <alignment horizontal="left" vertical="center" indent="1"/>
    </xf>
    <xf numFmtId="0" fontId="10" fillId="25" borderId="9" xfId="0" applyFont="1" applyFill="1" applyBorder="1" applyAlignment="1">
      <alignment horizontal="left" vertical="center" indent="1"/>
    </xf>
    <xf numFmtId="0" fontId="10" fillId="25" borderId="8" xfId="0" applyFont="1" applyFill="1" applyBorder="1" applyAlignment="1">
      <alignment horizontal="left" vertical="center" indent="1"/>
    </xf>
    <xf numFmtId="0" fontId="10" fillId="25" borderId="7" xfId="5" applyFont="1" applyFill="1" applyBorder="1" applyAlignment="1">
      <alignment horizontal="left" vertical="center" wrapText="1" indent="1"/>
    </xf>
    <xf numFmtId="0" fontId="10" fillId="25" borderId="9" xfId="5" applyFont="1" applyFill="1" applyBorder="1" applyAlignment="1">
      <alignment horizontal="left" vertical="center" wrapText="1" indent="1"/>
    </xf>
    <xf numFmtId="0" fontId="10" fillId="25" borderId="8" xfId="5" applyFont="1" applyFill="1" applyBorder="1" applyAlignment="1">
      <alignment horizontal="left" vertical="center" wrapText="1" indent="1"/>
    </xf>
    <xf numFmtId="0" fontId="10" fillId="29" borderId="7" xfId="5" applyFont="1" applyFill="1" applyBorder="1" applyAlignment="1">
      <alignment horizontal="left" vertical="center" indent="1"/>
    </xf>
    <xf numFmtId="0" fontId="10" fillId="29" borderId="9" xfId="5" applyFont="1" applyFill="1" applyBorder="1" applyAlignment="1">
      <alignment horizontal="left" vertical="center" indent="1"/>
    </xf>
    <xf numFmtId="0" fontId="10" fillId="29" borderId="8" xfId="5" applyFont="1" applyFill="1" applyBorder="1" applyAlignment="1">
      <alignment horizontal="left" vertical="center" indent="1"/>
    </xf>
    <xf numFmtId="0" fontId="11" fillId="0" borderId="9" xfId="0" applyFont="1" applyBorder="1" applyAlignment="1">
      <alignment horizontal="left" vertical="center" indent="1"/>
    </xf>
    <xf numFmtId="0" fontId="10" fillId="25" borderId="1" xfId="5" applyFont="1" applyFill="1" applyBorder="1" applyAlignment="1">
      <alignment horizontal="left" vertical="center" wrapText="1" indent="1"/>
    </xf>
    <xf numFmtId="0" fontId="10" fillId="25" borderId="1" xfId="5" applyFont="1" applyFill="1" applyBorder="1" applyAlignment="1">
      <alignment horizontal="left" vertical="center" indent="1"/>
    </xf>
    <xf numFmtId="0" fontId="19" fillId="24" borderId="7" xfId="0" applyFont="1" applyFill="1" applyBorder="1" applyAlignment="1">
      <alignment horizontal="left" vertical="center" wrapText="1" indent="1"/>
    </xf>
    <xf numFmtId="0" fontId="19" fillId="24" borderId="9" xfId="0" applyFont="1" applyFill="1" applyBorder="1" applyAlignment="1">
      <alignment horizontal="left" vertical="center" wrapText="1" indent="1"/>
    </xf>
    <xf numFmtId="0" fontId="19" fillId="38" borderId="7" xfId="0" applyFont="1" applyFill="1" applyBorder="1" applyAlignment="1">
      <alignment horizontal="left" vertical="center" indent="1"/>
    </xf>
    <xf numFmtId="0" fontId="19" fillId="38" borderId="9" xfId="0" applyFont="1" applyFill="1" applyBorder="1" applyAlignment="1">
      <alignment horizontal="left" vertical="center" indent="1"/>
    </xf>
    <xf numFmtId="0" fontId="10" fillId="33" borderId="7" xfId="6" applyFont="1" applyFill="1" applyBorder="1" applyAlignment="1">
      <alignment horizontal="left" vertical="center" indent="1"/>
    </xf>
    <xf numFmtId="0" fontId="10" fillId="33" borderId="8" xfId="6" applyFont="1" applyFill="1" applyBorder="1" applyAlignment="1">
      <alignment horizontal="left" vertical="center" indent="1"/>
    </xf>
    <xf numFmtId="0" fontId="10" fillId="33" borderId="9" xfId="6" applyFont="1" applyFill="1" applyBorder="1" applyAlignment="1">
      <alignment horizontal="left" vertical="center" indent="1"/>
    </xf>
    <xf numFmtId="0" fontId="10" fillId="29" borderId="7" xfId="6" applyFont="1" applyFill="1" applyBorder="1" applyAlignment="1">
      <alignment horizontal="left" vertical="center" indent="1"/>
    </xf>
    <xf numFmtId="0" fontId="10" fillId="29" borderId="9" xfId="6" applyFont="1" applyFill="1" applyBorder="1" applyAlignment="1">
      <alignment horizontal="left" vertical="center" indent="1"/>
    </xf>
    <xf numFmtId="0" fontId="20" fillId="4" borderId="7" xfId="5" applyFont="1" applyBorder="1" applyAlignment="1">
      <alignment horizontal="left" vertical="center" indent="1"/>
    </xf>
    <xf numFmtId="0" fontId="20" fillId="33" borderId="7" xfId="5" applyFont="1" applyFill="1" applyBorder="1" applyAlignment="1">
      <alignment horizontal="left" vertical="center" indent="1"/>
    </xf>
    <xf numFmtId="0" fontId="20" fillId="33" borderId="8" xfId="5" applyFont="1" applyFill="1" applyBorder="1" applyAlignment="1">
      <alignment horizontal="left" vertical="center" indent="1"/>
    </xf>
    <xf numFmtId="0" fontId="20" fillId="4" borderId="1" xfId="5" applyFont="1" applyBorder="1" applyAlignment="1">
      <alignment horizontal="left" vertical="center" indent="1"/>
    </xf>
    <xf numFmtId="0" fontId="28" fillId="13" borderId="9" xfId="0" applyFont="1" applyFill="1" applyBorder="1" applyAlignment="1">
      <alignment horizontal="left" vertical="center" indent="1"/>
    </xf>
    <xf numFmtId="0" fontId="20" fillId="4" borderId="9" xfId="5" applyFont="1" applyBorder="1" applyAlignment="1">
      <alignment horizontal="left" vertical="center" indent="1"/>
    </xf>
    <xf numFmtId="0" fontId="20" fillId="33" borderId="9" xfId="5" applyFont="1" applyFill="1" applyBorder="1" applyAlignment="1">
      <alignment horizontal="left" vertical="center" indent="1"/>
    </xf>
    <xf numFmtId="0" fontId="20" fillId="33" borderId="1" xfId="5" applyFont="1" applyFill="1" applyBorder="1" applyAlignment="1">
      <alignment horizontal="left" vertical="center" indent="1"/>
    </xf>
    <xf numFmtId="0" fontId="38" fillId="38" borderId="7" xfId="0" applyFont="1" applyFill="1" applyBorder="1" applyAlignment="1">
      <alignment horizontal="left" vertical="center" indent="1"/>
    </xf>
    <xf numFmtId="0" fontId="38" fillId="38" borderId="9" xfId="0" applyFont="1" applyFill="1" applyBorder="1" applyAlignment="1">
      <alignment horizontal="left" vertical="center" indent="1"/>
    </xf>
    <xf numFmtId="0" fontId="38" fillId="38" borderId="8" xfId="0" applyFont="1" applyFill="1" applyBorder="1" applyAlignment="1">
      <alignment horizontal="left" vertical="center" indent="1"/>
    </xf>
    <xf numFmtId="0" fontId="15" fillId="5" borderId="1" xfId="0" applyFont="1" applyFill="1" applyBorder="1" applyAlignment="1">
      <alignment horizontal="left" vertical="center" wrapText="1" indent="1"/>
    </xf>
    <xf numFmtId="0" fontId="19" fillId="38" borderId="8" xfId="0" applyFont="1" applyFill="1" applyBorder="1" applyAlignment="1">
      <alignment horizontal="left" vertical="center" indent="1"/>
    </xf>
    <xf numFmtId="0" fontId="10" fillId="29" borderId="0" xfId="5" applyFont="1" applyFill="1" applyAlignment="1">
      <alignment horizontal="left" vertical="center" indent="1"/>
    </xf>
    <xf numFmtId="0" fontId="11" fillId="18" borderId="7" xfId="1" applyFont="1" applyFill="1" applyBorder="1" applyAlignment="1">
      <alignment horizontal="left" vertical="center" wrapText="1" indent="1"/>
    </xf>
    <xf numFmtId="0" fontId="8" fillId="0" borderId="8" xfId="0" applyFont="1" applyBorder="1" applyAlignment="1" applyProtection="1">
      <alignment horizontal="left" vertical="center" indent="1"/>
      <protection locked="0"/>
    </xf>
    <xf numFmtId="0" fontId="9" fillId="42" borderId="8" xfId="0" applyFont="1" applyFill="1" applyBorder="1" applyAlignment="1" applyProtection="1">
      <alignment horizontal="left" vertical="center" indent="1"/>
      <protection locked="0"/>
    </xf>
    <xf numFmtId="0" fontId="9" fillId="0" borderId="8" xfId="0" applyFont="1" applyBorder="1"/>
    <xf numFmtId="0" fontId="9" fillId="0" borderId="13" xfId="0" applyFont="1" applyBorder="1" applyAlignment="1">
      <alignment horizontal="left" indent="1"/>
    </xf>
    <xf numFmtId="0" fontId="9" fillId="42" borderId="4" xfId="0" applyFont="1" applyFill="1" applyBorder="1" applyAlignment="1" applyProtection="1">
      <alignment horizontal="left" vertical="center" indent="1"/>
      <protection locked="0"/>
    </xf>
    <xf numFmtId="0" fontId="31" fillId="29" borderId="7" xfId="0" applyFont="1" applyFill="1" applyBorder="1" applyAlignment="1">
      <alignment horizontal="left" vertical="center" indent="1"/>
    </xf>
    <xf numFmtId="0" fontId="31" fillId="29" borderId="9" xfId="0" applyFont="1" applyFill="1" applyBorder="1" applyAlignment="1">
      <alignment horizontal="left" vertical="center" indent="1"/>
    </xf>
    <xf numFmtId="0" fontId="31" fillId="29" borderId="8" xfId="0" applyFont="1" applyFill="1" applyBorder="1" applyAlignment="1">
      <alignment horizontal="left" vertical="center" indent="1"/>
    </xf>
    <xf numFmtId="0" fontId="20" fillId="29" borderId="7" xfId="5" applyFont="1" applyFill="1" applyBorder="1" applyAlignment="1">
      <alignment horizontal="left" vertical="center" indent="1"/>
    </xf>
    <xf numFmtId="0" fontId="20" fillId="29" borderId="9" xfId="5" applyFont="1" applyFill="1" applyBorder="1" applyAlignment="1">
      <alignment horizontal="left" vertical="center" indent="1"/>
    </xf>
    <xf numFmtId="0" fontId="20" fillId="29" borderId="8" xfId="5" applyFont="1" applyFill="1" applyBorder="1" applyAlignment="1">
      <alignment horizontal="left" vertical="center" indent="1"/>
    </xf>
    <xf numFmtId="0" fontId="8" fillId="0" borderId="7" xfId="0" applyFont="1" applyBorder="1" applyAlignment="1">
      <alignment horizontal="left" vertical="center" indent="1"/>
    </xf>
    <xf numFmtId="0" fontId="8" fillId="0" borderId="9" xfId="0" applyFont="1" applyBorder="1" applyAlignment="1">
      <alignment horizontal="left" vertical="center" indent="1"/>
    </xf>
    <xf numFmtId="0" fontId="8" fillId="0" borderId="8" xfId="0" applyFont="1" applyBorder="1" applyAlignment="1">
      <alignment horizontal="left" vertical="center" indent="1"/>
    </xf>
    <xf numFmtId="0" fontId="11" fillId="28" borderId="1" xfId="1" applyFont="1" applyFill="1" applyBorder="1" applyAlignment="1">
      <alignment horizontal="left" vertical="center" wrapText="1" indent="1"/>
    </xf>
    <xf numFmtId="0" fontId="33" fillId="18" borderId="1" xfId="0" applyFont="1" applyFill="1" applyBorder="1" applyAlignment="1">
      <alignment horizontal="center" vertical="center"/>
    </xf>
    <xf numFmtId="0" fontId="32" fillId="29" borderId="1" xfId="5" applyFont="1" applyFill="1" applyBorder="1" applyAlignment="1">
      <alignment horizontal="left" vertical="center" indent="1"/>
    </xf>
    <xf numFmtId="0" fontId="10" fillId="30" borderId="7" xfId="0" applyFont="1" applyFill="1" applyBorder="1" applyAlignment="1">
      <alignment horizontal="left" vertical="center" indent="1"/>
    </xf>
    <xf numFmtId="0" fontId="10" fillId="30" borderId="9" xfId="0" applyFont="1" applyFill="1" applyBorder="1" applyAlignment="1">
      <alignment horizontal="left" vertical="center" indent="1"/>
    </xf>
    <xf numFmtId="0" fontId="28" fillId="29" borderId="0" xfId="0" applyFont="1" applyFill="1" applyAlignment="1">
      <alignment horizontal="left" vertical="center" indent="1"/>
    </xf>
    <xf numFmtId="0" fontId="10" fillId="8" borderId="0" xfId="0" applyFont="1" applyFill="1" applyAlignment="1">
      <alignment horizontal="left" vertical="center" indent="1"/>
    </xf>
    <xf numFmtId="0" fontId="8" fillId="0" borderId="1" xfId="0" applyFont="1" applyBorder="1" applyAlignment="1">
      <alignment horizontal="left" vertical="center" wrapText="1" indent="1"/>
    </xf>
    <xf numFmtId="0" fontId="8" fillId="0" borderId="1" xfId="0" applyFont="1" applyBorder="1" applyAlignment="1">
      <alignment horizontal="left" vertical="center" indent="1"/>
    </xf>
    <xf numFmtId="0" fontId="10" fillId="25" borderId="1" xfId="1" applyFont="1" applyFill="1" applyBorder="1" applyAlignment="1">
      <alignment horizontal="left" vertical="center" wrapText="1" indent="1"/>
    </xf>
    <xf numFmtId="0" fontId="20" fillId="29" borderId="1" xfId="5" applyFont="1" applyFill="1" applyBorder="1" applyAlignment="1">
      <alignment horizontal="left" vertical="center" indent="1"/>
    </xf>
    <xf numFmtId="0" fontId="8" fillId="0" borderId="1" xfId="0" applyFont="1" applyBorder="1" applyAlignment="1">
      <alignment horizontal="left" vertical="top" wrapText="1" indent="1"/>
    </xf>
    <xf numFmtId="49" fontId="8" fillId="0" borderId="1" xfId="0" applyNumberFormat="1" applyFont="1" applyBorder="1" applyAlignment="1">
      <alignment horizontal="left" vertical="center" wrapText="1" indent="1"/>
    </xf>
    <xf numFmtId="0" fontId="10" fillId="50" borderId="1" xfId="1" applyFont="1" applyFill="1" applyBorder="1" applyAlignment="1">
      <alignment horizontal="left" vertical="center" wrapText="1" indent="1"/>
    </xf>
    <xf numFmtId="0" fontId="8" fillId="0" borderId="1" xfId="0" applyFont="1" applyBorder="1" applyAlignment="1">
      <alignment horizontal="left" vertical="center" wrapText="1"/>
    </xf>
    <xf numFmtId="49" fontId="8" fillId="0" borderId="7" xfId="0" applyNumberFormat="1" applyFont="1" applyBorder="1" applyAlignment="1">
      <alignment horizontal="left" vertical="center" wrapText="1" indent="1"/>
    </xf>
    <xf numFmtId="49" fontId="8" fillId="0" borderId="8" xfId="0" applyNumberFormat="1" applyFont="1" applyBorder="1" applyAlignment="1">
      <alignment horizontal="left" vertical="center" wrapText="1" indent="1"/>
    </xf>
    <xf numFmtId="0" fontId="8" fillId="0" borderId="7" xfId="0" applyFont="1" applyBorder="1" applyAlignment="1">
      <alignment horizontal="left" vertical="center" wrapText="1" indent="1"/>
    </xf>
    <xf numFmtId="0" fontId="8" fillId="0" borderId="8" xfId="0" applyFont="1" applyBorder="1" applyAlignment="1">
      <alignment horizontal="left" vertical="center" wrapText="1" indent="1"/>
    </xf>
    <xf numFmtId="0" fontId="8" fillId="0" borderId="10" xfId="0" applyFont="1" applyBorder="1" applyAlignment="1">
      <alignment horizontal="left" vertical="center" wrapText="1" indent="1"/>
    </xf>
    <xf numFmtId="0" fontId="8" fillId="0" borderId="11" xfId="0" applyFont="1" applyBorder="1" applyAlignment="1">
      <alignment horizontal="left" vertical="center" wrapText="1" indent="1"/>
    </xf>
    <xf numFmtId="0" fontId="8" fillId="0" borderId="5" xfId="0" applyFont="1" applyBorder="1" applyAlignment="1">
      <alignment horizontal="left" vertical="center" wrapText="1" indent="1"/>
    </xf>
    <xf numFmtId="0" fontId="8" fillId="0" borderId="6" xfId="0" applyFont="1" applyBorder="1" applyAlignment="1">
      <alignment horizontal="left" vertical="center" wrapText="1" indent="1"/>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11" fillId="28" borderId="7" xfId="1" applyFont="1" applyFill="1" applyBorder="1" applyAlignment="1">
      <alignment horizontal="left" vertical="center" wrapText="1" indent="1"/>
    </xf>
    <xf numFmtId="0" fontId="11" fillId="28" borderId="8" xfId="1" applyFont="1" applyFill="1" applyBorder="1" applyAlignment="1">
      <alignment horizontal="left" vertical="center" wrapText="1" indent="1"/>
    </xf>
    <xf numFmtId="0" fontId="11" fillId="0" borderId="1" xfId="0" applyFont="1" applyBorder="1" applyAlignment="1">
      <alignment horizontal="left" vertical="center" wrapText="1" indent="1"/>
    </xf>
    <xf numFmtId="0" fontId="8" fillId="18" borderId="7" xfId="0" applyFont="1" applyFill="1" applyBorder="1" applyAlignment="1">
      <alignment horizontal="left" vertical="center" wrapText="1" indent="1"/>
    </xf>
    <xf numFmtId="0" fontId="8" fillId="18" borderId="8" xfId="0" applyFont="1" applyFill="1" applyBorder="1" applyAlignment="1">
      <alignment horizontal="left" vertical="center" wrapText="1" indent="1"/>
    </xf>
    <xf numFmtId="0" fontId="11" fillId="28" borderId="9" xfId="1" applyFont="1" applyFill="1" applyBorder="1" applyAlignment="1">
      <alignment horizontal="left" vertical="center" wrapText="1" indent="1"/>
    </xf>
    <xf numFmtId="0" fontId="20" fillId="29" borderId="0" xfId="5" applyFont="1" applyFill="1" applyAlignment="1">
      <alignment horizontal="left" vertical="center" indent="1"/>
    </xf>
    <xf numFmtId="0" fontId="11" fillId="0" borderId="7" xfId="0" applyFont="1" applyBorder="1" applyAlignment="1">
      <alignment horizontal="left" vertical="center" wrapText="1" indent="1"/>
    </xf>
    <xf numFmtId="0" fontId="11" fillId="0" borderId="8" xfId="0" applyFont="1" applyBorder="1" applyAlignment="1">
      <alignment horizontal="left" vertical="center" wrapText="1" indent="1"/>
    </xf>
    <xf numFmtId="0" fontId="28" fillId="29" borderId="0" xfId="0" applyFont="1" applyFill="1" applyAlignment="1">
      <alignment vertical="center"/>
    </xf>
    <xf numFmtId="0" fontId="20" fillId="29" borderId="2" xfId="5" applyFont="1" applyFill="1" applyBorder="1" applyAlignment="1">
      <alignment horizontal="left" vertical="center" indent="1"/>
    </xf>
    <xf numFmtId="0" fontId="20" fillId="29" borderId="3" xfId="5" applyFont="1" applyFill="1" applyBorder="1" applyAlignment="1">
      <alignment horizontal="left" vertical="center" indent="1"/>
    </xf>
    <xf numFmtId="0" fontId="11" fillId="34" borderId="10" xfId="1" applyFont="1" applyFill="1" applyBorder="1" applyAlignment="1">
      <alignment horizontal="left" vertical="center" wrapText="1" indent="1"/>
    </xf>
    <xf numFmtId="0" fontId="11" fillId="34" borderId="12" xfId="1" applyFont="1" applyFill="1" applyBorder="1" applyAlignment="1">
      <alignment horizontal="left" vertical="center" wrapText="1" indent="1"/>
    </xf>
    <xf numFmtId="0" fontId="11" fillId="34" borderId="11" xfId="1" applyFont="1" applyFill="1" applyBorder="1" applyAlignment="1">
      <alignment horizontal="left" vertical="center" wrapText="1" indent="1"/>
    </xf>
    <xf numFmtId="0" fontId="11" fillId="34" borderId="1" xfId="1" applyFont="1" applyFill="1" applyBorder="1" applyAlignment="1">
      <alignment horizontal="left" vertical="center" wrapText="1" indent="1"/>
    </xf>
    <xf numFmtId="0" fontId="8" fillId="0" borderId="0" xfId="0" applyFont="1" applyAlignment="1">
      <alignment vertical="top" wrapText="1"/>
    </xf>
    <xf numFmtId="0" fontId="8" fillId="54" borderId="1" xfId="0" applyFont="1" applyFill="1" applyBorder="1" applyAlignment="1" applyProtection="1">
      <alignment horizontal="left" vertical="center" indent="1"/>
      <protection locked="0"/>
    </xf>
    <xf numFmtId="0" fontId="11" fillId="34" borderId="9" xfId="1" applyFont="1" applyFill="1" applyBorder="1" applyAlignment="1">
      <alignment horizontal="left" vertical="center" wrapText="1" indent="1"/>
    </xf>
    <xf numFmtId="0" fontId="11" fillId="34" borderId="8" xfId="1" applyFont="1" applyFill="1" applyBorder="1" applyAlignment="1">
      <alignment horizontal="left" vertical="center" wrapText="1" indent="1"/>
    </xf>
    <xf numFmtId="0" fontId="11" fillId="0" borderId="7" xfId="0" applyFont="1" applyBorder="1" applyAlignment="1">
      <alignment horizontal="left" vertical="center" indent="1"/>
    </xf>
    <xf numFmtId="0" fontId="11" fillId="0" borderId="8" xfId="0" applyFont="1" applyBorder="1" applyAlignment="1">
      <alignment horizontal="left" vertical="center" indent="1"/>
    </xf>
    <xf numFmtId="0" fontId="13" fillId="0" borderId="1" xfId="0" applyFont="1" applyBorder="1" applyAlignment="1">
      <alignment horizontal="left" vertical="center" indent="1"/>
    </xf>
    <xf numFmtId="0" fontId="13" fillId="0" borderId="7" xfId="0" applyFont="1" applyBorder="1" applyAlignment="1">
      <alignment horizontal="left" vertical="center" indent="1"/>
    </xf>
    <xf numFmtId="0" fontId="10" fillId="25" borderId="7" xfId="5" applyFont="1" applyFill="1" applyBorder="1" applyAlignment="1">
      <alignment horizontal="left" vertical="center" indent="1"/>
    </xf>
    <xf numFmtId="0" fontId="10" fillId="25" borderId="9" xfId="5" applyFont="1" applyFill="1" applyBorder="1" applyAlignment="1">
      <alignment horizontal="left" vertical="center" indent="1"/>
    </xf>
    <xf numFmtId="0" fontId="10" fillId="25" borderId="8" xfId="5" applyFont="1" applyFill="1" applyBorder="1" applyAlignment="1">
      <alignment horizontal="left" vertical="center" indent="1"/>
    </xf>
    <xf numFmtId="0" fontId="10" fillId="10" borderId="7" xfId="5" applyFont="1" applyFill="1" applyBorder="1" applyAlignment="1">
      <alignment horizontal="left" vertical="center" indent="1"/>
    </xf>
    <xf numFmtId="0" fontId="10" fillId="10" borderId="9" xfId="5" applyFont="1" applyFill="1" applyBorder="1" applyAlignment="1">
      <alignment horizontal="left" vertical="center" indent="1"/>
    </xf>
    <xf numFmtId="0" fontId="10" fillId="10" borderId="8" xfId="5" applyFont="1" applyFill="1" applyBorder="1" applyAlignment="1">
      <alignment horizontal="left" vertical="center" indent="1"/>
    </xf>
    <xf numFmtId="0" fontId="30" fillId="0" borderId="7" xfId="9" applyFont="1" applyBorder="1" applyAlignment="1">
      <alignment horizontal="left" vertical="center" indent="1"/>
    </xf>
    <xf numFmtId="0" fontId="30" fillId="0" borderId="9" xfId="9" applyFont="1" applyBorder="1" applyAlignment="1">
      <alignment horizontal="left" vertical="center" indent="1"/>
    </xf>
    <xf numFmtId="0" fontId="30" fillId="0" borderId="8" xfId="9" applyFont="1" applyBorder="1" applyAlignment="1">
      <alignment horizontal="left" vertical="center" indent="1"/>
    </xf>
    <xf numFmtId="0" fontId="8" fillId="0" borderId="9" xfId="0" applyFont="1" applyBorder="1" applyAlignment="1">
      <alignment horizontal="left" vertical="center" wrapText="1" indent="1"/>
    </xf>
    <xf numFmtId="0" fontId="8" fillId="0" borderId="1" xfId="0" applyFont="1" applyBorder="1" applyAlignment="1" applyProtection="1">
      <alignment horizontal="left" vertical="center" indent="1"/>
      <protection locked="0"/>
    </xf>
    <xf numFmtId="0" fontId="11" fillId="34" borderId="7" xfId="1" applyFont="1" applyFill="1" applyBorder="1" applyAlignment="1">
      <alignment horizontal="left" vertical="center" wrapText="1" indent="1"/>
    </xf>
    <xf numFmtId="49" fontId="8" fillId="0" borderId="7" xfId="0" applyNumberFormat="1" applyFont="1" applyBorder="1" applyAlignment="1">
      <alignment horizontal="left" vertical="center" indent="1"/>
    </xf>
    <xf numFmtId="49" fontId="8" fillId="0" borderId="9" xfId="0" applyNumberFormat="1" applyFont="1" applyBorder="1" applyAlignment="1">
      <alignment horizontal="left" vertical="center" indent="1"/>
    </xf>
    <xf numFmtId="49" fontId="8" fillId="0" borderId="8" xfId="0" applyNumberFormat="1" applyFont="1" applyBorder="1" applyAlignment="1">
      <alignment horizontal="left" vertical="center" indent="1"/>
    </xf>
    <xf numFmtId="0" fontId="8" fillId="0" borderId="1" xfId="11" applyFont="1" applyBorder="1" applyAlignment="1" applyProtection="1">
      <alignment horizontal="left" vertical="center" indent="1"/>
      <protection locked="0"/>
    </xf>
    <xf numFmtId="0" fontId="8" fillId="0" borderId="7" xfId="11" applyFont="1" applyBorder="1" applyAlignment="1">
      <alignment horizontal="left" vertical="center" wrapText="1" indent="1"/>
    </xf>
    <xf numFmtId="0" fontId="8" fillId="0" borderId="9" xfId="11" applyFont="1" applyBorder="1" applyAlignment="1">
      <alignment horizontal="left" vertical="center" wrapText="1" indent="1"/>
    </xf>
    <xf numFmtId="0" fontId="8" fillId="0" borderId="8" xfId="11" applyFont="1" applyBorder="1" applyAlignment="1">
      <alignment horizontal="left" vertical="center" wrapText="1" indent="1"/>
    </xf>
    <xf numFmtId="0" fontId="22" fillId="0" borderId="2" xfId="9" applyFont="1" applyBorder="1" applyAlignment="1">
      <alignment horizontal="left" vertical="center" indent="1"/>
    </xf>
    <xf numFmtId="0" fontId="22" fillId="0" borderId="3" xfId="9" applyFont="1" applyBorder="1" applyAlignment="1">
      <alignment horizontal="left" vertical="center" indent="1"/>
    </xf>
    <xf numFmtId="0" fontId="22" fillId="0" borderId="4" xfId="9" applyFont="1" applyBorder="1" applyAlignment="1">
      <alignment horizontal="left" vertical="center" indent="1"/>
    </xf>
    <xf numFmtId="0" fontId="22" fillId="0" borderId="10" xfId="9" applyFont="1" applyBorder="1" applyAlignment="1">
      <alignment horizontal="left" vertical="center" indent="1"/>
    </xf>
    <xf numFmtId="0" fontId="22" fillId="0" borderId="12" xfId="9" applyFont="1" applyBorder="1" applyAlignment="1">
      <alignment horizontal="left" vertical="center" indent="1"/>
    </xf>
    <xf numFmtId="0" fontId="22" fillId="0" borderId="11" xfId="9" applyFont="1" applyBorder="1" applyAlignment="1">
      <alignment horizontal="left" vertical="center" indent="1"/>
    </xf>
    <xf numFmtId="0" fontId="8" fillId="0" borderId="7" xfId="11" applyFont="1" applyBorder="1" applyAlignment="1" applyProtection="1">
      <alignment horizontal="left" vertical="center" indent="1"/>
      <protection locked="0"/>
    </xf>
    <xf numFmtId="0" fontId="8" fillId="0" borderId="9" xfId="11" applyFont="1" applyBorder="1" applyAlignment="1" applyProtection="1">
      <alignment horizontal="left" vertical="center" indent="1"/>
      <protection locked="0"/>
    </xf>
    <xf numFmtId="0" fontId="8" fillId="0" borderId="8" xfId="11" applyFont="1" applyBorder="1" applyAlignment="1" applyProtection="1">
      <alignment horizontal="left" vertical="center" indent="1"/>
      <protection locked="0"/>
    </xf>
    <xf numFmtId="0" fontId="20" fillId="29" borderId="4" xfId="5" applyFont="1" applyFill="1" applyBorder="1" applyAlignment="1">
      <alignment horizontal="left" vertical="center" indent="1"/>
    </xf>
    <xf numFmtId="0" fontId="8" fillId="40" borderId="1" xfId="0" applyFont="1" applyFill="1" applyBorder="1" applyAlignment="1">
      <alignment horizontal="left" vertical="center" indent="1"/>
    </xf>
    <xf numFmtId="0" fontId="14" fillId="29" borderId="0" xfId="0" applyFont="1" applyFill="1" applyAlignment="1">
      <alignment horizontal="left" vertical="center" indent="1"/>
    </xf>
    <xf numFmtId="0" fontId="14" fillId="29" borderId="6" xfId="0" applyFont="1" applyFill="1" applyBorder="1" applyAlignment="1">
      <alignment horizontal="left" vertical="center" indent="1"/>
    </xf>
    <xf numFmtId="0" fontId="10" fillId="47" borderId="0" xfId="0" applyFont="1" applyFill="1" applyAlignment="1">
      <alignment horizontal="left" vertical="center" indent="1"/>
    </xf>
    <xf numFmtId="0" fontId="10" fillId="47" borderId="6" xfId="0" applyFont="1" applyFill="1" applyBorder="1" applyAlignment="1">
      <alignment horizontal="left" vertical="center" indent="1"/>
    </xf>
    <xf numFmtId="0" fontId="10" fillId="25" borderId="7" xfId="0" applyFont="1" applyFill="1" applyBorder="1" applyAlignment="1">
      <alignment horizontal="left" vertical="center" indent="1"/>
    </xf>
    <xf numFmtId="0" fontId="10" fillId="25" borderId="9" xfId="0" applyFont="1" applyFill="1" applyBorder="1" applyAlignment="1">
      <alignment horizontal="left" vertical="center" indent="1"/>
    </xf>
    <xf numFmtId="0" fontId="10" fillId="25" borderId="8" xfId="0" applyFont="1" applyFill="1" applyBorder="1" applyAlignment="1">
      <alignment horizontal="left" vertical="center" indent="1"/>
    </xf>
    <xf numFmtId="0" fontId="21" fillId="25" borderId="7" xfId="0" applyFont="1" applyFill="1" applyBorder="1" applyAlignment="1">
      <alignment horizontal="left" vertical="center" indent="1"/>
    </xf>
    <xf numFmtId="0" fontId="21" fillId="25" borderId="9" xfId="0" applyFont="1" applyFill="1" applyBorder="1" applyAlignment="1">
      <alignment horizontal="left" vertical="center" indent="1"/>
    </xf>
    <xf numFmtId="0" fontId="21" fillId="25" borderId="8" xfId="0" applyFont="1" applyFill="1" applyBorder="1" applyAlignment="1">
      <alignment horizontal="left" vertical="center" indent="1"/>
    </xf>
    <xf numFmtId="0" fontId="19" fillId="24" borderId="7" xfId="0" applyFont="1" applyFill="1" applyBorder="1" applyAlignment="1">
      <alignment horizontal="left" vertical="center" indent="1"/>
    </xf>
    <xf numFmtId="0" fontId="19" fillId="24" borderId="9" xfId="0" applyFont="1" applyFill="1" applyBorder="1" applyAlignment="1">
      <alignment horizontal="left" vertical="center" indent="1"/>
    </xf>
    <xf numFmtId="0" fontId="19" fillId="24" borderId="14" xfId="0" applyFont="1" applyFill="1" applyBorder="1" applyAlignment="1">
      <alignment horizontal="left" vertical="center" indent="1"/>
    </xf>
    <xf numFmtId="0" fontId="10" fillId="25" borderId="3" xfId="5" applyFont="1" applyFill="1" applyBorder="1" applyAlignment="1">
      <alignment horizontal="left" vertical="center" indent="1"/>
    </xf>
    <xf numFmtId="0" fontId="10" fillId="29" borderId="43" xfId="5" applyFont="1" applyFill="1" applyBorder="1" applyAlignment="1" applyProtection="1">
      <alignment horizontal="left" vertical="center" wrapText="1" indent="1"/>
      <protection locked="0"/>
    </xf>
    <xf numFmtId="0" fontId="10" fillId="29" borderId="44" xfId="5" applyFont="1" applyFill="1" applyBorder="1" applyAlignment="1" applyProtection="1">
      <alignment horizontal="left" vertical="center" wrapText="1" indent="1"/>
      <protection locked="0"/>
    </xf>
    <xf numFmtId="0" fontId="10" fillId="29" borderId="42" xfId="5" applyFont="1" applyFill="1" applyBorder="1" applyAlignment="1" applyProtection="1">
      <alignment horizontal="left" vertical="center" wrapText="1" indent="1"/>
      <protection locked="0"/>
    </xf>
    <xf numFmtId="0" fontId="10" fillId="29" borderId="7" xfId="5" applyFont="1" applyFill="1" applyBorder="1" applyAlignment="1">
      <alignment horizontal="left" vertical="center" indent="1"/>
    </xf>
    <xf numFmtId="0" fontId="10" fillId="29" borderId="9" xfId="5" applyFont="1" applyFill="1" applyBorder="1" applyAlignment="1">
      <alignment horizontal="left" vertical="center" indent="1"/>
    </xf>
    <xf numFmtId="0" fontId="10" fillId="29" borderId="8" xfId="5" applyFont="1" applyFill="1" applyBorder="1" applyAlignment="1">
      <alignment horizontal="left" vertical="center" indent="1"/>
    </xf>
    <xf numFmtId="0" fontId="10" fillId="24" borderId="7" xfId="0" applyFont="1" applyFill="1" applyBorder="1" applyAlignment="1">
      <alignment horizontal="left" vertical="center" wrapText="1" indent="1"/>
    </xf>
    <xf numFmtId="0" fontId="10" fillId="24" borderId="9" xfId="0" applyFont="1" applyFill="1" applyBorder="1" applyAlignment="1">
      <alignment horizontal="left" vertical="center" wrapText="1" indent="1"/>
    </xf>
    <xf numFmtId="0" fontId="10" fillId="24" borderId="8" xfId="0" applyFont="1" applyFill="1" applyBorder="1" applyAlignment="1">
      <alignment horizontal="left" vertical="center" wrapText="1" indent="1"/>
    </xf>
    <xf numFmtId="0" fontId="10" fillId="29" borderId="7" xfId="5" applyFont="1" applyFill="1" applyBorder="1" applyAlignment="1">
      <alignment horizontal="left" vertical="center" wrapText="1" indent="1"/>
    </xf>
    <xf numFmtId="0" fontId="10" fillId="29" borderId="9" xfId="5" applyFont="1" applyFill="1" applyBorder="1" applyAlignment="1">
      <alignment horizontal="left" vertical="center" wrapText="1" indent="1"/>
    </xf>
    <xf numFmtId="0" fontId="10" fillId="29" borderId="8" xfId="5" applyFont="1" applyFill="1" applyBorder="1" applyAlignment="1">
      <alignment horizontal="left" vertical="center" wrapText="1" indent="1"/>
    </xf>
    <xf numFmtId="0" fontId="10" fillId="25" borderId="7" xfId="5" applyFont="1" applyFill="1" applyBorder="1" applyAlignment="1">
      <alignment horizontal="left" vertical="center" wrapText="1" indent="1"/>
    </xf>
    <xf numFmtId="0" fontId="10" fillId="25" borderId="9" xfId="5" applyFont="1" applyFill="1" applyBorder="1" applyAlignment="1">
      <alignment horizontal="left" vertical="center" wrapText="1" indent="1"/>
    </xf>
    <xf numFmtId="0" fontId="10" fillId="25" borderId="8" xfId="5" applyFont="1" applyFill="1" applyBorder="1" applyAlignment="1">
      <alignment horizontal="left" vertical="center" wrapText="1" indent="1"/>
    </xf>
    <xf numFmtId="0" fontId="10" fillId="29" borderId="7" xfId="5" applyFont="1" applyFill="1" applyBorder="1" applyAlignment="1" applyProtection="1">
      <alignment horizontal="left" vertical="center" indent="1"/>
      <protection locked="0"/>
    </xf>
    <xf numFmtId="0" fontId="10" fillId="29" borderId="9" xfId="5" applyFont="1" applyFill="1" applyBorder="1" applyAlignment="1" applyProtection="1">
      <alignment horizontal="left" vertical="center" indent="1"/>
      <protection locked="0"/>
    </xf>
    <xf numFmtId="0" fontId="10" fillId="29" borderId="8" xfId="5" applyFont="1" applyFill="1" applyBorder="1" applyAlignment="1" applyProtection="1">
      <alignment horizontal="left" vertical="center" indent="1"/>
      <protection locked="0"/>
    </xf>
    <xf numFmtId="0" fontId="11" fillId="0" borderId="9" xfId="0" applyFont="1" applyBorder="1" applyAlignment="1">
      <alignment horizontal="left" vertical="center" indent="1"/>
    </xf>
    <xf numFmtId="0" fontId="14" fillId="29" borderId="1" xfId="0" applyFont="1" applyFill="1" applyBorder="1" applyAlignment="1">
      <alignment horizontal="left" vertical="center" indent="1"/>
    </xf>
    <xf numFmtId="0" fontId="10" fillId="25" borderId="1" xfId="0" applyFont="1" applyFill="1" applyBorder="1" applyAlignment="1">
      <alignment horizontal="left" vertical="center" indent="1"/>
    </xf>
    <xf numFmtId="0" fontId="10" fillId="29" borderId="1" xfId="5" applyFont="1" applyFill="1" applyBorder="1" applyAlignment="1" applyProtection="1">
      <alignment horizontal="left" vertical="center" wrapText="1" indent="1"/>
      <protection locked="0"/>
    </xf>
    <xf numFmtId="0" fontId="10" fillId="29" borderId="1" xfId="5" applyFont="1" applyFill="1" applyBorder="1" applyAlignment="1" applyProtection="1">
      <alignment horizontal="left" vertical="center" indent="1"/>
      <protection locked="0"/>
    </xf>
    <xf numFmtId="0" fontId="10" fillId="29" borderId="7" xfId="5" applyFont="1" applyFill="1" applyBorder="1" applyAlignment="1" applyProtection="1">
      <alignment horizontal="left" vertical="center" wrapText="1" indent="1"/>
      <protection locked="0"/>
    </xf>
    <xf numFmtId="0" fontId="10" fillId="29" borderId="9" xfId="5" applyFont="1" applyFill="1" applyBorder="1" applyAlignment="1" applyProtection="1">
      <alignment horizontal="left" vertical="center" wrapText="1" indent="1"/>
      <protection locked="0"/>
    </xf>
    <xf numFmtId="0" fontId="10" fillId="29" borderId="8" xfId="5" applyFont="1" applyFill="1" applyBorder="1" applyAlignment="1" applyProtection="1">
      <alignment horizontal="left" vertical="center" wrapText="1" indent="1"/>
      <protection locked="0"/>
    </xf>
    <xf numFmtId="0" fontId="10" fillId="25" borderId="7" xfId="1" applyFont="1" applyFill="1" applyBorder="1" applyAlignment="1">
      <alignment horizontal="left" vertical="center" wrapText="1" indent="1"/>
    </xf>
    <xf numFmtId="0" fontId="10" fillId="25" borderId="9" xfId="1" applyFont="1" applyFill="1" applyBorder="1" applyAlignment="1">
      <alignment horizontal="left" vertical="center" wrapText="1" indent="1"/>
    </xf>
    <xf numFmtId="0" fontId="10" fillId="25" borderId="8" xfId="1" applyFont="1" applyFill="1" applyBorder="1" applyAlignment="1">
      <alignment horizontal="left" vertical="center" wrapText="1" indent="1"/>
    </xf>
    <xf numFmtId="0" fontId="10" fillId="25" borderId="7" xfId="5" applyFont="1" applyFill="1" applyBorder="1" applyAlignment="1" applyProtection="1">
      <alignment horizontal="left" vertical="center" indent="1"/>
      <protection locked="0"/>
    </xf>
    <xf numFmtId="0" fontId="10" fillId="25" borderId="9" xfId="5" applyFont="1" applyFill="1" applyBorder="1" applyAlignment="1" applyProtection="1">
      <alignment horizontal="left" vertical="center" indent="1"/>
      <protection locked="0"/>
    </xf>
    <xf numFmtId="0" fontId="10" fillId="25" borderId="8" xfId="5" applyFont="1" applyFill="1" applyBorder="1" applyAlignment="1" applyProtection="1">
      <alignment horizontal="left" vertical="center" indent="1"/>
      <protection locked="0"/>
    </xf>
    <xf numFmtId="0" fontId="10" fillId="29" borderId="48" xfId="5" applyFont="1" applyFill="1" applyBorder="1" applyAlignment="1">
      <alignment horizontal="left" vertical="center" wrapText="1" indent="1"/>
    </xf>
    <xf numFmtId="0" fontId="10" fillId="29" borderId="49" xfId="5" applyFont="1" applyFill="1" applyBorder="1" applyAlignment="1">
      <alignment horizontal="left" vertical="center" wrapText="1" indent="1"/>
    </xf>
    <xf numFmtId="0" fontId="10" fillId="29" borderId="50" xfId="5" applyFont="1" applyFill="1" applyBorder="1" applyAlignment="1">
      <alignment horizontal="left" vertical="center" wrapText="1" indent="1"/>
    </xf>
    <xf numFmtId="0" fontId="10" fillId="25" borderId="52" xfId="5" applyFont="1" applyFill="1" applyBorder="1" applyAlignment="1">
      <alignment horizontal="left" vertical="center" indent="1"/>
    </xf>
    <xf numFmtId="0" fontId="10" fillId="25" borderId="53" xfId="5" applyFont="1" applyFill="1" applyBorder="1" applyAlignment="1">
      <alignment horizontal="left" vertical="center" indent="1"/>
    </xf>
    <xf numFmtId="0" fontId="10" fillId="25" borderId="54" xfId="5" applyFont="1" applyFill="1" applyBorder="1" applyAlignment="1">
      <alignment horizontal="left" vertical="center" indent="1"/>
    </xf>
    <xf numFmtId="0" fontId="10" fillId="29" borderId="43" xfId="5" applyFont="1" applyFill="1" applyBorder="1" applyAlignment="1">
      <alignment horizontal="left" vertical="center" wrapText="1" indent="1"/>
    </xf>
    <xf numFmtId="0" fontId="10" fillId="29" borderId="44" xfId="5" applyFont="1" applyFill="1" applyBorder="1" applyAlignment="1">
      <alignment horizontal="left" vertical="center" wrapText="1" indent="1"/>
    </xf>
    <xf numFmtId="0" fontId="10" fillId="29" borderId="42" xfId="5" applyFont="1" applyFill="1" applyBorder="1" applyAlignment="1">
      <alignment horizontal="left" vertical="center" wrapText="1" indent="1"/>
    </xf>
    <xf numFmtId="0" fontId="10" fillId="25" borderId="10" xfId="5" applyFont="1" applyFill="1" applyBorder="1" applyAlignment="1">
      <alignment horizontal="left" vertical="center" indent="1"/>
    </xf>
    <xf numFmtId="0" fontId="10" fillId="25" borderId="12" xfId="5" applyFont="1" applyFill="1" applyBorder="1" applyAlignment="1">
      <alignment horizontal="left" vertical="center" indent="1"/>
    </xf>
    <xf numFmtId="0" fontId="10" fillId="25" borderId="11" xfId="5" applyFont="1" applyFill="1" applyBorder="1" applyAlignment="1">
      <alignment horizontal="left" vertical="center" indent="1"/>
    </xf>
    <xf numFmtId="0" fontId="14" fillId="29" borderId="7" xfId="0" applyFont="1" applyFill="1" applyBorder="1" applyAlignment="1">
      <alignment horizontal="left" vertical="center" indent="1"/>
    </xf>
    <xf numFmtId="0" fontId="14" fillId="29" borderId="9" xfId="0" applyFont="1" applyFill="1" applyBorder="1" applyAlignment="1">
      <alignment horizontal="left" vertical="center" indent="1"/>
    </xf>
    <xf numFmtId="0" fontId="14" fillId="29" borderId="8" xfId="0" applyFont="1" applyFill="1" applyBorder="1" applyAlignment="1">
      <alignment horizontal="left" vertical="center" indent="1"/>
    </xf>
    <xf numFmtId="0" fontId="10" fillId="8" borderId="7" xfId="0" applyFont="1" applyFill="1" applyBorder="1" applyAlignment="1">
      <alignment horizontal="left" vertical="center" indent="1"/>
    </xf>
    <xf numFmtId="0" fontId="10" fillId="8" borderId="9" xfId="0" applyFont="1" applyFill="1" applyBorder="1" applyAlignment="1">
      <alignment horizontal="left" vertical="center" indent="1"/>
    </xf>
    <xf numFmtId="0" fontId="10" fillId="8" borderId="8" xfId="0" applyFont="1" applyFill="1" applyBorder="1" applyAlignment="1">
      <alignment horizontal="left" vertical="center" indent="1"/>
    </xf>
    <xf numFmtId="0" fontId="10" fillId="29" borderId="1" xfId="5" applyFont="1" applyFill="1" applyBorder="1" applyAlignment="1">
      <alignment horizontal="left" vertical="center" wrapText="1" indent="1"/>
    </xf>
    <xf numFmtId="0" fontId="10" fillId="29" borderId="1" xfId="5" applyFont="1" applyFill="1" applyBorder="1" applyAlignment="1">
      <alignment horizontal="left" vertical="center" indent="1"/>
    </xf>
    <xf numFmtId="0" fontId="20" fillId="29" borderId="7" xfId="5" applyFont="1" applyFill="1" applyBorder="1" applyAlignment="1">
      <alignment horizontal="left" vertical="center" wrapText="1" indent="1"/>
    </xf>
    <xf numFmtId="0" fontId="20" fillId="29" borderId="9" xfId="5" applyFont="1" applyFill="1" applyBorder="1" applyAlignment="1">
      <alignment horizontal="left" vertical="center" wrapText="1" indent="1"/>
    </xf>
    <xf numFmtId="0" fontId="20" fillId="29" borderId="8" xfId="5" applyFont="1" applyFill="1" applyBorder="1" applyAlignment="1">
      <alignment horizontal="left" vertical="center" wrapText="1" indent="1"/>
    </xf>
    <xf numFmtId="0" fontId="10" fillId="25" borderId="1" xfId="5" applyFont="1" applyFill="1" applyBorder="1" applyAlignment="1">
      <alignment horizontal="left" vertical="center" indent="1"/>
    </xf>
    <xf numFmtId="0" fontId="10" fillId="25" borderId="1" xfId="5" applyFont="1" applyFill="1" applyBorder="1" applyAlignment="1">
      <alignment horizontal="left" vertical="center" wrapText="1" indent="1"/>
    </xf>
    <xf numFmtId="0" fontId="19" fillId="38" borderId="7" xfId="0" applyFont="1" applyFill="1" applyBorder="1" applyAlignment="1">
      <alignment horizontal="left" vertical="center" indent="1"/>
    </xf>
    <xf numFmtId="0" fontId="19" fillId="38" borderId="9" xfId="0" applyFont="1" applyFill="1" applyBorder="1" applyAlignment="1">
      <alignment horizontal="left" vertical="center" indent="1"/>
    </xf>
    <xf numFmtId="0" fontId="19" fillId="38" borderId="14" xfId="0" applyFont="1" applyFill="1" applyBorder="1" applyAlignment="1">
      <alignment horizontal="left" vertical="center" indent="1"/>
    </xf>
    <xf numFmtId="0" fontId="19" fillId="24" borderId="7" xfId="0" applyFont="1" applyFill="1" applyBorder="1" applyAlignment="1">
      <alignment horizontal="left" vertical="center" wrapText="1" indent="1"/>
    </xf>
    <xf numFmtId="0" fontId="19" fillId="24" borderId="9" xfId="0" applyFont="1" applyFill="1" applyBorder="1" applyAlignment="1">
      <alignment horizontal="left" vertical="center" wrapText="1" indent="1"/>
    </xf>
    <xf numFmtId="0" fontId="19" fillId="24" borderId="14" xfId="0" applyFont="1" applyFill="1" applyBorder="1" applyAlignment="1">
      <alignment horizontal="left" vertical="center" wrapText="1" indent="1"/>
    </xf>
    <xf numFmtId="0" fontId="15" fillId="0" borderId="9" xfId="0" applyFont="1" applyBorder="1" applyAlignment="1">
      <alignment horizontal="left" vertical="center" indent="1"/>
    </xf>
    <xf numFmtId="0" fontId="19" fillId="38" borderId="43" xfId="0" applyFont="1" applyFill="1" applyBorder="1" applyAlignment="1">
      <alignment horizontal="left" vertical="center" wrapText="1" indent="1"/>
    </xf>
    <xf numFmtId="0" fontId="19" fillId="38" borderId="44" xfId="0" applyFont="1" applyFill="1" applyBorder="1" applyAlignment="1">
      <alignment horizontal="left" vertical="center" wrapText="1" indent="1"/>
    </xf>
    <xf numFmtId="0" fontId="19" fillId="38" borderId="51" xfId="0" applyFont="1" applyFill="1" applyBorder="1" applyAlignment="1">
      <alignment horizontal="left" vertical="center" wrapText="1" indent="1"/>
    </xf>
    <xf numFmtId="0" fontId="10" fillId="29" borderId="7" xfId="6" applyFont="1" applyFill="1" applyBorder="1" applyAlignment="1">
      <alignment horizontal="left" vertical="center" indent="1"/>
    </xf>
    <xf numFmtId="0" fontId="10" fillId="29" borderId="9" xfId="6" applyFont="1" applyFill="1" applyBorder="1" applyAlignment="1">
      <alignment horizontal="left" vertical="center" indent="1"/>
    </xf>
    <xf numFmtId="0" fontId="14" fillId="33" borderId="0" xfId="0" applyFont="1" applyFill="1" applyAlignment="1">
      <alignment horizontal="left" vertical="center" indent="1"/>
    </xf>
    <xf numFmtId="0" fontId="10" fillId="33" borderId="7" xfId="6" applyFont="1" applyFill="1" applyBorder="1" applyAlignment="1">
      <alignment horizontal="left" vertical="center" indent="1"/>
    </xf>
    <xf numFmtId="0" fontId="10" fillId="33" borderId="9" xfId="6" applyFont="1" applyFill="1" applyBorder="1" applyAlignment="1">
      <alignment horizontal="left" vertical="center" indent="1"/>
    </xf>
    <xf numFmtId="0" fontId="10" fillId="33" borderId="8" xfId="6" applyFont="1" applyFill="1" applyBorder="1" applyAlignment="1">
      <alignment horizontal="left" vertical="center" indent="1"/>
    </xf>
    <xf numFmtId="0" fontId="20" fillId="4" borderId="7" xfId="5" applyFont="1" applyBorder="1" applyAlignment="1">
      <alignment horizontal="left" vertical="center" indent="1"/>
    </xf>
    <xf numFmtId="0" fontId="20" fillId="4" borderId="9" xfId="5" applyFont="1" applyBorder="1" applyAlignment="1">
      <alignment horizontal="left" vertical="center" indent="1"/>
    </xf>
    <xf numFmtId="0" fontId="20" fillId="4" borderId="8" xfId="5" applyFont="1" applyBorder="1" applyAlignment="1">
      <alignment horizontal="left" vertical="center" indent="1"/>
    </xf>
    <xf numFmtId="0" fontId="20" fillId="33" borderId="7" xfId="5" applyFont="1" applyFill="1" applyBorder="1" applyAlignment="1">
      <alignment horizontal="left" vertical="center" indent="1"/>
    </xf>
    <xf numFmtId="0" fontId="20" fillId="33" borderId="9" xfId="5" applyFont="1" applyFill="1" applyBorder="1" applyAlignment="1">
      <alignment horizontal="left" vertical="center" indent="1"/>
    </xf>
    <xf numFmtId="0" fontId="20" fillId="33" borderId="7" xfId="6" applyFont="1" applyFill="1" applyBorder="1" applyAlignment="1">
      <alignment horizontal="left" vertical="center" indent="1"/>
    </xf>
    <xf numFmtId="0" fontId="20" fillId="33" borderId="8" xfId="6" applyFont="1" applyFill="1" applyBorder="1" applyAlignment="1">
      <alignment horizontal="left" vertical="center" indent="1"/>
    </xf>
    <xf numFmtId="0" fontId="20" fillId="33" borderId="8" xfId="5" applyFont="1" applyFill="1" applyBorder="1" applyAlignment="1">
      <alignment horizontal="left" vertical="center" indent="1"/>
    </xf>
    <xf numFmtId="0" fontId="20" fillId="33" borderId="1" xfId="5" applyFont="1" applyFill="1" applyBorder="1" applyAlignment="1">
      <alignment horizontal="left" vertical="center" indent="1"/>
    </xf>
    <xf numFmtId="0" fontId="20" fillId="4" borderId="2" xfId="5" applyFont="1" applyBorder="1" applyAlignment="1">
      <alignment horizontal="left" vertical="center" indent="1"/>
    </xf>
    <xf numFmtId="0" fontId="20" fillId="4" borderId="3" xfId="5" applyFont="1" applyBorder="1" applyAlignment="1">
      <alignment horizontal="left" vertical="center" indent="1"/>
    </xf>
    <xf numFmtId="0" fontId="28" fillId="7" borderId="9" xfId="0" applyFont="1" applyFill="1" applyBorder="1" applyAlignment="1">
      <alignment horizontal="left" vertical="center" indent="1"/>
    </xf>
    <xf numFmtId="0" fontId="28" fillId="7" borderId="8" xfId="0" applyFont="1" applyFill="1" applyBorder="1" applyAlignment="1">
      <alignment horizontal="left" vertical="center" indent="1"/>
    </xf>
    <xf numFmtId="0" fontId="10" fillId="8" borderId="13" xfId="0" applyFont="1" applyFill="1" applyBorder="1" applyAlignment="1">
      <alignment horizontal="left" vertical="center" indent="1"/>
    </xf>
    <xf numFmtId="0" fontId="10" fillId="8" borderId="1" xfId="0" applyFont="1" applyFill="1" applyBorder="1" applyAlignment="1">
      <alignment horizontal="left" vertical="center" indent="1"/>
    </xf>
    <xf numFmtId="0" fontId="20" fillId="4" borderId="1" xfId="5" applyFont="1" applyBorder="1" applyAlignment="1">
      <alignment horizontal="left" vertical="center" indent="1"/>
    </xf>
    <xf numFmtId="0" fontId="28" fillId="13" borderId="7" xfId="0" applyFont="1" applyFill="1" applyBorder="1" applyAlignment="1">
      <alignment horizontal="left" vertical="center" indent="1"/>
    </xf>
    <xf numFmtId="0" fontId="28" fillId="13" borderId="9" xfId="0" applyFont="1" applyFill="1" applyBorder="1" applyAlignment="1">
      <alignment horizontal="left" vertical="center" indent="1"/>
    </xf>
    <xf numFmtId="0" fontId="28" fillId="7" borderId="0" xfId="0" applyFont="1" applyFill="1" applyAlignment="1">
      <alignment horizontal="left" vertical="center" indent="1"/>
    </xf>
    <xf numFmtId="0" fontId="38" fillId="38" borderId="7" xfId="0" applyFont="1" applyFill="1" applyBorder="1" applyAlignment="1">
      <alignment horizontal="left" vertical="center" indent="1"/>
    </xf>
    <xf numFmtId="0" fontId="38" fillId="38" borderId="9" xfId="0" applyFont="1" applyFill="1" applyBorder="1" applyAlignment="1">
      <alignment horizontal="left" vertical="center" indent="1"/>
    </xf>
    <xf numFmtId="0" fontId="38" fillId="38" borderId="8" xfId="0" applyFont="1" applyFill="1" applyBorder="1" applyAlignment="1">
      <alignment horizontal="left" vertical="center" indent="1"/>
    </xf>
    <xf numFmtId="49" fontId="23" fillId="0" borderId="15" xfId="0" applyNumberFormat="1" applyFont="1" applyBorder="1" applyAlignment="1">
      <alignment horizontal="left" vertical="top" wrapText="1"/>
    </xf>
    <xf numFmtId="49" fontId="23" fillId="0" borderId="16" xfId="0" applyNumberFormat="1" applyFont="1" applyBorder="1" applyAlignment="1">
      <alignment horizontal="left" vertical="top" wrapText="1"/>
    </xf>
    <xf numFmtId="49" fontId="23" fillId="0" borderId="13" xfId="0" applyNumberFormat="1" applyFont="1" applyBorder="1" applyAlignment="1">
      <alignment horizontal="left" vertical="top" wrapText="1"/>
    </xf>
    <xf numFmtId="0" fontId="23" fillId="0" borderId="10" xfId="0" applyFont="1" applyBorder="1" applyAlignment="1">
      <alignment horizontal="left"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5" xfId="0" applyFont="1" applyBorder="1" applyAlignment="1">
      <alignment horizontal="left" vertical="top" wrapText="1"/>
    </xf>
    <xf numFmtId="0" fontId="23" fillId="0" borderId="0" xfId="0" applyFont="1" applyAlignment="1">
      <alignment horizontal="left" vertical="top" wrapText="1"/>
    </xf>
    <xf numFmtId="0" fontId="23" fillId="0" borderId="6" xfId="0" applyFont="1" applyBorder="1" applyAlignment="1">
      <alignment horizontal="left" vertical="top" wrapTex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15" fillId="5" borderId="9" xfId="0" applyFont="1" applyFill="1" applyBorder="1" applyAlignment="1">
      <alignment horizontal="left" vertical="center" wrapText="1" indent="1"/>
    </xf>
    <xf numFmtId="0" fontId="9" fillId="0" borderId="7" xfId="0" applyFont="1" applyBorder="1" applyAlignment="1">
      <alignment horizontal="left" vertical="center" indent="1"/>
    </xf>
    <xf numFmtId="0" fontId="9" fillId="0" borderId="14" xfId="0" applyFont="1" applyBorder="1" applyAlignment="1">
      <alignment horizontal="left" vertical="center" indent="1"/>
    </xf>
    <xf numFmtId="0" fontId="15" fillId="19" borderId="3" xfId="0" applyFont="1" applyFill="1" applyBorder="1" applyAlignment="1">
      <alignment horizontal="left" vertical="center" wrapText="1" indent="1"/>
    </xf>
    <xf numFmtId="0" fontId="15" fillId="5" borderId="1" xfId="0" applyFont="1" applyFill="1" applyBorder="1" applyAlignment="1">
      <alignment horizontal="left" vertical="center" wrapText="1" indent="1"/>
    </xf>
    <xf numFmtId="0" fontId="10" fillId="14" borderId="7" xfId="5" applyFont="1" applyFill="1" applyBorder="1" applyAlignment="1">
      <alignment horizontal="left" vertical="center" indent="1"/>
    </xf>
    <xf numFmtId="0" fontId="10" fillId="14" borderId="9" xfId="5" applyFont="1" applyFill="1" applyBorder="1" applyAlignment="1">
      <alignment horizontal="left" vertical="center" indent="1"/>
    </xf>
    <xf numFmtId="0" fontId="10" fillId="14" borderId="8" xfId="5" applyFont="1" applyFill="1" applyBorder="1" applyAlignment="1">
      <alignment horizontal="left" vertical="center" indent="1"/>
    </xf>
    <xf numFmtId="0" fontId="8" fillId="18" borderId="9" xfId="0" applyFont="1" applyFill="1" applyBorder="1" applyAlignment="1">
      <alignment horizontal="left" vertical="center" wrapText="1" indent="1"/>
    </xf>
    <xf numFmtId="0" fontId="10" fillId="14" borderId="7" xfId="1" applyFont="1" applyFill="1" applyBorder="1" applyAlignment="1">
      <alignment horizontal="left" vertical="center" wrapText="1" indent="1"/>
    </xf>
    <xf numFmtId="0" fontId="10" fillId="14" borderId="9" xfId="1" applyFont="1" applyFill="1" applyBorder="1" applyAlignment="1">
      <alignment horizontal="left" vertical="center" wrapText="1" indent="1"/>
    </xf>
    <xf numFmtId="0" fontId="10" fillId="14" borderId="8" xfId="1" applyFont="1" applyFill="1" applyBorder="1" applyAlignment="1">
      <alignment horizontal="left" vertical="center" wrapText="1" indent="1"/>
    </xf>
    <xf numFmtId="0" fontId="19" fillId="38" borderId="8" xfId="0" applyFont="1" applyFill="1" applyBorder="1" applyAlignment="1">
      <alignment horizontal="left" vertical="center" indent="1"/>
    </xf>
    <xf numFmtId="0" fontId="19" fillId="53" borderId="7" xfId="0" applyFont="1" applyFill="1" applyBorder="1" applyAlignment="1">
      <alignment horizontal="left" vertical="center" wrapText="1" indent="1"/>
    </xf>
    <xf numFmtId="0" fontId="19" fillId="53" borderId="9" xfId="0" applyFont="1" applyFill="1" applyBorder="1" applyAlignment="1">
      <alignment horizontal="left" vertical="center" wrapText="1" indent="1"/>
    </xf>
    <xf numFmtId="0" fontId="19" fillId="53" borderId="14" xfId="0" applyFont="1" applyFill="1" applyBorder="1" applyAlignment="1">
      <alignment horizontal="left" vertical="center" wrapText="1" indent="1"/>
    </xf>
    <xf numFmtId="0" fontId="43" fillId="29" borderId="7" xfId="0" applyFont="1" applyFill="1" applyBorder="1" applyAlignment="1">
      <alignment horizontal="left" vertical="center" indent="1"/>
    </xf>
    <xf numFmtId="0" fontId="43" fillId="29" borderId="9" xfId="0" applyFont="1" applyFill="1" applyBorder="1" applyAlignment="1">
      <alignment horizontal="left" vertical="center" indent="1"/>
    </xf>
    <xf numFmtId="0" fontId="43" fillId="29" borderId="8" xfId="0" applyFont="1" applyFill="1" applyBorder="1" applyAlignment="1">
      <alignment horizontal="left" vertical="center" indent="1"/>
    </xf>
    <xf numFmtId="0" fontId="10" fillId="45" borderId="7" xfId="0" applyFont="1" applyFill="1" applyBorder="1" applyAlignment="1">
      <alignment horizontal="left" vertical="center" indent="1"/>
    </xf>
    <xf numFmtId="0" fontId="10" fillId="45" borderId="9" xfId="0" applyFont="1" applyFill="1" applyBorder="1" applyAlignment="1">
      <alignment horizontal="left" vertical="center" indent="1"/>
    </xf>
    <xf numFmtId="0" fontId="10" fillId="45" borderId="8" xfId="0" applyFont="1" applyFill="1" applyBorder="1" applyAlignment="1">
      <alignment horizontal="left" vertical="center" indent="1"/>
    </xf>
    <xf numFmtId="0" fontId="19" fillId="24" borderId="8" xfId="0" applyFont="1" applyFill="1" applyBorder="1" applyAlignment="1">
      <alignment horizontal="left" vertical="center" indent="1"/>
    </xf>
    <xf numFmtId="0" fontId="10" fillId="25" borderId="7" xfId="0" applyFont="1" applyFill="1" applyBorder="1" applyAlignment="1">
      <alignment horizontal="left" vertical="center" wrapText="1" indent="1"/>
    </xf>
    <xf numFmtId="0" fontId="10" fillId="25" borderId="9" xfId="0" applyFont="1" applyFill="1" applyBorder="1" applyAlignment="1">
      <alignment horizontal="left" vertical="center" wrapText="1" indent="1"/>
    </xf>
    <xf numFmtId="0" fontId="10" fillId="25" borderId="8" xfId="0" applyFont="1" applyFill="1" applyBorder="1" applyAlignment="1">
      <alignment horizontal="left" vertical="center" wrapText="1" indent="1"/>
    </xf>
    <xf numFmtId="0" fontId="52" fillId="38" borderId="7" xfId="0" applyFont="1" applyFill="1" applyBorder="1" applyAlignment="1">
      <alignment horizontal="left" vertical="center" indent="1"/>
    </xf>
    <xf numFmtId="0" fontId="52" fillId="38" borderId="9" xfId="0" applyFont="1" applyFill="1" applyBorder="1" applyAlignment="1">
      <alignment horizontal="left" vertical="center" indent="1"/>
    </xf>
    <xf numFmtId="0" fontId="52" fillId="38" borderId="8" xfId="0" applyFont="1" applyFill="1" applyBorder="1" applyAlignment="1">
      <alignment horizontal="left" vertical="center" indent="1"/>
    </xf>
    <xf numFmtId="0" fontId="10" fillId="29" borderId="0" xfId="5" applyFont="1" applyFill="1" applyAlignment="1">
      <alignment horizontal="left" vertical="center" indent="1"/>
    </xf>
    <xf numFmtId="0" fontId="8" fillId="18" borderId="7" xfId="0" quotePrefix="1" applyFont="1" applyFill="1" applyBorder="1" applyAlignment="1">
      <alignment horizontal="left" vertical="center" indent="1"/>
    </xf>
    <xf numFmtId="0" fontId="8" fillId="18" borderId="8" xfId="0" applyFont="1" applyFill="1" applyBorder="1" applyAlignment="1">
      <alignment horizontal="left" vertical="center" indent="1"/>
    </xf>
    <xf numFmtId="0" fontId="8" fillId="18" borderId="7" xfId="0" applyFont="1" applyFill="1" applyBorder="1" applyAlignment="1">
      <alignment horizontal="left" vertical="center" indent="1"/>
    </xf>
    <xf numFmtId="0" fontId="8" fillId="18" borderId="9" xfId="0" applyFont="1" applyFill="1" applyBorder="1" applyAlignment="1">
      <alignment horizontal="left" vertical="center" indent="1"/>
    </xf>
    <xf numFmtId="0" fontId="8" fillId="18" borderId="7" xfId="0" quotePrefix="1" applyFont="1" applyFill="1" applyBorder="1" applyAlignment="1">
      <alignment horizontal="left" vertical="top" wrapText="1" indent="1"/>
    </xf>
    <xf numFmtId="0" fontId="8" fillId="18" borderId="8" xfId="0" applyFont="1" applyFill="1" applyBorder="1" applyAlignment="1">
      <alignment horizontal="left" vertical="top" indent="1"/>
    </xf>
    <xf numFmtId="0" fontId="8" fillId="18" borderId="7" xfId="0" quotePrefix="1" applyFont="1" applyFill="1" applyBorder="1" applyAlignment="1">
      <alignment horizontal="left" vertical="center" wrapText="1" indent="1"/>
    </xf>
    <xf numFmtId="0" fontId="10" fillId="45" borderId="7" xfId="5" applyFont="1" applyFill="1" applyBorder="1" applyAlignment="1">
      <alignment horizontal="left" vertical="center" indent="1"/>
    </xf>
    <xf numFmtId="0" fontId="10" fillId="45" borderId="9" xfId="5" applyFont="1" applyFill="1" applyBorder="1" applyAlignment="1">
      <alignment horizontal="left" vertical="center" indent="1"/>
    </xf>
    <xf numFmtId="0" fontId="10" fillId="45" borderId="8" xfId="5" applyFont="1" applyFill="1" applyBorder="1" applyAlignment="1">
      <alignment horizontal="left" vertical="center" indent="1"/>
    </xf>
    <xf numFmtId="0" fontId="45" fillId="29" borderId="7" xfId="0" applyFont="1" applyFill="1" applyBorder="1" applyAlignment="1">
      <alignment horizontal="left" vertical="center" indent="1"/>
    </xf>
    <xf numFmtId="0" fontId="45" fillId="29" borderId="9" xfId="0" applyFont="1" applyFill="1" applyBorder="1" applyAlignment="1">
      <alignment horizontal="left" vertical="center" indent="1"/>
    </xf>
    <xf numFmtId="0" fontId="45" fillId="29" borderId="8" xfId="0" applyFont="1" applyFill="1" applyBorder="1" applyAlignment="1">
      <alignment horizontal="left" vertical="center" indent="1"/>
    </xf>
    <xf numFmtId="0" fontId="20" fillId="46" borderId="1" xfId="6" applyFont="1" applyFill="1" applyBorder="1" applyAlignment="1">
      <alignment horizontal="left" vertical="center" indent="1"/>
    </xf>
    <xf numFmtId="0" fontId="38" fillId="38" borderId="7" xfId="0" applyFont="1" applyFill="1" applyBorder="1" applyAlignment="1">
      <alignment horizontal="left" vertical="center" wrapText="1" indent="1"/>
    </xf>
    <xf numFmtId="0" fontId="46" fillId="38" borderId="7" xfId="0" applyFont="1" applyFill="1" applyBorder="1" applyAlignment="1">
      <alignment horizontal="left" vertical="center" indent="1"/>
    </xf>
    <xf numFmtId="0" fontId="46" fillId="38" borderId="9" xfId="0" applyFont="1" applyFill="1" applyBorder="1" applyAlignment="1">
      <alignment horizontal="left" vertical="center" indent="1"/>
    </xf>
    <xf numFmtId="0" fontId="20" fillId="29" borderId="1" xfId="0" applyFont="1" applyFill="1" applyBorder="1" applyAlignment="1">
      <alignment horizontal="left" vertical="center" indent="1"/>
    </xf>
    <xf numFmtId="0" fontId="8" fillId="29" borderId="1" xfId="0" applyFont="1" applyFill="1" applyBorder="1" applyAlignment="1">
      <alignment horizontal="left" vertical="center" indent="1"/>
    </xf>
    <xf numFmtId="0" fontId="20" fillId="46" borderId="7" xfId="6" applyFont="1" applyFill="1" applyBorder="1" applyAlignment="1">
      <alignment horizontal="left" vertical="center" indent="1"/>
    </xf>
    <xf numFmtId="0" fontId="20" fillId="46" borderId="9" xfId="6" applyFont="1" applyFill="1" applyBorder="1" applyAlignment="1">
      <alignment horizontal="left" vertical="center" indent="1"/>
    </xf>
    <xf numFmtId="0" fontId="20" fillId="46" borderId="8" xfId="6" applyFont="1" applyFill="1" applyBorder="1" applyAlignment="1">
      <alignment horizontal="left" vertical="center" indent="1"/>
    </xf>
    <xf numFmtId="0" fontId="19" fillId="9" borderId="7" xfId="0" applyFont="1" applyFill="1" applyBorder="1" applyAlignment="1">
      <alignment horizontal="left" vertical="center" indent="1"/>
    </xf>
    <xf numFmtId="0" fontId="19" fillId="9" borderId="1" xfId="0" applyFont="1" applyFill="1" applyBorder="1" applyAlignment="1">
      <alignment horizontal="left" vertical="center" indent="1"/>
    </xf>
    <xf numFmtId="0" fontId="38" fillId="38" borderId="1" xfId="0" applyFont="1" applyFill="1" applyBorder="1" applyAlignment="1">
      <alignment horizontal="left" vertical="center" wrapText="1" indent="1"/>
    </xf>
    <xf numFmtId="0" fontId="46" fillId="38" borderId="8" xfId="0" applyFont="1" applyFill="1" applyBorder="1" applyAlignment="1">
      <alignment horizontal="left" vertical="center" indent="1"/>
    </xf>
    <xf numFmtId="0" fontId="11" fillId="18" borderId="7" xfId="1" applyFont="1" applyFill="1" applyBorder="1" applyAlignment="1">
      <alignment horizontal="left" vertical="center" wrapText="1" indent="1"/>
    </xf>
    <xf numFmtId="0" fontId="11" fillId="18" borderId="9" xfId="1" applyFont="1" applyFill="1" applyBorder="1" applyAlignment="1">
      <alignment horizontal="left" vertical="center" wrapText="1" indent="1"/>
    </xf>
    <xf numFmtId="0" fontId="11" fillId="18" borderId="8" xfId="1" applyFont="1" applyFill="1" applyBorder="1" applyAlignment="1">
      <alignment horizontal="left" vertical="center" wrapText="1" indent="1"/>
    </xf>
    <xf numFmtId="0" fontId="8" fillId="6" borderId="7" xfId="0" applyFont="1" applyFill="1" applyBorder="1" applyAlignment="1" applyProtection="1">
      <alignment horizontal="left" vertical="center" indent="1"/>
      <protection locked="0"/>
    </xf>
    <xf numFmtId="0" fontId="8" fillId="0" borderId="8" xfId="0" applyFont="1" applyBorder="1" applyAlignment="1" applyProtection="1">
      <alignment horizontal="left" vertical="center" indent="1"/>
      <protection locked="0"/>
    </xf>
    <xf numFmtId="0" fontId="8" fillId="31" borderId="7" xfId="0" applyFont="1" applyFill="1" applyBorder="1" applyAlignment="1">
      <alignment horizontal="left" vertical="center" indent="1"/>
    </xf>
    <xf numFmtId="0" fontId="8" fillId="31" borderId="8" xfId="0" applyFont="1" applyFill="1" applyBorder="1" applyAlignment="1">
      <alignment horizontal="left" vertical="center" indent="1"/>
    </xf>
    <xf numFmtId="0" fontId="11" fillId="25" borderId="7" xfId="1" applyFont="1" applyFill="1" applyBorder="1" applyAlignment="1">
      <alignment horizontal="left" vertical="center" wrapText="1" indent="1"/>
    </xf>
    <xf numFmtId="0" fontId="8" fillId="25" borderId="8" xfId="0" applyFont="1" applyFill="1" applyBorder="1" applyAlignment="1">
      <alignment horizontal="left" vertical="center" wrapText="1" indent="1"/>
    </xf>
    <xf numFmtId="0" fontId="11" fillId="25" borderId="8" xfId="1" applyFont="1" applyFill="1" applyBorder="1" applyAlignment="1">
      <alignment horizontal="left" vertical="center" wrapText="1" indent="1"/>
    </xf>
    <xf numFmtId="0" fontId="11" fillId="25" borderId="7" xfId="3" applyFont="1" applyFill="1" applyBorder="1" applyAlignment="1">
      <alignment horizontal="left" vertical="center" wrapText="1" indent="1"/>
    </xf>
    <xf numFmtId="0" fontId="10" fillId="10" borderId="7" xfId="6" applyFont="1" applyFill="1" applyBorder="1" applyAlignment="1">
      <alignment horizontal="left" vertical="center" indent="1"/>
    </xf>
    <xf numFmtId="0" fontId="10" fillId="10" borderId="1" xfId="6" applyFont="1" applyFill="1" applyBorder="1" applyAlignment="1">
      <alignment horizontal="left" vertical="center" indent="1"/>
    </xf>
    <xf numFmtId="0" fontId="10" fillId="10" borderId="1" xfId="5" applyFont="1" applyFill="1" applyBorder="1" applyAlignment="1">
      <alignment horizontal="left" vertical="center" indent="1"/>
    </xf>
  </cellXfs>
  <cellStyles count="15">
    <cellStyle name="%60 - Vurgu5" xfId="1" builtinId="48"/>
    <cellStyle name="%60 - Vurgu6" xfId="3" builtinId="52"/>
    <cellStyle name="60% - Accent5 2" xfId="2" xr:uid="{00000000-0005-0000-0000-000001000000}"/>
    <cellStyle name="60% - Accent6 2" xfId="4" xr:uid="{00000000-0005-0000-0000-000003000000}"/>
    <cellStyle name="Accent1 2" xfId="6" xr:uid="{00000000-0005-0000-0000-000005000000}"/>
    <cellStyle name="Good 2" xfId="8" xr:uid="{00000000-0005-0000-0000-000007000000}"/>
    <cellStyle name="Hyperlink 2" xfId="10" xr:uid="{00000000-0005-0000-0000-000009000000}"/>
    <cellStyle name="İyi" xfId="7" builtinId="26"/>
    <cellStyle name="Köprü" xfId="9" builtinId="8"/>
    <cellStyle name="Normal" xfId="0" builtinId="0"/>
    <cellStyle name="Normal 2" xfId="11" xr:uid="{00000000-0005-0000-0000-00000B000000}"/>
    <cellStyle name="Normal 3" xfId="12" xr:uid="{00000000-0005-0000-0000-00000C000000}"/>
    <cellStyle name="Normal 3 2" xfId="13" xr:uid="{00000000-0005-0000-0000-00000D000000}"/>
    <cellStyle name="Style 5" xfId="14" xr:uid="{00000000-0005-0000-0000-00000E000000}"/>
    <cellStyle name="Vurgu1" xfId="5" builtinId="29"/>
  </cellStyles>
  <dxfs count="2630">
    <dxf>
      <font>
        <color theme="1"/>
      </font>
      <fill>
        <patternFill>
          <bgColor rgb="FFEFFDE3"/>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theme="1"/>
      </font>
      <fill>
        <patternFill>
          <bgColor theme="1" tint="0.24994659260841701"/>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ill>
        <patternFill>
          <bgColor theme="5" tint="0.59996337778862885"/>
        </patternFill>
      </fill>
    </dxf>
    <dxf>
      <font>
        <color rgb="FF006100"/>
      </font>
      <fill>
        <patternFill>
          <bgColor rgb="FFC6EFCE"/>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rgb="FF505E69"/>
      </font>
      <fill>
        <patternFill>
          <bgColor rgb="FF505E69"/>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rgb="FFFFBE29"/>
        </patternFill>
      </fill>
    </dxf>
    <dxf>
      <font>
        <color theme="1"/>
      </font>
      <fill>
        <patternFill>
          <bgColor rgb="FFEFFDE3"/>
        </patternFill>
      </fill>
    </dxf>
    <dxf>
      <fill>
        <patternFill>
          <bgColor rgb="FFF9CBAD"/>
        </patternFill>
      </fill>
    </dxf>
    <dxf>
      <font>
        <color rgb="FF4F5F69"/>
      </font>
      <fill>
        <patternFill>
          <bgColor rgb="FF4F5F69"/>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0E223A"/>
      </font>
      <fill>
        <patternFill>
          <bgColor rgb="FFFFBE29"/>
        </patternFill>
      </fill>
    </dxf>
    <dxf>
      <fill>
        <patternFill>
          <bgColor rgb="FFEFFDE3"/>
        </patternFill>
      </fill>
    </dxf>
    <dxf>
      <font>
        <color auto="1"/>
      </font>
      <fill>
        <patternFill>
          <bgColor rgb="FFF9CBAD"/>
        </patternFill>
      </fill>
    </dxf>
    <dxf>
      <font>
        <color rgb="FF506069"/>
      </font>
      <fill>
        <patternFill>
          <bgColor rgb="FF506069"/>
        </patternFill>
      </fill>
    </dxf>
    <dxf>
      <font>
        <color theme="0"/>
      </font>
      <fill>
        <patternFill>
          <bgColor rgb="FF505F69"/>
        </patternFill>
      </fill>
    </dxf>
    <dxf>
      <font>
        <color theme="1"/>
      </font>
      <fill>
        <patternFill>
          <bgColor rgb="FFF9CBAD"/>
        </patternFill>
      </fill>
    </dxf>
    <dxf>
      <font>
        <color theme="0"/>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0"/>
      </font>
      <fill>
        <patternFill>
          <bgColor rgb="FF505F6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1"/>
      </font>
      <fill>
        <patternFill>
          <bgColor rgb="FFFFBE29"/>
        </patternFill>
      </fill>
    </dxf>
    <dxf>
      <font>
        <color theme="0"/>
      </font>
      <fill>
        <patternFill>
          <bgColor rgb="FF505F69"/>
        </patternFill>
      </fill>
    </dxf>
    <dxf>
      <font>
        <color theme="1"/>
      </font>
      <fill>
        <patternFill>
          <bgColor rgb="FFEFFDE3"/>
        </patternFill>
      </fill>
    </dxf>
    <dxf>
      <font>
        <color theme="1"/>
      </font>
      <fill>
        <patternFill>
          <bgColor rgb="FFFFBE29"/>
        </patternFill>
      </fill>
    </dxf>
    <dxf>
      <font>
        <color theme="0"/>
      </font>
      <fill>
        <patternFill>
          <bgColor rgb="FF505F69"/>
        </patternFill>
      </fill>
    </dxf>
    <dxf>
      <font>
        <color theme="1"/>
      </font>
      <fill>
        <patternFill>
          <bgColor rgb="FFFFBD29"/>
        </patternFill>
      </fill>
    </dxf>
    <dxf>
      <font>
        <color theme="1"/>
      </font>
      <fill>
        <patternFill>
          <bgColor rgb="FFEFFDE3"/>
        </patternFill>
      </fill>
    </dxf>
    <dxf>
      <font>
        <color theme="1"/>
      </font>
      <fill>
        <patternFill>
          <bgColor rgb="FFFFBE29"/>
        </patternFill>
      </fill>
    </dxf>
    <dxf>
      <font>
        <color theme="0"/>
      </font>
      <fill>
        <patternFill>
          <bgColor rgb="FF505F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theme="1"/>
      </font>
      <fill>
        <patternFill>
          <bgColor rgb="FFF9CBAD"/>
        </patternFill>
      </fill>
    </dxf>
    <dxf>
      <font>
        <color rgb="FF505E69"/>
      </font>
      <fill>
        <patternFill>
          <bgColor rgb="FF505E69"/>
        </patternFill>
      </fill>
    </dxf>
    <dxf>
      <font>
        <color rgb="FF505F69"/>
      </font>
      <fill>
        <patternFill>
          <bgColor rgb="FF505F69"/>
        </patternFill>
      </fill>
    </dxf>
    <dxf>
      <font>
        <color theme="1"/>
      </font>
      <fill>
        <patternFill>
          <bgColor rgb="FFEFFDE3"/>
        </patternFill>
      </fill>
    </dxf>
    <dxf>
      <font>
        <color theme="1"/>
      </font>
      <fill>
        <patternFill>
          <bgColor rgb="FFFFBE29"/>
        </patternFill>
      </fill>
    </dxf>
    <dxf>
      <font>
        <color rgb="FF505E69"/>
      </font>
      <fill>
        <patternFill>
          <bgColor rgb="FF505E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rgb="FF505E69"/>
      </font>
      <fill>
        <patternFill>
          <bgColor rgb="FF505E69"/>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theme="1"/>
      </font>
      <fill>
        <patternFill>
          <bgColor rgb="FFEFFDE3"/>
        </patternFill>
      </fill>
    </dxf>
    <dxf>
      <font>
        <color rgb="FF4F5F69"/>
      </font>
      <fill>
        <patternFill>
          <bgColor rgb="FF4F5F69"/>
        </patternFill>
      </fill>
    </dxf>
    <dxf>
      <font>
        <color rgb="FF505F69"/>
      </font>
      <fill>
        <patternFill>
          <bgColor rgb="FF50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rgb="FF505E69"/>
      </font>
      <fill>
        <patternFill>
          <bgColor rgb="FF505E69"/>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ont>
        <color rgb="FF505E69"/>
      </font>
      <fill>
        <patternFill>
          <bgColor rgb="FF505E69"/>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rgb="FF4F5F69"/>
      </font>
      <fill>
        <patternFill>
          <bgColor rgb="FF506069"/>
        </patternFill>
      </fill>
    </dxf>
    <dxf>
      <font>
        <color theme="1"/>
      </font>
      <fill>
        <patternFill>
          <bgColor rgb="FFF9CBAD"/>
        </patternFill>
      </fill>
    </dxf>
    <dxf>
      <font>
        <color rgb="FF0E223A"/>
      </font>
      <fill>
        <patternFill>
          <bgColor rgb="FFFFBE29"/>
        </patternFill>
      </fill>
    </dxf>
    <dxf>
      <font>
        <color rgb="FF506069"/>
      </font>
      <fill>
        <patternFill>
          <bgColor rgb="FF50606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rgb="FF4F5F69"/>
      </font>
      <fill>
        <patternFill>
          <bgColor rgb="FF506069"/>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ill>
        <patternFill>
          <bgColor theme="5" tint="0.59996337778862885"/>
        </patternFill>
      </fill>
    </dxf>
    <dxf>
      <font>
        <color theme="1"/>
      </font>
      <fill>
        <patternFill>
          <bgColor rgb="FFF9CBAD"/>
        </patternFill>
      </fill>
    </dxf>
    <dxf>
      <font>
        <color rgb="FF4F5F69"/>
      </font>
      <fill>
        <patternFill>
          <bgColor rgb="FF4F5F69"/>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rgb="FF4F5F69"/>
      </font>
      <fill>
        <patternFill>
          <bgColor rgb="FF4F5F69"/>
        </patternFill>
      </fill>
    </dxf>
    <dxf>
      <font>
        <color theme="1"/>
      </font>
      <fill>
        <patternFill>
          <bgColor rgb="FFFFBE29"/>
        </patternFill>
      </fill>
    </dxf>
    <dxf>
      <font>
        <color theme="1"/>
      </font>
      <fill>
        <patternFill>
          <bgColor rgb="FFEFFDE3"/>
        </patternFill>
      </fill>
    </dxf>
    <dxf>
      <font>
        <color rgb="FF505E69"/>
      </font>
      <fill>
        <patternFill>
          <bgColor rgb="FF505E69"/>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505E69"/>
      </font>
      <fill>
        <patternFill>
          <bgColor rgb="FF505E69"/>
        </patternFill>
      </fill>
    </dxf>
    <dxf>
      <font>
        <color theme="1"/>
      </font>
      <fill>
        <patternFill>
          <bgColor rgb="FFF9CBAD"/>
        </patternFill>
      </fill>
    </dxf>
    <dxf>
      <font>
        <color rgb="FF4F5F69"/>
      </font>
      <fill>
        <patternFill>
          <bgColor rgb="FF4F5F69"/>
        </patternFill>
      </fill>
    </dxf>
    <dxf>
      <font>
        <color rgb="FF4F5F69"/>
      </font>
      <fill>
        <patternFill>
          <bgColor rgb="FF4F5F69"/>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theme="1"/>
      </font>
      <fill>
        <patternFill>
          <bgColor rgb="FFEFFDE3"/>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rgb="FF505E69"/>
      </font>
      <fill>
        <patternFill>
          <bgColor rgb="FF505E69"/>
        </patternFill>
      </fill>
    </dxf>
    <dxf>
      <font>
        <color theme="1"/>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ont>
        <color rgb="FF505E69"/>
      </font>
      <fill>
        <patternFill>
          <bgColor rgb="FF505E69"/>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rgb="FF4F5F69"/>
      </font>
      <fill>
        <patternFill>
          <bgColor rgb="FF4F5F69"/>
        </patternFill>
      </fill>
    </dxf>
    <dxf>
      <font>
        <color theme="1"/>
      </font>
      <fill>
        <patternFill>
          <bgColor rgb="FFEFFDE3"/>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506069"/>
      </font>
      <fill>
        <patternFill>
          <bgColor rgb="FF506069"/>
        </patternFill>
      </fill>
    </dxf>
    <dxf>
      <font>
        <color rgb="FF0E223A"/>
      </font>
      <fill>
        <patternFill>
          <bgColor rgb="FFFFBE2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rgb="FF4F5F69"/>
      </font>
      <fill>
        <patternFill>
          <bgColor rgb="FF4F5F6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theme="1"/>
      </font>
      <fill>
        <patternFill>
          <bgColor rgb="FFFFC000"/>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theme="1"/>
      </font>
      <fill>
        <patternFill>
          <bgColor rgb="FFEFFEE3"/>
        </patternFill>
      </fill>
    </dxf>
    <dxf>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F9CBAD"/>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EFFEE3"/>
        </patternFill>
      </fill>
    </dxf>
    <dxf>
      <fill>
        <patternFill>
          <bgColor rgb="FFF9CBAD"/>
        </patternFill>
      </fill>
    </dxf>
    <dxf>
      <font>
        <color rgb="FF0E223A"/>
      </font>
      <fill>
        <patternFill>
          <bgColor rgb="FFFFBE29"/>
        </patternFill>
      </fill>
    </dxf>
    <dxf>
      <font>
        <color rgb="FF0E223A"/>
      </font>
      <fill>
        <patternFill>
          <bgColor rgb="FFEFFEE3"/>
        </patternFill>
      </fill>
    </dxf>
    <dxf>
      <fill>
        <patternFill>
          <bgColor rgb="FFF9CBAD"/>
        </patternFill>
      </fill>
    </dxf>
    <dxf>
      <font>
        <color rgb="FF0E223A"/>
      </font>
      <fill>
        <patternFill>
          <bgColor rgb="FFFFBE29"/>
        </patternFill>
      </fill>
    </dxf>
    <dxf>
      <font>
        <color rgb="FF0E223A"/>
      </font>
      <fill>
        <patternFill>
          <bgColor rgb="FFFFBE29"/>
        </patternFill>
      </fill>
    </dxf>
    <dxf>
      <font>
        <color rgb="FF0E223A"/>
      </font>
      <fill>
        <patternFill>
          <bgColor rgb="FFEFFEE3"/>
        </patternFill>
      </fill>
    </dxf>
    <dxf>
      <fill>
        <patternFill>
          <bgColor rgb="FFF9CBAD"/>
        </patternFill>
      </fill>
    </dxf>
    <dxf>
      <font>
        <color rgb="FF505F69"/>
      </font>
      <fill>
        <patternFill>
          <bgColor rgb="FF505F69"/>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rgb="FF50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rgb="FF4F5F69"/>
      </font>
      <fill>
        <patternFill>
          <bgColor rgb="FF4F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theme="1"/>
      </font>
      <fill>
        <patternFill>
          <bgColor rgb="FFEFFDE3"/>
        </patternFill>
      </fill>
    </dxf>
    <dxf>
      <font>
        <color rgb="FF0E223A"/>
      </font>
      <fill>
        <patternFill>
          <bgColor rgb="FFFFBE2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F9CBAD"/>
      </font>
      <fill>
        <patternFill>
          <bgColor rgb="FFF9CBAD"/>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rgb="FFEFFDE3"/>
        </patternFill>
      </fill>
    </dxf>
    <dxf>
      <font>
        <color theme="0"/>
      </font>
      <fill>
        <patternFill>
          <bgColor rgb="FF506069"/>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505F69"/>
      </font>
      <fill>
        <patternFill>
          <bgColor rgb="FF505F69"/>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rgb="FF505F69"/>
      </font>
      <fill>
        <patternFill>
          <bgColor rgb="FF505F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E223A"/>
      </font>
      <fill>
        <patternFill>
          <bgColor rgb="FFFFBE29"/>
        </patternFill>
      </fill>
    </dxf>
    <dxf>
      <font>
        <color rgb="FF505E69"/>
      </font>
      <fill>
        <patternFill>
          <bgColor rgb="FF505E69"/>
        </patternFill>
      </fill>
    </dxf>
    <dxf>
      <font>
        <color rgb="FF006100"/>
      </font>
      <fill>
        <patternFill>
          <bgColor rgb="FFC6EFCE"/>
        </patternFill>
      </fill>
    </dxf>
    <dxf>
      <font>
        <color rgb="FF9C0006"/>
      </font>
      <fill>
        <patternFill>
          <bgColor rgb="FFFFC7CE"/>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06100"/>
      </font>
      <fill>
        <patternFill>
          <bgColor rgb="FFC6EFCE"/>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E223A"/>
      </font>
      <fill>
        <patternFill>
          <bgColor rgb="FFFFBE29"/>
        </patternFill>
      </fill>
    </dxf>
    <dxf>
      <font>
        <color rgb="FF505E69"/>
      </font>
      <fill>
        <patternFill>
          <bgColor rgb="FF505E69"/>
        </patternFill>
      </fill>
    </dxf>
    <dxf>
      <font>
        <color theme="1"/>
      </font>
      <fill>
        <patternFill>
          <bgColor rgb="FFF9CBAD"/>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505E69"/>
      </font>
      <fill>
        <patternFill>
          <bgColor rgb="FF505E69"/>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0E223A"/>
      </font>
      <fill>
        <patternFill>
          <bgColor rgb="FFFFBE29"/>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9C0006"/>
      </font>
      <fill>
        <patternFill>
          <bgColor rgb="FFFFC7CE"/>
        </patternFill>
      </fill>
    </dxf>
    <dxf>
      <fill>
        <patternFill>
          <bgColor theme="1" tint="0.24994659260841701"/>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9" tint="0.79998168889431442"/>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0E223A"/>
      </font>
      <fill>
        <patternFill>
          <bgColor rgb="FFFFBE29"/>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0E223A"/>
      </font>
      <fill>
        <patternFill>
          <bgColor rgb="FFFFBE2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505E69"/>
      </font>
      <fill>
        <patternFill>
          <bgColor rgb="FF505E69"/>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E223A"/>
      </font>
      <fill>
        <patternFill>
          <bgColor rgb="FFFFBE2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ont>
        <color rgb="FF0E223A"/>
      </font>
      <fill>
        <patternFill>
          <bgColor rgb="FFFFBE29"/>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theme="1"/>
      </font>
      <fill>
        <patternFill>
          <bgColor rgb="FFF9CBAD"/>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F9CBAD"/>
        </patternFill>
      </fill>
    </dxf>
    <dxf>
      <font>
        <color rgb="FF9C0006"/>
      </font>
      <fill>
        <patternFill>
          <bgColor rgb="FFFFC7CE"/>
        </patternFill>
      </fill>
    </dxf>
    <dxf>
      <font>
        <color theme="1"/>
      </font>
      <fill>
        <patternFill>
          <bgColor rgb="FFEFFDE3"/>
        </patternFill>
      </fill>
    </dxf>
    <dxf>
      <font>
        <color theme="0"/>
      </font>
      <fill>
        <patternFill>
          <bgColor rgb="FF4F5F69"/>
        </patternFill>
      </fill>
    </dxf>
    <dxf>
      <font>
        <color theme="1"/>
      </font>
      <fill>
        <patternFill>
          <bgColor rgb="FFFFBE29"/>
        </patternFill>
      </fill>
    </dxf>
    <dxf>
      <font>
        <color rgb="FF505E69"/>
      </font>
      <fill>
        <patternFill>
          <bgColor rgb="FF505E69"/>
        </patternFill>
      </fill>
    </dxf>
    <dxf>
      <font>
        <color theme="0"/>
      </font>
      <fill>
        <patternFill>
          <bgColor rgb="FF506069"/>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rgb="FF006100"/>
      </font>
      <fill>
        <patternFill>
          <bgColor rgb="FFC6EFCE"/>
        </patternFill>
      </fill>
    </dxf>
    <dxf>
      <font>
        <color theme="1"/>
      </font>
      <fill>
        <patternFill>
          <bgColor rgb="FFF9CBAD"/>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0E223A"/>
      </font>
      <fill>
        <patternFill>
          <bgColor rgb="FFFFBE29"/>
        </patternFill>
      </fill>
    </dxf>
    <dxf>
      <font>
        <color rgb="FF9C0006"/>
      </font>
      <fill>
        <patternFill>
          <bgColor rgb="FFFFC7CE"/>
        </patternFill>
      </fill>
    </dxf>
    <dxf>
      <font>
        <color theme="1"/>
      </font>
      <fill>
        <patternFill>
          <bgColor rgb="FFEFFDE3"/>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0E223A"/>
      </font>
      <fill>
        <patternFill>
          <bgColor rgb="FFFFBE29"/>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EFFDE3"/>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theme="1"/>
      </font>
      <fill>
        <patternFill>
          <bgColor rgb="FFEFFDE3"/>
        </patternFill>
      </fill>
    </dxf>
    <dxf>
      <font>
        <color rgb="FF9C0006"/>
      </font>
      <fill>
        <patternFill>
          <bgColor rgb="FFFFC7CE"/>
        </patternFill>
      </fill>
    </dxf>
    <dxf>
      <font>
        <color rgb="FF505E69"/>
      </font>
      <fill>
        <patternFill>
          <bgColor rgb="FF505E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ill>
        <patternFill>
          <bgColor theme="1" tint="0.24994659260841701"/>
        </patternFill>
      </fill>
    </dxf>
    <dxf>
      <font>
        <color theme="1"/>
      </font>
      <fill>
        <patternFill>
          <bgColor rgb="FFF9CBAD"/>
        </patternFill>
      </fill>
    </dxf>
    <dxf>
      <font>
        <color rgb="FF006100"/>
      </font>
      <fill>
        <patternFill>
          <bgColor rgb="FFC6EFCE"/>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ont>
        <color rgb="FF006100"/>
      </font>
      <fill>
        <patternFill>
          <bgColor rgb="FFC6EFCE"/>
        </patternFill>
      </fill>
    </dxf>
    <dxf>
      <fill>
        <patternFill>
          <bgColor rgb="FFF8CBAD"/>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ill>
        <patternFill>
          <bgColor rgb="FFF8CBAD"/>
        </patternFill>
      </fill>
    </dxf>
    <dxf>
      <font>
        <color rgb="FF006100"/>
      </font>
      <fill>
        <patternFill>
          <bgColor rgb="FFC6EFCE"/>
        </patternFill>
      </fill>
    </dxf>
    <dxf>
      <font>
        <color rgb="FF006100"/>
      </font>
      <fill>
        <patternFill>
          <bgColor rgb="FFC6EFCE"/>
        </patternFill>
      </fill>
    </dxf>
    <dxf>
      <fill>
        <patternFill>
          <bgColor rgb="FFF8CBAD"/>
        </patternFill>
      </fill>
    </dxf>
    <dxf>
      <font>
        <color theme="1"/>
      </font>
      <fill>
        <patternFill>
          <bgColor rgb="FFFFBD29"/>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FBD2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theme="1"/>
      </font>
      <fill>
        <patternFill>
          <bgColor rgb="FFF9CBAD"/>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theme="1"/>
      </font>
      <fill>
        <patternFill>
          <bgColor rgb="FFEFFDE3"/>
        </patternFill>
      </fill>
    </dxf>
    <dxf>
      <font>
        <color rgb="FF0E223A"/>
      </font>
      <fill>
        <patternFill>
          <bgColor rgb="FFFFBE29"/>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0"/>
      </font>
      <fill>
        <patternFill>
          <bgColor rgb="FF506069"/>
        </patternFill>
      </fill>
    </dxf>
    <dxf>
      <font>
        <color theme="1"/>
      </font>
      <fill>
        <patternFill>
          <bgColor rgb="FFEFFDE3"/>
        </patternFill>
      </fill>
    </dxf>
    <dxf>
      <font>
        <color theme="0"/>
      </font>
      <fill>
        <patternFill>
          <bgColor rgb="FF4F5F69"/>
        </patternFill>
      </fill>
    </dxf>
    <dxf>
      <font>
        <color theme="1"/>
      </font>
      <fill>
        <patternFill>
          <bgColor rgb="FFEFFDE3"/>
        </patternFill>
      </fill>
    </dxf>
    <dxf>
      <font>
        <color theme="1"/>
      </font>
      <fill>
        <patternFill>
          <bgColor rgb="FFFFBE29"/>
        </patternFill>
      </fill>
    </dxf>
    <dxf>
      <font>
        <color theme="1"/>
      </font>
      <fill>
        <patternFill>
          <bgColor rgb="FFFFBE29"/>
        </patternFill>
      </fill>
    </dxf>
    <dxf>
      <font>
        <color theme="0"/>
      </font>
      <fill>
        <patternFill>
          <bgColor rgb="FF4F5F69"/>
        </patternFill>
      </fill>
    </dxf>
    <dxf>
      <font>
        <color theme="1"/>
      </font>
      <fill>
        <patternFill>
          <bgColor rgb="FFEFFDE3"/>
        </patternFill>
      </fill>
    </dxf>
    <dxf>
      <font>
        <color theme="1"/>
      </font>
      <fill>
        <patternFill>
          <bgColor theme="1" tint="0.24994659260841701"/>
        </patternFill>
      </fill>
    </dxf>
    <dxf>
      <font>
        <color theme="0"/>
      </font>
      <fill>
        <patternFill>
          <bgColor rgb="FF506069"/>
        </patternFill>
      </fill>
    </dxf>
    <dxf>
      <font>
        <color theme="0"/>
      </font>
      <fill>
        <patternFill>
          <bgColor rgb="FFCC092F"/>
        </patternFill>
      </fill>
    </dxf>
    <dxf>
      <font>
        <color theme="1"/>
      </font>
      <fill>
        <patternFill>
          <bgColor rgb="FFFFBE29"/>
        </patternFill>
      </fill>
    </dxf>
    <dxf>
      <font>
        <color theme="1"/>
      </font>
      <fill>
        <patternFill>
          <bgColor rgb="FFFFBE29"/>
        </patternFill>
      </fill>
    </dxf>
    <dxf>
      <font>
        <color theme="1"/>
      </font>
      <fill>
        <patternFill>
          <bgColor rgb="FFFFBE29"/>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ont>
        <color auto="1"/>
      </font>
      <fill>
        <patternFill>
          <bgColor rgb="FFF9CBAD"/>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theme="1"/>
      </font>
      <fill>
        <patternFill>
          <bgColor rgb="FFEFFEE3"/>
        </patternFill>
      </fill>
    </dxf>
    <dxf>
      <font>
        <color theme="1"/>
      </font>
      <fill>
        <patternFill>
          <bgColor rgb="FFFFBE2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4F5F69"/>
        </patternFill>
      </fill>
    </dxf>
    <dxf>
      <fill>
        <patternFill>
          <bgColor rgb="FFEFFDE3"/>
        </patternFill>
      </fill>
    </dxf>
    <dxf>
      <font>
        <color theme="0"/>
      </font>
      <fill>
        <patternFill>
          <bgColor rgb="FF505F69"/>
        </patternFill>
      </fill>
    </dxf>
    <dxf>
      <font>
        <color theme="0"/>
      </font>
      <fill>
        <patternFill>
          <bgColor rgb="FF505F69"/>
        </patternFill>
      </fill>
    </dxf>
    <dxf>
      <font>
        <color theme="0"/>
      </font>
      <fill>
        <patternFill>
          <bgColor rgb="FFCC092F"/>
        </patternFill>
      </fill>
    </dxf>
    <dxf>
      <font>
        <color theme="0"/>
      </font>
      <fill>
        <patternFill>
          <bgColor rgb="FFCC082E"/>
        </patternFill>
      </fill>
    </dxf>
    <dxf>
      <font>
        <color rgb="FFF2F8F9"/>
      </font>
      <fill>
        <patternFill>
          <bgColor rgb="FF505F69"/>
        </patternFill>
      </fill>
    </dxf>
    <dxf>
      <font>
        <color theme="0"/>
      </font>
      <fill>
        <patternFill>
          <bgColor rgb="FF505F69"/>
        </patternFill>
      </fill>
    </dxf>
    <dxf>
      <font>
        <color theme="1"/>
      </font>
      <fill>
        <patternFill>
          <bgColor rgb="FFEFFDE3"/>
        </patternFill>
      </fill>
    </dxf>
    <dxf>
      <font>
        <color theme="0"/>
      </font>
      <fill>
        <patternFill>
          <bgColor rgb="FF4F5F69"/>
        </patternFill>
      </fill>
    </dxf>
    <dxf>
      <font>
        <color theme="0"/>
      </font>
      <fill>
        <patternFill>
          <bgColor rgb="FFC00000"/>
        </patternFill>
      </fill>
    </dxf>
    <dxf>
      <font>
        <color theme="0"/>
      </font>
      <fill>
        <patternFill>
          <bgColor rgb="FF505F69"/>
        </patternFill>
      </fill>
    </dxf>
    <dxf>
      <font>
        <color theme="1"/>
      </font>
      <fill>
        <patternFill>
          <bgColor rgb="FFF9CBAD"/>
        </patternFill>
      </fill>
    </dxf>
    <dxf>
      <font>
        <color theme="0"/>
      </font>
      <fill>
        <patternFill>
          <bgColor rgb="FFCC082E"/>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F9CBAD"/>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505F69"/>
      </font>
      <fill>
        <patternFill>
          <bgColor rgb="FF505F69"/>
        </patternFill>
      </fill>
    </dxf>
    <dxf>
      <font>
        <color theme="0"/>
      </font>
      <fill>
        <patternFill>
          <bgColor rgb="FFC00000"/>
        </patternFill>
      </fill>
    </dxf>
    <dxf>
      <font>
        <color theme="1"/>
      </font>
      <fill>
        <patternFill>
          <bgColor rgb="FFFFBE29"/>
        </patternFill>
      </fill>
    </dxf>
    <dxf>
      <font>
        <color theme="1"/>
      </font>
      <fill>
        <patternFill>
          <bgColor rgb="FFFFBE29"/>
        </patternFill>
      </fill>
    </dxf>
    <dxf>
      <font>
        <color theme="1"/>
      </font>
      <fill>
        <patternFill>
          <bgColor rgb="FFEFFDE3"/>
        </patternFill>
      </fill>
    </dxf>
    <dxf>
      <font>
        <color theme="0"/>
      </font>
      <fill>
        <patternFill>
          <bgColor rgb="FFCC092F"/>
        </patternFill>
      </fill>
    </dxf>
    <dxf>
      <font>
        <color theme="0"/>
      </font>
      <fill>
        <patternFill>
          <bgColor rgb="FF506069"/>
        </patternFill>
      </fill>
    </dxf>
    <dxf>
      <fill>
        <patternFill>
          <bgColor rgb="FFEFFDE3"/>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CC092F"/>
        </patternFill>
      </fill>
    </dxf>
    <dxf>
      <fill>
        <patternFill>
          <bgColor rgb="FFEFFDE3"/>
        </patternFill>
      </fill>
    </dxf>
    <dxf>
      <font>
        <color theme="0"/>
      </font>
      <fill>
        <patternFill>
          <bgColor rgb="FF4F5F69"/>
        </patternFill>
      </fill>
    </dxf>
    <dxf>
      <font>
        <color theme="0"/>
      </font>
      <fill>
        <patternFill>
          <bgColor rgb="FF506069"/>
        </patternFill>
      </fill>
    </dxf>
    <dxf>
      <font>
        <color theme="0"/>
      </font>
      <fill>
        <patternFill>
          <bgColor rgb="FFC00000"/>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ill>
        <patternFill>
          <bgColor rgb="FFEFFEE3"/>
        </patternFill>
      </fill>
    </dxf>
    <dxf>
      <fill>
        <patternFill>
          <bgColor rgb="FFFFBE29"/>
        </patternFill>
      </fill>
    </dxf>
    <dxf>
      <fill>
        <patternFill>
          <bgColor rgb="FFF9CBAD"/>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6069"/>
      </font>
      <fill>
        <patternFill>
          <bgColor rgb="FF4F5F69"/>
        </patternFill>
      </fill>
    </dxf>
    <dxf>
      <font>
        <color rgb="FF505F69"/>
      </font>
      <fill>
        <patternFill>
          <bgColor rgb="FF505F69"/>
        </patternFill>
      </fill>
    </dxf>
    <dxf>
      <font>
        <color rgb="FF506069"/>
      </font>
      <fill>
        <patternFill>
          <bgColor rgb="FF506069"/>
        </patternFill>
      </fill>
    </dxf>
    <dxf>
      <font>
        <color rgb="FF506069"/>
      </font>
      <fill>
        <patternFill>
          <bgColor rgb="FF4F5F69"/>
        </patternFill>
      </fill>
    </dxf>
    <dxf>
      <font>
        <color rgb="FF505E69"/>
      </font>
      <fill>
        <patternFill>
          <bgColor rgb="FF505E69"/>
        </patternFill>
      </fill>
    </dxf>
    <dxf>
      <font>
        <color rgb="FF506069"/>
      </font>
      <fill>
        <patternFill>
          <bgColor rgb="FF4F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5060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rgb="FF4F5F69"/>
      </font>
      <fill>
        <patternFill>
          <bgColor rgb="FF506069"/>
        </patternFill>
      </fill>
    </dxf>
    <dxf>
      <font>
        <color rgb="FF4F5F69"/>
      </font>
      <fill>
        <patternFill>
          <bgColor rgb="FF4F5F69"/>
        </patternFill>
      </fill>
    </dxf>
    <dxf>
      <font>
        <color rgb="FF4F5F69"/>
      </font>
      <fill>
        <patternFill>
          <bgColor rgb="FF506069"/>
        </patternFill>
      </fill>
    </dxf>
    <dxf>
      <font>
        <color rgb="FF4F5F69"/>
      </font>
      <fill>
        <patternFill>
          <bgColor rgb="FF4F5F69"/>
        </patternFill>
      </fill>
    </dxf>
    <dxf>
      <font>
        <color rgb="FF505F69"/>
      </font>
      <fill>
        <patternFill>
          <bgColor rgb="FF505F69"/>
        </patternFill>
      </fill>
    </dxf>
    <dxf>
      <font>
        <color theme="0"/>
      </font>
      <fill>
        <patternFill>
          <bgColor rgb="FFCC092F"/>
        </patternFill>
      </fill>
    </dxf>
    <dxf>
      <font>
        <color theme="0"/>
      </font>
      <fill>
        <patternFill>
          <bgColor rgb="FF505F69"/>
        </patternFill>
      </fill>
    </dxf>
    <dxf>
      <fill>
        <patternFill>
          <bgColor rgb="FFEFFDE3"/>
        </patternFill>
      </fill>
    </dxf>
    <dxf>
      <font>
        <color rgb="FF505F69"/>
      </font>
      <fill>
        <patternFill>
          <bgColor rgb="FF5060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ill>
        <patternFill>
          <bgColor rgb="FFF9CBAD"/>
        </patternFill>
      </fill>
    </dxf>
    <dxf>
      <fill>
        <patternFill>
          <bgColor rgb="FFEFFEE3"/>
        </patternFill>
      </fill>
    </dxf>
    <dxf>
      <fill>
        <patternFill>
          <bgColor rgb="FFFFBE29"/>
        </patternFill>
      </fill>
    </dxf>
    <dxf>
      <fill>
        <patternFill>
          <bgColor rgb="FFEFFDE3"/>
        </patternFill>
      </fill>
    </dxf>
    <dxf>
      <font>
        <color theme="0"/>
      </font>
      <fill>
        <patternFill>
          <bgColor rgb="FFCC092F"/>
        </patternFill>
      </fill>
    </dxf>
    <dxf>
      <font>
        <color theme="0"/>
      </font>
      <fill>
        <patternFill>
          <bgColor rgb="FF506069"/>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C00000"/>
        </patternFill>
      </fill>
    </dxf>
    <dxf>
      <fill>
        <patternFill>
          <bgColor rgb="FFEFFDE3"/>
        </patternFill>
      </fill>
    </dxf>
    <dxf>
      <font>
        <color theme="0"/>
      </font>
      <fill>
        <patternFill>
          <bgColor rgb="FF506069"/>
        </patternFill>
      </fill>
    </dxf>
    <dxf>
      <font>
        <color theme="0"/>
      </font>
      <fill>
        <patternFill>
          <bgColor rgb="FFCC092F"/>
        </patternFill>
      </fill>
    </dxf>
    <dxf>
      <font>
        <color theme="0"/>
      </font>
      <fill>
        <patternFill>
          <bgColor rgb="FF506069"/>
        </patternFill>
      </fill>
    </dxf>
    <dxf>
      <fill>
        <patternFill>
          <bgColor rgb="FFEFFDE3"/>
        </patternFill>
      </fill>
    </dxf>
    <dxf>
      <font>
        <color theme="0"/>
      </font>
      <fill>
        <patternFill>
          <bgColor rgb="FF4F5F69"/>
        </patternFill>
      </fill>
    </dxf>
    <dxf>
      <font>
        <color theme="0"/>
      </font>
      <fill>
        <patternFill>
          <bgColor rgb="FFCC092F"/>
        </patternFill>
      </fill>
    </dxf>
    <dxf>
      <fill>
        <patternFill>
          <bgColor theme="5" tint="0.59996337778862885"/>
        </patternFill>
      </fill>
    </dxf>
    <dxf>
      <font>
        <color theme="1"/>
      </font>
      <fill>
        <patternFill>
          <bgColor theme="1" tint="0.24994659260841701"/>
        </patternFill>
      </fill>
    </dxf>
    <dxf>
      <fill>
        <patternFill>
          <bgColor theme="5" tint="0.59996337778862885"/>
        </patternFill>
      </fill>
    </dxf>
    <dxf>
      <font>
        <color theme="1"/>
      </font>
      <fill>
        <patternFill>
          <bgColor theme="1" tint="0.2499465926084170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rgb="FF506069"/>
      </font>
      <fill>
        <patternFill>
          <bgColor rgb="FF506069"/>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theme="1" tint="0.24994659260841701"/>
        </patternFill>
      </fill>
    </dxf>
    <dxf>
      <font>
        <color theme="1"/>
      </font>
      <fill>
        <patternFill>
          <bgColor rgb="FFEFFDE3"/>
        </patternFill>
      </fill>
    </dxf>
    <dxf>
      <fill>
        <patternFill>
          <bgColor theme="5" tint="0.59996337778862885"/>
        </patternFill>
      </fill>
    </dxf>
    <dxf>
      <font>
        <color theme="1"/>
      </font>
      <fill>
        <patternFill>
          <bgColor theme="1" tint="0.24994659260841701"/>
        </patternFill>
      </fill>
    </dxf>
    <dxf>
      <font>
        <color theme="1"/>
      </font>
      <fill>
        <patternFill>
          <bgColor theme="1" tint="0.24994659260841701"/>
        </patternFill>
      </fill>
    </dxf>
    <dxf>
      <fill>
        <patternFill>
          <bgColor theme="1" tint="0.24994659260841701"/>
        </patternFill>
      </fill>
    </dxf>
    <dxf>
      <font>
        <color theme="1"/>
      </font>
      <fill>
        <patternFill>
          <bgColor theme="1" tint="0.24994659260841701"/>
        </patternFill>
      </fill>
    </dxf>
    <dxf>
      <font>
        <color theme="1"/>
      </font>
      <fill>
        <patternFill>
          <bgColor rgb="FFFFBE29"/>
        </patternFill>
      </fill>
    </dxf>
    <dxf>
      <font>
        <color theme="0"/>
      </font>
      <fill>
        <patternFill>
          <bgColor rgb="FFCC092F"/>
        </patternFill>
      </fill>
    </dxf>
    <dxf>
      <font>
        <color theme="0"/>
      </font>
      <fill>
        <patternFill>
          <bgColor rgb="FF506069"/>
        </patternFill>
      </fill>
    </dxf>
    <dxf>
      <font>
        <color theme="1"/>
      </font>
      <fill>
        <patternFill>
          <bgColor rgb="FFFFBE29"/>
        </patternFill>
      </fill>
    </dxf>
    <dxf>
      <fill>
        <patternFill>
          <bgColor rgb="FFFFBE29"/>
        </patternFill>
      </fill>
    </dxf>
    <dxf>
      <font>
        <color theme="1"/>
      </font>
      <fill>
        <patternFill>
          <bgColor rgb="FFFFBE29"/>
        </patternFill>
      </fill>
    </dxf>
    <dxf>
      <font>
        <color rgb="FFF2F8F9"/>
      </font>
      <fill>
        <patternFill>
          <bgColor rgb="FFC00000"/>
        </patternFill>
      </fill>
    </dxf>
    <dxf>
      <font>
        <color theme="1"/>
      </font>
      <fill>
        <patternFill>
          <bgColor rgb="FFFFBE29"/>
        </patternFill>
      </fill>
    </dxf>
    <dxf>
      <fill>
        <patternFill>
          <bgColor rgb="FFFFBE29"/>
        </patternFill>
      </fill>
    </dxf>
    <dxf>
      <fill>
        <patternFill>
          <bgColor rgb="FFF9CBAD"/>
        </patternFill>
      </fill>
    </dxf>
    <dxf>
      <fill>
        <patternFill>
          <bgColor rgb="FFEFFDE3"/>
        </patternFill>
      </fill>
    </dxf>
    <dxf>
      <font>
        <color rgb="FF506069"/>
      </font>
      <fill>
        <patternFill>
          <bgColor rgb="FF5060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505F69"/>
      </font>
      <fill>
        <patternFill>
          <bgColor rgb="FF505F6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rgb="FF505E69"/>
      </font>
      <fill>
        <patternFill>
          <bgColor rgb="FF505E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ill>
        <patternFill>
          <bgColor rgb="FFFFBE29"/>
        </patternFill>
      </fill>
    </dxf>
    <dxf>
      <fill>
        <patternFill>
          <bgColor rgb="FFF9CBAD"/>
        </patternFill>
      </fill>
    </dxf>
    <dxf>
      <fill>
        <patternFill>
          <bgColor rgb="FFEFFDE3"/>
        </patternFill>
      </fill>
    </dxf>
    <dxf>
      <font>
        <color rgb="FF506069"/>
      </font>
      <fill>
        <patternFill>
          <bgColor rgb="FF506069"/>
        </patternFill>
      </fill>
    </dxf>
    <dxf>
      <font>
        <color rgb="FF4F5F69"/>
      </font>
      <fill>
        <patternFill>
          <bgColor rgb="FF4F5F69"/>
        </patternFill>
      </fill>
    </dxf>
    <dxf>
      <fill>
        <patternFill>
          <bgColor rgb="FFF9CBAD"/>
        </patternFill>
      </fill>
    </dxf>
    <dxf>
      <fill>
        <patternFill>
          <bgColor rgb="FFFFBE29"/>
        </patternFill>
      </fill>
    </dxf>
    <dxf>
      <fill>
        <patternFill>
          <bgColor rgb="FFEFFDE3"/>
        </patternFill>
      </fill>
    </dxf>
    <dxf>
      <font>
        <color rgb="FF506069"/>
      </font>
      <fill>
        <patternFill>
          <bgColor rgb="FF506069"/>
        </patternFill>
      </fill>
    </dxf>
    <dxf>
      <font>
        <color rgb="FF4F5F69"/>
      </font>
      <fill>
        <patternFill>
          <bgColor rgb="FF4F5F69"/>
        </patternFill>
      </fill>
    </dxf>
    <dxf>
      <fill>
        <patternFill>
          <bgColor theme="5" tint="0.59996337778862885"/>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ill>
        <patternFill>
          <bgColor rgb="FFEFFDE3"/>
        </patternFill>
      </fill>
    </dxf>
    <dxf>
      <fill>
        <patternFill>
          <bgColor rgb="FFFFBE29"/>
        </patternFill>
      </fill>
    </dxf>
    <dxf>
      <fill>
        <patternFill>
          <bgColor rgb="FFF9CBAD"/>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auto="1"/>
      </font>
      <fill>
        <patternFill>
          <bgColor rgb="FFF9CBAD"/>
        </patternFill>
      </fill>
    </dxf>
    <dxf>
      <font>
        <color rgb="FF506069"/>
      </font>
      <fill>
        <patternFill>
          <bgColor rgb="FF506069"/>
        </patternFill>
      </fill>
    </dxf>
    <dxf>
      <font>
        <color theme="1"/>
      </font>
      <fill>
        <patternFill>
          <bgColor rgb="FFEFFDE3"/>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ill>
        <patternFill>
          <bgColor rgb="FFF9CBAD"/>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506069"/>
      </font>
      <fill>
        <patternFill>
          <bgColor rgb="FF506069"/>
        </patternFill>
      </fill>
    </dxf>
    <dxf>
      <font>
        <color theme="1"/>
      </font>
      <fill>
        <patternFill>
          <bgColor rgb="FFFFBE29"/>
        </patternFill>
      </fill>
    </dxf>
    <dxf>
      <font>
        <color theme="1"/>
      </font>
      <fill>
        <patternFill>
          <bgColor rgb="FFEFFEE3"/>
        </patternFill>
      </fill>
    </dxf>
    <dxf>
      <fill>
        <patternFill>
          <bgColor rgb="FFF9CBAD"/>
        </patternFill>
      </fill>
    </dxf>
    <dxf>
      <font>
        <color rgb="FF505F69"/>
      </font>
      <fill>
        <patternFill>
          <bgColor rgb="FF505F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4F5F69"/>
        </patternFill>
      </fill>
    </dxf>
    <dxf>
      <font>
        <color rgb="FF0E223A"/>
      </font>
      <fill>
        <patternFill>
          <bgColor rgb="FFFFBE29"/>
        </patternFill>
      </fill>
    </dxf>
    <dxf>
      <font>
        <color rgb="FF506069"/>
      </font>
      <fill>
        <patternFill>
          <bgColor rgb="FF50606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rgb="FF506069"/>
      </font>
      <fill>
        <patternFill>
          <bgColor rgb="FF5060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5060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ill>
        <patternFill>
          <bgColor rgb="FFEFFDE3"/>
        </patternFill>
      </fill>
    </dxf>
    <dxf>
      <fill>
        <patternFill>
          <bgColor rgb="FFFFBE29"/>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4F5F69"/>
        </patternFill>
      </fill>
    </dxf>
    <dxf>
      <font>
        <color theme="0"/>
      </font>
      <fill>
        <patternFill>
          <bgColor rgb="FF506069"/>
        </patternFill>
      </fill>
    </dxf>
    <dxf>
      <font>
        <color theme="0"/>
      </font>
      <fill>
        <patternFill>
          <bgColor rgb="FF506069"/>
        </patternFill>
      </fill>
    </dxf>
    <dxf>
      <fill>
        <patternFill>
          <bgColor rgb="FFEFFDE3"/>
        </patternFill>
      </fill>
    </dxf>
    <dxf>
      <font>
        <color theme="0"/>
      </font>
      <fill>
        <patternFill>
          <bgColor rgb="FF4F5F69"/>
        </patternFill>
      </fill>
    </dxf>
    <dxf>
      <fill>
        <patternFill>
          <bgColor rgb="FFEFFDE3"/>
        </patternFill>
      </fill>
    </dxf>
    <dxf>
      <font>
        <color theme="0"/>
      </font>
      <fill>
        <patternFill>
          <bgColor rgb="FF506069"/>
        </patternFill>
      </fill>
    </dxf>
    <dxf>
      <font>
        <color theme="0"/>
      </font>
      <fill>
        <patternFill>
          <bgColor rgb="FFC00000"/>
        </patternFill>
      </fill>
    </dxf>
    <dxf>
      <font>
        <color rgb="FF0E223A"/>
      </font>
      <fill>
        <patternFill>
          <bgColor rgb="FFEFFDE3"/>
        </patternFill>
      </fill>
    </dxf>
    <dxf>
      <font>
        <color theme="0"/>
      </font>
      <fill>
        <patternFill>
          <bgColor rgb="FF505F69"/>
        </patternFill>
      </fill>
    </dxf>
    <dxf>
      <font>
        <color theme="1"/>
      </font>
      <fill>
        <patternFill>
          <bgColor rgb="FFEFFDE3"/>
        </patternFill>
      </fill>
    </dxf>
    <dxf>
      <font>
        <color theme="0"/>
      </font>
      <fill>
        <patternFill>
          <bgColor rgb="FF4F5F69"/>
        </patternFill>
      </fill>
    </dxf>
    <dxf>
      <font>
        <color theme="0"/>
      </font>
      <fill>
        <patternFill>
          <bgColor rgb="FFCC092F"/>
        </patternFill>
      </fill>
    </dxf>
    <dxf>
      <font>
        <color theme="0"/>
      </font>
      <fill>
        <patternFill>
          <bgColor rgb="FF4F5F69"/>
        </patternFill>
      </fill>
    </dxf>
    <dxf>
      <font>
        <color theme="1"/>
      </font>
      <fill>
        <patternFill>
          <bgColor rgb="FFEFFDE3"/>
        </patternFill>
      </fill>
    </dxf>
    <dxf>
      <font>
        <color theme="0"/>
      </font>
      <fill>
        <patternFill>
          <bgColor rgb="FF4F5F69"/>
        </patternFill>
      </fill>
    </dxf>
    <dxf>
      <font>
        <color theme="0"/>
      </font>
      <fill>
        <patternFill>
          <bgColor rgb="FFCC092F"/>
        </patternFill>
      </fill>
    </dxf>
    <dxf>
      <font>
        <color theme="0"/>
      </font>
      <fill>
        <patternFill>
          <bgColor rgb="FF505F69"/>
        </patternFill>
      </fill>
    </dxf>
    <dxf>
      <font>
        <color theme="0"/>
      </font>
      <fill>
        <patternFill>
          <bgColor rgb="FFCC082E"/>
        </patternFill>
      </fill>
    </dxf>
    <dxf>
      <font>
        <color theme="0"/>
      </font>
      <fill>
        <patternFill>
          <bgColor rgb="FF505F69"/>
        </patternFill>
      </fill>
    </dxf>
    <dxf>
      <font>
        <color theme="1"/>
      </font>
      <fill>
        <patternFill>
          <bgColor rgb="FFEFFDE3"/>
        </patternFill>
      </fill>
    </dxf>
    <dxf>
      <font>
        <color theme="0"/>
      </font>
      <fill>
        <patternFill>
          <bgColor rgb="FF4F5F69"/>
        </patternFill>
      </fill>
    </dxf>
    <dxf>
      <font>
        <color theme="0"/>
      </font>
      <fill>
        <patternFill>
          <bgColor rgb="FFC00000"/>
        </patternFill>
      </fill>
    </dxf>
    <dxf>
      <font>
        <color rgb="FF0E223A"/>
      </font>
      <fill>
        <patternFill>
          <bgColor rgb="FFF9CBAD"/>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F9CBAD"/>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505F69"/>
      </font>
      <fill>
        <patternFill>
          <bgColor rgb="FF505F69"/>
        </patternFill>
      </fill>
    </dxf>
    <dxf>
      <font>
        <color theme="1"/>
      </font>
      <fill>
        <patternFill>
          <bgColor rgb="FFEFFDE3"/>
        </patternFill>
      </fill>
    </dxf>
    <dxf>
      <font>
        <color theme="0"/>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rgb="FF0E223A"/>
      </font>
      <fill>
        <patternFill>
          <bgColor rgb="FFEFFEE3"/>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0"/>
      </font>
      <fill>
        <patternFill>
          <bgColor rgb="FF505F69"/>
        </patternFill>
      </fill>
    </dxf>
    <dxf>
      <font>
        <color theme="1"/>
      </font>
      <fill>
        <patternFill>
          <bgColor rgb="FFEFFDE3"/>
        </patternFill>
      </fill>
    </dxf>
    <dxf>
      <font>
        <color theme="0"/>
      </font>
      <fill>
        <patternFill>
          <bgColor rgb="FF505F69"/>
        </patternFill>
      </fill>
    </dxf>
    <dxf>
      <font>
        <color theme="0"/>
      </font>
      <fill>
        <patternFill>
          <bgColor rgb="FF505F69"/>
        </patternFill>
      </fill>
    </dxf>
    <dxf>
      <font>
        <color theme="1"/>
      </font>
      <fill>
        <patternFill>
          <bgColor rgb="FFEFFDE3"/>
        </patternFill>
      </fill>
    </dxf>
    <dxf>
      <font>
        <color theme="0"/>
      </font>
      <fill>
        <patternFill>
          <bgColor rgb="FFCC082E"/>
        </patternFill>
      </fill>
    </dxf>
    <dxf>
      <font>
        <color theme="0"/>
      </font>
      <fill>
        <patternFill>
          <bgColor rgb="FFCC082E"/>
        </patternFill>
      </fill>
    </dxf>
    <dxf>
      <font>
        <color theme="0"/>
      </font>
      <fill>
        <patternFill>
          <bgColor rgb="FFC00000"/>
        </patternFill>
      </fill>
    </dxf>
    <dxf>
      <font>
        <color theme="0"/>
      </font>
      <fill>
        <patternFill>
          <bgColor rgb="FFC00000"/>
        </patternFill>
      </fill>
    </dxf>
    <dxf>
      <font>
        <color theme="1"/>
      </font>
      <fill>
        <patternFill>
          <bgColor rgb="FFEFFEE3"/>
        </patternFill>
      </fill>
    </dxf>
    <dxf>
      <font>
        <color theme="0"/>
      </font>
      <fill>
        <patternFill>
          <bgColor rgb="FFCC082E"/>
        </patternFill>
      </fill>
    </dxf>
    <dxf>
      <font>
        <color theme="0"/>
      </font>
      <fill>
        <patternFill>
          <bgColor rgb="FFC00000"/>
        </patternFill>
      </fill>
    </dxf>
    <dxf>
      <font>
        <color theme="0"/>
      </font>
      <fill>
        <patternFill>
          <bgColor rgb="FFC00000"/>
        </patternFill>
      </fill>
    </dxf>
    <dxf>
      <font>
        <color theme="1"/>
      </font>
      <fill>
        <patternFill>
          <bgColor theme="1" tint="0.24994659260841701"/>
        </patternFill>
      </fill>
    </dxf>
    <dxf>
      <font>
        <color theme="0"/>
      </font>
      <fill>
        <patternFill>
          <bgColor rgb="FFCC092F"/>
        </patternFill>
      </fill>
    </dxf>
    <dxf>
      <font>
        <color theme="1"/>
      </font>
      <fill>
        <patternFill>
          <bgColor rgb="FFFFBE29"/>
        </patternFill>
      </fill>
    </dxf>
    <dxf>
      <font>
        <color theme="0"/>
      </font>
      <fill>
        <patternFill>
          <bgColor rgb="FFCC092F"/>
        </patternFill>
      </fill>
    </dxf>
    <dxf>
      <font>
        <color theme="0"/>
      </font>
      <fill>
        <patternFill>
          <bgColor rgb="FF506069"/>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CC082E"/>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0E223A"/>
      </font>
      <fill>
        <patternFill>
          <bgColor rgb="FFFFBE29"/>
        </patternFill>
      </fill>
    </dxf>
    <dxf>
      <font>
        <color rgb="FF4F5F69"/>
      </font>
      <fill>
        <patternFill>
          <bgColor rgb="FF4F5F69"/>
        </patternFill>
      </fill>
    </dxf>
    <dxf>
      <font>
        <color rgb="FF505F69"/>
      </font>
      <fill>
        <patternFill>
          <bgColor rgb="FF505F69"/>
        </patternFill>
      </fill>
    </dxf>
    <dxf>
      <font>
        <color rgb="FF50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5E69"/>
      </font>
      <fill>
        <patternFill>
          <bgColor rgb="FF505E69"/>
        </patternFill>
      </fill>
    </dxf>
    <dxf>
      <font>
        <color rgb="FF506069"/>
      </font>
      <fill>
        <patternFill>
          <bgColor rgb="FF506069"/>
        </patternFill>
      </fill>
    </dxf>
    <dxf>
      <fill>
        <patternFill>
          <bgColor theme="5" tint="0.59996337778862885"/>
        </patternFill>
      </fill>
    </dxf>
    <dxf>
      <font>
        <color rgb="FF505F69"/>
      </font>
      <fill>
        <patternFill>
          <bgColor rgb="FF505F69"/>
        </patternFill>
      </fill>
    </dxf>
    <dxf>
      <font>
        <color rgb="FF506069"/>
      </font>
      <fill>
        <patternFill>
          <bgColor rgb="FF506069"/>
        </patternFill>
      </fill>
    </dxf>
    <dxf>
      <font>
        <color rgb="FF506069"/>
      </font>
      <fill>
        <patternFill>
          <bgColor rgb="FF506069"/>
        </patternFill>
      </fill>
    </dxf>
    <dxf>
      <font>
        <color theme="1"/>
      </font>
      <fill>
        <patternFill>
          <bgColor rgb="FFEFFDE3"/>
        </patternFill>
      </fill>
    </dxf>
    <dxf>
      <font>
        <color rgb="FF0E223A"/>
      </font>
      <fill>
        <patternFill>
          <bgColor rgb="FFFFBE29"/>
        </patternFill>
      </fill>
    </dxf>
    <dxf>
      <font>
        <color theme="1"/>
      </font>
      <fill>
        <patternFill>
          <bgColor rgb="FFF9CBAD"/>
        </patternFill>
      </fill>
    </dxf>
    <dxf>
      <font>
        <color rgb="FF505E69"/>
      </font>
      <fill>
        <patternFill>
          <bgColor rgb="FF505E69"/>
        </patternFill>
      </fill>
    </dxf>
    <dxf>
      <font>
        <color rgb="FF505F69"/>
      </font>
      <fill>
        <patternFill>
          <bgColor rgb="FF505F69"/>
        </patternFill>
      </fill>
    </dxf>
    <dxf>
      <font>
        <color rgb="FF505E69"/>
      </font>
      <fill>
        <patternFill>
          <bgColor rgb="FF505E69"/>
        </patternFill>
      </fill>
    </dxf>
    <dxf>
      <font>
        <color rgb="FF505F69"/>
      </font>
      <fill>
        <patternFill>
          <bgColor rgb="FF505F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6069"/>
      </font>
      <fill>
        <patternFill>
          <bgColor rgb="FF5060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ill>
        <patternFill>
          <bgColor rgb="FFEFFDE3"/>
        </patternFill>
      </fill>
    </dxf>
    <dxf>
      <font>
        <color theme="0"/>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0E223A"/>
      </font>
      <fill>
        <patternFill>
          <bgColor rgb="FFF9CBAD"/>
        </patternFill>
      </fill>
    </dxf>
    <dxf>
      <font>
        <color rgb="FF0E223A"/>
      </font>
      <fill>
        <patternFill>
          <bgColor rgb="FFEFFEE3"/>
        </patternFill>
      </fill>
    </dxf>
    <dxf>
      <font>
        <color rgb="FF4F5F69"/>
      </font>
      <fill>
        <patternFill>
          <bgColor rgb="FF4F5F69"/>
        </patternFill>
      </fill>
    </dxf>
    <dxf>
      <font>
        <color theme="1"/>
      </font>
      <fill>
        <patternFill>
          <bgColor rgb="FFFFBE29"/>
        </patternFill>
      </fill>
    </dxf>
    <dxf>
      <font>
        <color rgb="FF0E223A"/>
      </font>
      <fill>
        <patternFill>
          <bgColor rgb="FFEFFDE3"/>
        </patternFill>
      </fill>
    </dxf>
    <dxf>
      <fill>
        <patternFill>
          <bgColor theme="5" tint="0.59996337778862885"/>
        </patternFill>
      </fill>
    </dxf>
    <dxf>
      <font>
        <color rgb="FF4F5F69"/>
      </font>
      <fill>
        <patternFill>
          <bgColor rgb="FF4F5F69"/>
        </patternFill>
      </fill>
    </dxf>
    <dxf>
      <font>
        <color theme="0"/>
      </font>
      <fill>
        <patternFill>
          <bgColor rgb="FF506069"/>
        </patternFill>
      </fill>
    </dxf>
    <dxf>
      <font>
        <color theme="0"/>
      </font>
      <fill>
        <patternFill>
          <bgColor rgb="FFCC092F"/>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506069"/>
        </patternFill>
      </fill>
    </dxf>
    <dxf>
      <fill>
        <patternFill>
          <bgColor rgb="FFEFFDE3"/>
        </patternFill>
      </fill>
    </dxf>
    <dxf>
      <font>
        <color theme="0"/>
      </font>
      <fill>
        <patternFill>
          <bgColor rgb="FFCC082E"/>
        </patternFill>
      </fill>
    </dxf>
    <dxf>
      <font>
        <color theme="0"/>
      </font>
      <fill>
        <patternFill>
          <bgColor rgb="FF506069"/>
        </patternFill>
      </fill>
    </dxf>
    <dxf>
      <fill>
        <patternFill>
          <bgColor rgb="FFEFFDE3"/>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rgb="FF0E223A"/>
      </font>
      <fill>
        <patternFill>
          <bgColor rgb="FFEFFDE3"/>
        </patternFill>
      </fill>
    </dxf>
    <dxf>
      <font>
        <color theme="0"/>
      </font>
      <fill>
        <patternFill>
          <bgColor rgb="FFC00000"/>
        </patternFill>
      </fill>
    </dxf>
    <dxf>
      <font>
        <color theme="0"/>
      </font>
      <fill>
        <patternFill>
          <bgColor rgb="FFC00000"/>
        </patternFill>
      </fill>
    </dxf>
    <dxf>
      <font>
        <color theme="0"/>
      </font>
      <fill>
        <patternFill>
          <bgColor rgb="FFCC082E"/>
        </patternFill>
      </fill>
    </dxf>
    <dxf>
      <font>
        <color rgb="FF4F5F69"/>
      </font>
      <fill>
        <patternFill>
          <bgColor rgb="FF505E69"/>
        </patternFill>
      </fill>
    </dxf>
    <dxf>
      <font>
        <color rgb="FF506069"/>
      </font>
      <fill>
        <patternFill>
          <bgColor rgb="FF506069"/>
        </patternFill>
      </fill>
    </dxf>
    <dxf>
      <font>
        <color rgb="FF505E69"/>
      </font>
      <fill>
        <patternFill>
          <bgColor rgb="FF505E69"/>
        </patternFill>
      </fill>
    </dxf>
    <dxf>
      <font>
        <color rgb="FF505E69"/>
      </font>
      <fill>
        <patternFill>
          <bgColor rgb="FF505E69"/>
        </patternFill>
      </fill>
    </dxf>
    <dxf>
      <font>
        <color rgb="FF505F69"/>
      </font>
      <fill>
        <patternFill>
          <bgColor rgb="FF505F69"/>
        </patternFill>
      </fill>
    </dxf>
    <dxf>
      <font>
        <color rgb="FF4F5F69"/>
      </font>
      <fill>
        <patternFill>
          <bgColor rgb="FF4F5F69"/>
        </patternFill>
      </fill>
    </dxf>
    <dxf>
      <font>
        <color theme="1"/>
      </font>
      <fill>
        <patternFill>
          <bgColor rgb="FFF9CBAD"/>
        </patternFill>
      </fill>
    </dxf>
    <dxf>
      <font>
        <color rgb="FF0E223A"/>
      </font>
      <fill>
        <patternFill>
          <bgColor rgb="FFFFBE29"/>
        </patternFill>
      </fill>
    </dxf>
    <dxf>
      <font>
        <color rgb="FF506069"/>
      </font>
      <fill>
        <patternFill>
          <bgColor rgb="FF506069"/>
        </patternFill>
      </fill>
    </dxf>
    <dxf>
      <font>
        <color theme="1"/>
      </font>
      <fill>
        <patternFill>
          <bgColor rgb="FFEFFDE3"/>
        </patternFill>
      </fill>
    </dxf>
    <dxf>
      <font>
        <color rgb="FF505E69"/>
      </font>
      <fill>
        <patternFill>
          <bgColor rgb="FF505E69"/>
        </patternFill>
      </fill>
    </dxf>
    <dxf>
      <font>
        <color rgb="FF505E69"/>
      </font>
      <fill>
        <patternFill>
          <bgColor rgb="FF505E69"/>
        </patternFill>
      </fill>
    </dxf>
    <dxf>
      <font>
        <color rgb="FF506069"/>
      </font>
      <fill>
        <patternFill>
          <bgColor rgb="FF506069"/>
        </patternFill>
      </fill>
    </dxf>
    <dxf>
      <font>
        <color theme="1"/>
      </font>
      <fill>
        <patternFill>
          <bgColor rgb="FFF9CBAD"/>
        </patternFill>
      </fill>
    </dxf>
    <dxf>
      <font>
        <color rgb="FF0E223A"/>
      </font>
      <fill>
        <patternFill>
          <bgColor rgb="FFFFBE29"/>
        </patternFill>
      </fill>
    </dxf>
    <dxf>
      <fill>
        <patternFill>
          <bgColor rgb="FFF9CBAD"/>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theme="1"/>
      </font>
      <fill>
        <patternFill>
          <bgColor rgb="FFEFFDE3"/>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ill>
        <patternFill>
          <bgColor rgb="FFFFBE29"/>
        </patternFill>
      </fill>
    </dxf>
    <dxf>
      <fill>
        <patternFill>
          <bgColor rgb="FFEFFDE3"/>
        </patternFill>
      </fill>
    </dxf>
    <dxf>
      <font>
        <color rgb="FF505F69"/>
      </font>
      <fill>
        <patternFill>
          <bgColor rgb="FF505F69"/>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auto="1"/>
      </font>
      <fill>
        <patternFill>
          <bgColor rgb="FFF9CBAD"/>
        </patternFill>
      </fill>
    </dxf>
    <dxf>
      <font>
        <color theme="1"/>
      </font>
      <fill>
        <patternFill>
          <bgColor rgb="FFEFFDE3"/>
        </patternFill>
      </fill>
    </dxf>
    <dxf>
      <font>
        <color rgb="FF506069"/>
      </font>
      <fill>
        <patternFill>
          <bgColor rgb="FF506069"/>
        </patternFill>
      </fill>
    </dxf>
    <dxf>
      <fill>
        <patternFill>
          <bgColor theme="5" tint="0.59996337778862885"/>
        </patternFill>
      </fill>
    </dxf>
    <dxf>
      <font>
        <color theme="1"/>
      </font>
      <fill>
        <patternFill>
          <bgColor rgb="FFEFFDE3"/>
        </patternFill>
      </fill>
    </dxf>
    <dxf>
      <font>
        <color theme="0"/>
      </font>
      <fill>
        <patternFill>
          <fgColor theme="0" tint="-0.499984740745262"/>
          <bgColor rgb="FF506069"/>
        </patternFill>
      </fill>
    </dxf>
    <dxf>
      <fill>
        <patternFill>
          <bgColor rgb="FFEFFDE3"/>
        </patternFill>
      </fill>
    </dxf>
    <dxf>
      <font>
        <color rgb="FF506069"/>
      </font>
      <fill>
        <patternFill>
          <bgColor rgb="FF5060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ill>
        <patternFill>
          <bgColor theme="5" tint="0.59996337778862885"/>
        </patternFill>
      </fill>
    </dxf>
    <dxf>
      <font>
        <color theme="1"/>
      </font>
      <fill>
        <patternFill>
          <bgColor rgb="FFEFFDE3"/>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theme="0"/>
      </font>
      <fill>
        <patternFill>
          <bgColor rgb="FFC00000"/>
        </patternFill>
      </fill>
    </dxf>
    <dxf>
      <font>
        <color theme="0"/>
      </font>
      <fill>
        <patternFill>
          <bgColor rgb="FFC00000"/>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auto="1"/>
      </font>
      <fill>
        <patternFill>
          <bgColor rgb="FFF9CBAD"/>
        </patternFill>
      </fill>
    </dxf>
    <dxf>
      <font>
        <color rgb="FF4F5F69"/>
      </font>
      <fill>
        <patternFill>
          <bgColor rgb="FF4F5F69"/>
        </patternFill>
      </fill>
    </dxf>
    <dxf>
      <font>
        <color theme="0"/>
      </font>
      <fill>
        <patternFill>
          <bgColor rgb="FFCC082E"/>
        </patternFill>
      </fill>
    </dxf>
    <dxf>
      <font>
        <color rgb="FF505F69"/>
      </font>
      <fill>
        <patternFill>
          <bgColor rgb="FF505F69"/>
        </patternFill>
      </fill>
    </dxf>
    <dxf>
      <font>
        <color rgb="FF505E69"/>
      </font>
      <fill>
        <patternFill>
          <bgColor rgb="FF505E69"/>
        </patternFill>
      </fill>
    </dxf>
    <dxf>
      <fill>
        <patternFill>
          <bgColor theme="5" tint="0.59996337778862885"/>
        </patternFill>
      </fill>
    </dxf>
    <dxf>
      <font>
        <color theme="1"/>
      </font>
      <fill>
        <patternFill>
          <bgColor rgb="FFEFFDE3"/>
        </patternFill>
      </fill>
    </dxf>
    <dxf>
      <font>
        <color rgb="FF4F5F69"/>
      </font>
      <fill>
        <patternFill>
          <bgColor rgb="FF4F5F69"/>
        </patternFill>
      </fill>
    </dxf>
    <dxf>
      <font>
        <color rgb="FF506069"/>
      </font>
      <fill>
        <patternFill>
          <bgColor rgb="FF506069"/>
        </patternFill>
      </fill>
    </dxf>
    <dxf>
      <font>
        <color rgb="FF505E69"/>
      </font>
      <fill>
        <patternFill>
          <bgColor rgb="FF505E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EFFDE3"/>
        </patternFill>
      </fill>
    </dxf>
    <dxf>
      <fill>
        <patternFill>
          <bgColor theme="5" tint="0.59996337778862885"/>
        </patternFill>
      </fill>
    </dxf>
    <dxf>
      <font>
        <color rgb="FF506069"/>
      </font>
      <fill>
        <patternFill>
          <bgColor rgb="FF506069"/>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505E69"/>
      </font>
      <fill>
        <patternFill>
          <bgColor rgb="FF505E69"/>
        </patternFill>
      </fill>
    </dxf>
    <dxf>
      <font>
        <color rgb="FF4F5F69"/>
      </font>
      <fill>
        <patternFill>
          <bgColor rgb="FF4F5F69"/>
        </patternFill>
      </fill>
    </dxf>
    <dxf>
      <font>
        <color rgb="FF505E69"/>
      </font>
      <fill>
        <patternFill>
          <bgColor rgb="FF505E69"/>
        </patternFill>
      </fill>
    </dxf>
    <dxf>
      <font>
        <color rgb="FF505F69"/>
      </font>
      <fill>
        <patternFill>
          <bgColor rgb="FF505F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5F69"/>
      </font>
      <fill>
        <patternFill>
          <bgColor rgb="FF505F69"/>
        </patternFill>
      </fill>
    </dxf>
    <dxf>
      <font>
        <color rgb="FF505E69"/>
      </font>
      <fill>
        <patternFill>
          <bgColor rgb="FF505E69"/>
        </patternFill>
      </fill>
    </dxf>
    <dxf>
      <font>
        <color rgb="FF4F5F69"/>
      </font>
      <fill>
        <patternFill>
          <bgColor rgb="FF4F5F69"/>
        </patternFill>
      </fill>
    </dxf>
    <dxf>
      <font>
        <color rgb="FF505F69"/>
      </font>
      <fill>
        <patternFill>
          <bgColor rgb="FF505F69"/>
        </patternFill>
      </fill>
    </dxf>
    <dxf>
      <font>
        <color rgb="FF505E69"/>
      </font>
      <fill>
        <patternFill>
          <bgColor rgb="FF4F5F69"/>
        </patternFill>
      </fill>
    </dxf>
    <dxf>
      <font>
        <color rgb="FF505E69"/>
      </font>
      <fill>
        <patternFill>
          <bgColor rgb="FF505E69"/>
        </patternFill>
      </fill>
    </dxf>
    <dxf>
      <font>
        <color rgb="FF505E69"/>
      </font>
      <fill>
        <patternFill>
          <bgColor rgb="FF505E69"/>
        </patternFill>
      </fill>
    </dxf>
    <dxf>
      <font>
        <color rgb="FF505F69"/>
      </font>
      <fill>
        <patternFill>
          <bgColor rgb="FF505F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4F5F69"/>
      </font>
      <fill>
        <patternFill>
          <bgColor rgb="FF505E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F69"/>
      </font>
      <fill>
        <patternFill>
          <bgColor rgb="FF505F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ill>
        <patternFill>
          <bgColor rgb="FFEFFDE3"/>
        </patternFill>
      </fill>
    </dxf>
    <dxf>
      <font>
        <color rgb="FF0E223A"/>
      </font>
      <fill>
        <patternFill>
          <bgColor rgb="FFEFFDE3"/>
        </patternFill>
      </fill>
    </dxf>
    <dxf>
      <font>
        <color theme="1"/>
      </font>
      <fill>
        <patternFill patternType="solid">
          <fgColor theme="0"/>
          <bgColor theme="0" tint="-0.24994659260841701"/>
        </patternFill>
      </fill>
    </dxf>
    <dxf>
      <font>
        <color rgb="FF0E223A"/>
      </font>
      <fill>
        <patternFill>
          <bgColor rgb="FFEFFDE3"/>
        </patternFill>
      </fill>
    </dxf>
    <dxf>
      <font>
        <color theme="1"/>
      </font>
      <fill>
        <patternFill>
          <bgColor rgb="FFEFFD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DE3"/>
        </patternFill>
      </fill>
    </dxf>
    <dxf>
      <font>
        <color rgb="FF505F69"/>
      </font>
      <fill>
        <patternFill>
          <bgColor rgb="FF505F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0"/>
      </font>
      <fill>
        <patternFill>
          <bgColor rgb="FF4F5F69"/>
        </patternFill>
      </fill>
    </dxf>
    <dxf>
      <font>
        <color rgb="FF506069"/>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rgb="FF4F5F69"/>
      </font>
      <fill>
        <patternFill>
          <bgColor rgb="FF4F5F69"/>
        </patternFill>
      </fill>
    </dxf>
    <dxf>
      <font>
        <color theme="0"/>
      </font>
      <fill>
        <patternFill>
          <bgColor rgb="FF506069"/>
        </patternFill>
      </fill>
    </dxf>
    <dxf>
      <font>
        <color theme="0"/>
      </font>
      <fill>
        <patternFill>
          <fgColor auto="1"/>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0E223A"/>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0E223A"/>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fgColor theme="0"/>
          <bgColor rgb="FF506069"/>
        </patternFill>
      </fill>
    </dxf>
    <dxf>
      <font>
        <color theme="1"/>
      </font>
      <fill>
        <patternFill>
          <bgColor rgb="FFEFFDE3"/>
        </patternFill>
      </fill>
    </dxf>
    <dxf>
      <font>
        <color theme="0"/>
      </font>
      <fill>
        <patternFill>
          <bgColor rgb="FF4F5F69"/>
        </patternFill>
      </fill>
    </dxf>
    <dxf>
      <font>
        <color theme="1"/>
      </font>
      <fill>
        <patternFill>
          <bgColor rgb="FFEFFDE3"/>
        </patternFill>
      </fill>
    </dxf>
    <dxf>
      <font>
        <color theme="1"/>
      </font>
      <fill>
        <patternFill>
          <bgColor rgb="FFEFFDE3"/>
        </patternFill>
      </fill>
    </dxf>
    <dxf>
      <font>
        <color theme="0"/>
      </font>
      <fill>
        <patternFill>
          <bgColor rgb="FF505F69"/>
        </patternFill>
      </fill>
    </dxf>
    <dxf>
      <font>
        <color theme="0"/>
      </font>
      <fill>
        <patternFill>
          <bgColor rgb="FF505F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5F69"/>
        </patternFill>
      </fill>
    </dxf>
    <dxf>
      <font>
        <color theme="0"/>
      </font>
      <fill>
        <patternFill>
          <bgColor rgb="FFCC092F"/>
        </patternFill>
      </fill>
    </dxf>
    <dxf>
      <font>
        <color theme="0"/>
      </font>
      <fill>
        <patternFill>
          <bgColor rgb="FF506069"/>
        </patternFill>
      </fill>
    </dxf>
    <dxf>
      <font>
        <color theme="0"/>
      </font>
      <fill>
        <patternFill>
          <bgColor rgb="FFCC092F"/>
        </patternFill>
      </fill>
    </dxf>
    <dxf>
      <fill>
        <patternFill>
          <bgColor rgb="FFEFFDE3"/>
        </patternFill>
      </fill>
    </dxf>
    <dxf>
      <fill>
        <patternFill>
          <bgColor rgb="FFEFFDE3"/>
        </patternFill>
      </fill>
    </dxf>
    <dxf>
      <font>
        <color theme="0"/>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theme="0"/>
      </font>
      <fill>
        <patternFill>
          <bgColor rgb="FFCC092F"/>
        </patternFill>
      </fill>
    </dxf>
    <dxf>
      <font>
        <color theme="1"/>
      </font>
      <fill>
        <patternFill>
          <bgColor rgb="FFEFFDE3"/>
        </patternFill>
      </fill>
    </dxf>
    <dxf>
      <font>
        <color theme="0"/>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border>
        <left style="thin">
          <color auto="1"/>
        </left>
        <right style="thin">
          <color auto="1"/>
        </right>
        <top style="thin">
          <color auto="1"/>
        </top>
        <bottom style="thin">
          <color auto="1"/>
        </bottom>
      </border>
    </dxf>
    <dxf>
      <font>
        <color rgb="FF506069"/>
      </font>
      <fill>
        <patternFill>
          <bgColor rgb="FF506069"/>
        </patternFill>
      </fill>
    </dxf>
    <dxf>
      <font>
        <color theme="0"/>
      </font>
      <fill>
        <patternFill>
          <bgColor rgb="FF506069"/>
        </patternFill>
      </fill>
    </dxf>
    <dxf>
      <font>
        <color theme="0"/>
      </font>
      <fill>
        <patternFill>
          <bgColor rgb="FFCC092F"/>
        </patternFill>
      </fill>
    </dxf>
    <dxf>
      <font>
        <color theme="0"/>
      </font>
      <fill>
        <patternFill>
          <bgColor rgb="FFCC092F"/>
        </patternFill>
      </fill>
    </dxf>
    <dxf>
      <fill>
        <patternFill>
          <bgColor rgb="FFEFFDE3"/>
        </patternFill>
      </fill>
    </dxf>
    <dxf>
      <font>
        <color theme="1"/>
      </font>
      <fill>
        <patternFill>
          <bgColor rgb="FFCC092F"/>
        </patternFill>
      </fill>
    </dxf>
    <dxf>
      <font>
        <color theme="1"/>
      </font>
      <fill>
        <patternFill>
          <bgColor rgb="FFEFFEE3"/>
        </patternFill>
      </fill>
    </dxf>
    <dxf>
      <font>
        <color rgb="FF4F5F69"/>
      </font>
      <fill>
        <patternFill>
          <fgColor theme="1" tint="0.34998626667073579"/>
          <bgColor rgb="FF4F5F69"/>
        </patternFill>
      </fill>
    </dxf>
    <dxf>
      <font>
        <color rgb="FF4F5F69"/>
      </font>
      <fill>
        <patternFill>
          <bgColor rgb="FF4F5F69"/>
        </patternFill>
      </fill>
    </dxf>
    <dxf>
      <font>
        <color theme="1"/>
      </font>
      <fill>
        <patternFill>
          <bgColor rgb="FFEFFEE3"/>
        </patternFill>
      </fill>
    </dxf>
    <dxf>
      <font>
        <color theme="1"/>
      </font>
      <fill>
        <patternFill>
          <bgColor rgb="FFEFFEE3"/>
        </patternFill>
      </fill>
    </dxf>
    <dxf>
      <font>
        <color theme="1"/>
      </font>
      <fill>
        <patternFill>
          <bgColor rgb="FFEFFEE3"/>
        </patternFill>
      </fill>
    </dxf>
    <dxf>
      <font>
        <color rgb="FF505F69"/>
      </font>
      <fill>
        <patternFill>
          <bgColor rgb="FF506069"/>
        </patternFill>
      </fill>
    </dxf>
    <dxf>
      <font>
        <color rgb="FF505F69"/>
      </font>
      <fill>
        <patternFill>
          <bgColor rgb="FF506069"/>
        </patternFill>
      </fill>
    </dxf>
    <dxf>
      <font>
        <color rgb="FF505F69"/>
      </font>
      <fill>
        <patternFill>
          <bgColor rgb="FF505F69"/>
        </patternFill>
      </fill>
    </dxf>
    <dxf>
      <font>
        <color theme="1"/>
      </font>
      <fill>
        <patternFill>
          <bgColor rgb="FFEFFEE3"/>
        </patternFill>
      </fill>
    </dxf>
    <dxf>
      <font>
        <color rgb="FF505F69"/>
      </font>
      <fill>
        <patternFill>
          <fgColor theme="1" tint="0.34998626667073579"/>
          <bgColor rgb="FF506069"/>
        </patternFill>
      </fill>
    </dxf>
    <dxf>
      <font>
        <color rgb="FF505F69"/>
      </font>
      <fill>
        <patternFill>
          <bgColor rgb="FF506069"/>
        </patternFill>
      </fill>
    </dxf>
    <dxf>
      <fill>
        <patternFill>
          <bgColor theme="5" tint="0.59996337778862885"/>
        </patternFill>
      </fill>
    </dxf>
    <dxf>
      <fill>
        <patternFill>
          <bgColor theme="5" tint="0.59996337778862885"/>
        </patternFill>
      </fill>
    </dxf>
    <dxf>
      <font>
        <color theme="0"/>
      </font>
      <fill>
        <patternFill>
          <bgColor rgb="FF505F69"/>
        </patternFill>
      </fill>
    </dxf>
    <dxf>
      <font>
        <color rgb="FFF2F8F9"/>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fgColor theme="1"/>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border>
        <left style="thin">
          <color auto="1"/>
        </left>
        <right style="thin">
          <color auto="1"/>
        </right>
        <top style="thin">
          <color auto="1"/>
        </top>
        <bottom style="thin">
          <color auto="1"/>
        </bottom>
        <vertical/>
        <horizontal/>
      </border>
    </dxf>
    <dxf>
      <font>
        <color rgb="FF4F5F69"/>
      </font>
      <fill>
        <patternFill>
          <bgColor rgb="FF506069"/>
        </patternFill>
      </fill>
    </dxf>
    <dxf>
      <font>
        <color rgb="FF4F5F69"/>
      </font>
      <fill>
        <patternFill>
          <bgColor rgb="FF506069"/>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rgb="FF0E223A"/>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EE3"/>
        </patternFill>
      </fill>
    </dxf>
    <dxf>
      <font>
        <color theme="0"/>
      </font>
      <fill>
        <patternFill>
          <bgColor rgb="FF505F69"/>
        </patternFill>
      </fill>
    </dxf>
    <dxf>
      <fill>
        <patternFill>
          <bgColor rgb="FFEFFDE3"/>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CC092F"/>
        </patternFill>
      </fill>
    </dxf>
    <dxf>
      <font>
        <color theme="0"/>
      </font>
      <fill>
        <patternFill>
          <bgColor rgb="FFCC092F"/>
        </patternFill>
      </fill>
    </dxf>
    <dxf>
      <font>
        <color theme="1"/>
      </font>
      <fill>
        <patternFill>
          <bgColor rgb="FFEFFDE3"/>
        </patternFill>
      </fill>
    </dxf>
    <dxf>
      <font>
        <color theme="0"/>
      </font>
      <fill>
        <patternFill>
          <bgColor rgb="FF4F5F69"/>
        </patternFill>
      </fill>
    </dxf>
    <dxf>
      <font>
        <color theme="0"/>
      </font>
      <fill>
        <patternFill>
          <bgColor rgb="FF4F5F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CC092F"/>
        </patternFill>
      </fill>
    </dxf>
    <dxf>
      <font>
        <color theme="0"/>
      </font>
      <fill>
        <patternFill>
          <bgColor rgb="FFCC092F"/>
        </patternFill>
      </fill>
    </dxf>
    <dxf>
      <font>
        <u val="none"/>
        <color theme="0"/>
      </font>
      <fill>
        <patternFill>
          <bgColor theme="5" tint="-0.24994659260841701"/>
        </patternFill>
      </fill>
    </dxf>
    <dxf>
      <font>
        <color theme="0"/>
      </font>
      <fill>
        <patternFill>
          <bgColor rgb="FFCC082E"/>
        </patternFill>
      </fill>
    </dxf>
    <dxf>
      <font>
        <color theme="0"/>
      </font>
      <fill>
        <patternFill>
          <bgColor rgb="FFCC082E"/>
        </patternFill>
      </fill>
    </dxf>
    <dxf>
      <font>
        <color theme="0"/>
      </font>
      <fill>
        <patternFill>
          <bgColor rgb="FFCC082E"/>
        </patternFill>
      </fill>
    </dxf>
    <dxf>
      <font>
        <color rgb="FF506069"/>
      </font>
      <fill>
        <patternFill>
          <bgColor rgb="FF506069"/>
        </patternFill>
      </fill>
    </dxf>
    <dxf>
      <font>
        <color theme="1"/>
      </font>
      <fill>
        <patternFill>
          <bgColor rgb="FFEFFDE3"/>
        </patternFill>
      </fill>
    </dxf>
    <dxf>
      <font>
        <color theme="0"/>
      </font>
      <fill>
        <patternFill>
          <bgColor rgb="FFCC092F"/>
        </patternFill>
      </fill>
    </dxf>
  </dxfs>
  <tableStyles count="0" defaultTableStyle="TableStyleMedium2" defaultPivotStyle="PivotStyleLight16"/>
  <colors>
    <mruColors>
      <color rgb="FF4F5F69"/>
      <color rgb="FFCC082E"/>
      <color rgb="FF505F69"/>
      <color rgb="FFEFFEE3"/>
      <color rgb="FFF2F8F9"/>
      <color rgb="FFFFBE29"/>
      <color rgb="FFF9CBAD"/>
      <color rgb="FF0E223A"/>
      <color rgb="FF808080"/>
      <color rgb="FFEFFD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6350</xdr:colOff>
      <xdr:row>1</xdr:row>
      <xdr:rowOff>15875</xdr:rowOff>
    </xdr:from>
    <xdr:ext cx="695281" cy="650386"/>
    <xdr:pic>
      <xdr:nvPicPr>
        <xdr:cNvPr id="2" name="Picture 1">
          <a:extLst>
            <a:ext uri="{FF2B5EF4-FFF2-40B4-BE49-F238E27FC236}">
              <a16:creationId xmlns:a16="http://schemas.microsoft.com/office/drawing/2014/main" id="{0F7B8AB5-9AD8-9144-95A6-BDD7ABDFB2AE}"/>
            </a:ext>
          </a:extLst>
        </xdr:cNvPr>
        <xdr:cNvPicPr>
          <a:picLocks noChangeAspect="1"/>
        </xdr:cNvPicPr>
      </xdr:nvPicPr>
      <xdr:blipFill rotWithShape="1">
        <a:blip xmlns:r="http://schemas.openxmlformats.org/officeDocument/2006/relationships" r:embed="rId1"/>
        <a:srcRect t="3654"/>
        <a:stretch/>
      </xdr:blipFill>
      <xdr:spPr>
        <a:xfrm>
          <a:off x="222250" y="219075"/>
          <a:ext cx="704073" cy="644525"/>
        </a:xfrm>
        <a:prstGeom prst="rect">
          <a:avLst/>
        </a:prstGeom>
      </xdr:spPr>
    </xdr:pic>
    <xdr:clientData/>
  </xdr:oneCellAnchor>
  <xdr:twoCellAnchor editAs="oneCell">
    <xdr:from>
      <xdr:col>2</xdr:col>
      <xdr:colOff>29304</xdr:colOff>
      <xdr:row>7</xdr:row>
      <xdr:rowOff>126999</xdr:rowOff>
    </xdr:from>
    <xdr:to>
      <xdr:col>5</xdr:col>
      <xdr:colOff>57150</xdr:colOff>
      <xdr:row>23</xdr:row>
      <xdr:rowOff>104775</xdr:rowOff>
    </xdr:to>
    <xdr:pic>
      <xdr:nvPicPr>
        <xdr:cNvPr id="3" name="Picture 2">
          <a:extLst>
            <a:ext uri="{FF2B5EF4-FFF2-40B4-BE49-F238E27FC236}">
              <a16:creationId xmlns:a16="http://schemas.microsoft.com/office/drawing/2014/main" id="{0618441B-10F4-AAE5-5040-F0C0A5D97DCE}"/>
            </a:ext>
          </a:extLst>
        </xdr:cNvPr>
        <xdr:cNvPicPr>
          <a:picLocks noChangeAspect="1"/>
        </xdr:cNvPicPr>
      </xdr:nvPicPr>
      <xdr:blipFill>
        <a:blip xmlns:r="http://schemas.openxmlformats.org/officeDocument/2006/relationships" r:embed="rId2"/>
        <a:stretch>
          <a:fillRect/>
        </a:stretch>
      </xdr:blipFill>
      <xdr:spPr>
        <a:xfrm>
          <a:off x="378554" y="2180166"/>
          <a:ext cx="4937044" cy="33047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16</xdr:col>
      <xdr:colOff>38100</xdr:colOff>
      <xdr:row>1</xdr:row>
      <xdr:rowOff>38100</xdr:rowOff>
    </xdr:from>
    <xdr:to>
      <xdr:col>17</xdr:col>
      <xdr:colOff>561975</xdr:colOff>
      <xdr:row>1</xdr:row>
      <xdr:rowOff>657225</xdr:rowOff>
    </xdr:to>
    <xdr:pic>
      <xdr:nvPicPr>
        <xdr:cNvPr id="3" name="Picture 2">
          <a:extLst>
            <a:ext uri="{FF2B5EF4-FFF2-40B4-BE49-F238E27FC236}">
              <a16:creationId xmlns:a16="http://schemas.microsoft.com/office/drawing/2014/main" id="{167D79CC-69B2-E042-87D5-B45DD9F944C2}"/>
            </a:ext>
          </a:extLst>
        </xdr:cNvPr>
        <xdr:cNvPicPr>
          <a:picLocks noChangeAspect="1"/>
        </xdr:cNvPicPr>
      </xdr:nvPicPr>
      <xdr:blipFill>
        <a:blip xmlns:r="http://schemas.openxmlformats.org/officeDocument/2006/relationships" r:embed="rId1"/>
        <a:stretch>
          <a:fillRect/>
        </a:stretch>
      </xdr:blipFill>
      <xdr:spPr>
        <a:xfrm>
          <a:off x="254000" y="241300"/>
          <a:ext cx="5994400" cy="6223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50800</xdr:colOff>
      <xdr:row>1</xdr:row>
      <xdr:rowOff>25400</xdr:rowOff>
    </xdr:from>
    <xdr:to>
      <xdr:col>1</xdr:col>
      <xdr:colOff>762000</xdr:colOff>
      <xdr:row>2</xdr:row>
      <xdr:rowOff>0</xdr:rowOff>
    </xdr:to>
    <xdr:pic>
      <xdr:nvPicPr>
        <xdr:cNvPr id="3" name="Picture 2">
          <a:extLst>
            <a:ext uri="{FF2B5EF4-FFF2-40B4-BE49-F238E27FC236}">
              <a16:creationId xmlns:a16="http://schemas.microsoft.com/office/drawing/2014/main" id="{61F60BB8-D6AF-F94F-9DBA-2D3B475F57F8}"/>
            </a:ext>
          </a:extLst>
        </xdr:cNvPr>
        <xdr:cNvPicPr>
          <a:picLocks noChangeAspect="1"/>
        </xdr:cNvPicPr>
      </xdr:nvPicPr>
      <xdr:blipFill rotWithShape="1">
        <a:blip xmlns:r="http://schemas.openxmlformats.org/officeDocument/2006/relationships" r:embed="rId1"/>
        <a:srcRect t="3654"/>
        <a:stretch/>
      </xdr:blipFill>
      <xdr:spPr>
        <a:xfrm>
          <a:off x="266700" y="228600"/>
          <a:ext cx="712066" cy="6445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C3F46A99-1388-804B-AD82-BB44A27DD573}"/>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DAE31C28-F1FE-5B4B-B2C1-5878DB8A20BD}"/>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3" name="Picture 2">
          <a:extLst>
            <a:ext uri="{FF2B5EF4-FFF2-40B4-BE49-F238E27FC236}">
              <a16:creationId xmlns:a16="http://schemas.microsoft.com/office/drawing/2014/main" id="{DA9223FA-0698-9643-9BFD-755625F85F86}"/>
            </a:ext>
          </a:extLst>
        </xdr:cNvPr>
        <xdr:cNvPicPr>
          <a:picLocks noChangeAspect="1"/>
        </xdr:cNvPicPr>
      </xdr:nvPicPr>
      <xdr:blipFill rotWithShape="1">
        <a:blip xmlns:r="http://schemas.openxmlformats.org/officeDocument/2006/relationships" r:embed="rId1"/>
        <a:srcRect t="3654"/>
        <a:stretch/>
      </xdr:blipFill>
      <xdr:spPr>
        <a:xfrm>
          <a:off x="215900" y="190500"/>
          <a:ext cx="712066" cy="64452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40A4096D-8522-EA45-A71A-044DDDF82D49}"/>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0510E429-7CD3-414D-8A0C-A6256FBA6B07}"/>
            </a:ext>
          </a:extLst>
        </xdr:cNvPr>
        <xdr:cNvPicPr>
          <a:picLocks noChangeAspect="1"/>
        </xdr:cNvPicPr>
      </xdr:nvPicPr>
      <xdr:blipFill rotWithShape="1">
        <a:blip xmlns:r="http://schemas.openxmlformats.org/officeDocument/2006/relationships" r:embed="rId1"/>
        <a:srcRect t="3654"/>
        <a:stretch/>
      </xdr:blipFill>
      <xdr:spPr>
        <a:xfrm>
          <a:off x="825500" y="190500"/>
          <a:ext cx="712066" cy="6445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3C1E75BC-47A0-4E4D-9AF5-109B823EBD17}"/>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0DE1058D-CE1F-7546-BBE1-6A8C15E20ED5}"/>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57F956BF-C783-1D4C-BCB8-EB0F04DC30E3}"/>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D6559012-1725-7446-852C-B5B53ADC1E0F}"/>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74F9FC93-9A1E-1745-B6AA-735B90CC57A9}"/>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F0C52B6F-34E7-8445-97E3-707FACA211FC}"/>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101600</xdr:colOff>
      <xdr:row>1</xdr:row>
      <xdr:rowOff>36475</xdr:rowOff>
    </xdr:from>
    <xdr:to>
      <xdr:col>4</xdr:col>
      <xdr:colOff>333375</xdr:colOff>
      <xdr:row>2</xdr:row>
      <xdr:rowOff>0</xdr:rowOff>
    </xdr:to>
    <xdr:pic>
      <xdr:nvPicPr>
        <xdr:cNvPr id="3" name="Picture 2">
          <a:extLst>
            <a:ext uri="{FF2B5EF4-FFF2-40B4-BE49-F238E27FC236}">
              <a16:creationId xmlns:a16="http://schemas.microsoft.com/office/drawing/2014/main" id="{844A7700-F907-2F45-954D-6F5528E5A868}"/>
            </a:ext>
          </a:extLst>
        </xdr:cNvPr>
        <xdr:cNvPicPr>
          <a:picLocks noChangeAspect="1"/>
        </xdr:cNvPicPr>
      </xdr:nvPicPr>
      <xdr:blipFill rotWithShape="1">
        <a:blip xmlns:r="http://schemas.openxmlformats.org/officeDocument/2006/relationships" r:embed="rId1"/>
        <a:srcRect t="3654"/>
        <a:stretch/>
      </xdr:blipFill>
      <xdr:spPr>
        <a:xfrm>
          <a:off x="317500" y="239675"/>
          <a:ext cx="685800" cy="620750"/>
        </a:xfrm>
        <a:prstGeom prst="rect">
          <a:avLst/>
        </a:prstGeom>
      </xdr:spPr>
    </xdr:pic>
    <xdr:clientData/>
  </xdr:twoCellAnchor>
  <xdr:twoCellAnchor editAs="oneCell">
    <xdr:from>
      <xdr:col>0</xdr:col>
      <xdr:colOff>203200</xdr:colOff>
      <xdr:row>4</xdr:row>
      <xdr:rowOff>63500</xdr:rowOff>
    </xdr:from>
    <xdr:to>
      <xdr:col>7</xdr:col>
      <xdr:colOff>114300</xdr:colOff>
      <xdr:row>11</xdr:row>
      <xdr:rowOff>104775</xdr:rowOff>
    </xdr:to>
    <xdr:pic>
      <xdr:nvPicPr>
        <xdr:cNvPr id="2" name="Picture 1">
          <a:extLst>
            <a:ext uri="{FF2B5EF4-FFF2-40B4-BE49-F238E27FC236}">
              <a16:creationId xmlns:a16="http://schemas.microsoft.com/office/drawing/2014/main" id="{9DEC7109-6DBD-6A4D-9570-47749CF08D95}"/>
            </a:ext>
          </a:extLst>
        </xdr:cNvPr>
        <xdr:cNvPicPr>
          <a:picLocks noChangeAspect="1"/>
        </xdr:cNvPicPr>
      </xdr:nvPicPr>
      <xdr:blipFill>
        <a:blip xmlns:r="http://schemas.openxmlformats.org/officeDocument/2006/relationships" r:embed="rId2"/>
        <a:stretch>
          <a:fillRect/>
        </a:stretch>
      </xdr:blipFill>
      <xdr:spPr>
        <a:xfrm>
          <a:off x="203200" y="1397000"/>
          <a:ext cx="2908300" cy="19467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3" name="Picture 2">
          <a:extLst>
            <a:ext uri="{FF2B5EF4-FFF2-40B4-BE49-F238E27FC236}">
              <a16:creationId xmlns:a16="http://schemas.microsoft.com/office/drawing/2014/main" id="{7AF2D49B-B386-4347-91DC-805913B72A52}"/>
            </a:ext>
          </a:extLst>
        </xdr:cNvPr>
        <xdr:cNvPicPr>
          <a:picLocks noChangeAspect="1"/>
        </xdr:cNvPicPr>
      </xdr:nvPicPr>
      <xdr:blipFill rotWithShape="1">
        <a:blip xmlns:r="http://schemas.openxmlformats.org/officeDocument/2006/relationships" r:embed="rId1"/>
        <a:srcRect t="3654"/>
        <a:stretch/>
      </xdr:blipFill>
      <xdr:spPr>
        <a:xfrm>
          <a:off x="825500" y="190500"/>
          <a:ext cx="712066" cy="64452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1943BD93-FB19-7F49-8CDB-DD0F48F1FA51}"/>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38100</xdr:colOff>
      <xdr:row>1</xdr:row>
      <xdr:rowOff>38100</xdr:rowOff>
    </xdr:from>
    <xdr:to>
      <xdr:col>1</xdr:col>
      <xdr:colOff>752475</xdr:colOff>
      <xdr:row>2</xdr:row>
      <xdr:rowOff>0</xdr:rowOff>
    </xdr:to>
    <xdr:pic>
      <xdr:nvPicPr>
        <xdr:cNvPr id="2" name="Picture 1">
          <a:extLst>
            <a:ext uri="{FF2B5EF4-FFF2-40B4-BE49-F238E27FC236}">
              <a16:creationId xmlns:a16="http://schemas.microsoft.com/office/drawing/2014/main" id="{95115B97-DBB8-214C-A91B-9C0AFC1F0927}"/>
            </a:ext>
          </a:extLst>
        </xdr:cNvPr>
        <xdr:cNvPicPr>
          <a:picLocks noChangeAspect="1"/>
        </xdr:cNvPicPr>
      </xdr:nvPicPr>
      <xdr:blipFill rotWithShape="1">
        <a:blip xmlns:r="http://schemas.openxmlformats.org/officeDocument/2006/relationships" r:embed="rId1"/>
        <a:srcRect t="3654"/>
        <a:stretch/>
      </xdr:blipFill>
      <xdr:spPr>
        <a:xfrm>
          <a:off x="254000" y="241300"/>
          <a:ext cx="712066" cy="6445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25400</xdr:colOff>
      <xdr:row>1</xdr:row>
      <xdr:rowOff>0</xdr:rowOff>
    </xdr:from>
    <xdr:to>
      <xdr:col>1</xdr:col>
      <xdr:colOff>733425</xdr:colOff>
      <xdr:row>1</xdr:row>
      <xdr:rowOff>647700</xdr:rowOff>
    </xdr:to>
    <xdr:pic>
      <xdr:nvPicPr>
        <xdr:cNvPr id="3" name="Picture 2">
          <a:extLst>
            <a:ext uri="{FF2B5EF4-FFF2-40B4-BE49-F238E27FC236}">
              <a16:creationId xmlns:a16="http://schemas.microsoft.com/office/drawing/2014/main" id="{3BA31008-797A-C349-8C24-9BE12F5D3775}"/>
            </a:ext>
          </a:extLst>
        </xdr:cNvPr>
        <xdr:cNvPicPr>
          <a:picLocks noChangeAspect="1"/>
        </xdr:cNvPicPr>
      </xdr:nvPicPr>
      <xdr:blipFill rotWithShape="1">
        <a:blip xmlns:r="http://schemas.openxmlformats.org/officeDocument/2006/relationships" r:embed="rId1"/>
        <a:srcRect t="3654"/>
        <a:stretch/>
      </xdr:blipFill>
      <xdr:spPr>
        <a:xfrm>
          <a:off x="241300" y="203200"/>
          <a:ext cx="712066" cy="6445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38100</xdr:colOff>
      <xdr:row>1</xdr:row>
      <xdr:rowOff>25400</xdr:rowOff>
    </xdr:from>
    <xdr:to>
      <xdr:col>1</xdr:col>
      <xdr:colOff>752475</xdr:colOff>
      <xdr:row>2</xdr:row>
      <xdr:rowOff>0</xdr:rowOff>
    </xdr:to>
    <xdr:pic>
      <xdr:nvPicPr>
        <xdr:cNvPr id="3" name="Picture 2">
          <a:extLst>
            <a:ext uri="{FF2B5EF4-FFF2-40B4-BE49-F238E27FC236}">
              <a16:creationId xmlns:a16="http://schemas.microsoft.com/office/drawing/2014/main" id="{78907312-55E0-B446-93E5-EAE2ACA97989}"/>
            </a:ext>
          </a:extLst>
        </xdr:cNvPr>
        <xdr:cNvPicPr>
          <a:picLocks noChangeAspect="1"/>
        </xdr:cNvPicPr>
      </xdr:nvPicPr>
      <xdr:blipFill rotWithShape="1">
        <a:blip xmlns:r="http://schemas.openxmlformats.org/officeDocument/2006/relationships" r:embed="rId1"/>
        <a:srcRect t="3654"/>
        <a:stretch/>
      </xdr:blipFill>
      <xdr:spPr>
        <a:xfrm>
          <a:off x="254000" y="228600"/>
          <a:ext cx="712066" cy="644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0</xdr:colOff>
      <xdr:row>1</xdr:row>
      <xdr:rowOff>0</xdr:rowOff>
    </xdr:from>
    <xdr:to>
      <xdr:col>4</xdr:col>
      <xdr:colOff>714375</xdr:colOff>
      <xdr:row>1</xdr:row>
      <xdr:rowOff>647700</xdr:rowOff>
    </xdr:to>
    <xdr:pic>
      <xdr:nvPicPr>
        <xdr:cNvPr id="3" name="Picture 2">
          <a:extLst>
            <a:ext uri="{FF2B5EF4-FFF2-40B4-BE49-F238E27FC236}">
              <a16:creationId xmlns:a16="http://schemas.microsoft.com/office/drawing/2014/main" id="{C9CFD7A9-BE84-D842-B7EE-7218570B4D6D}"/>
            </a:ext>
          </a:extLst>
        </xdr:cNvPr>
        <xdr:cNvPicPr>
          <a:picLocks noChangeAspect="1"/>
        </xdr:cNvPicPr>
      </xdr:nvPicPr>
      <xdr:blipFill rotWithShape="1">
        <a:blip xmlns:r="http://schemas.openxmlformats.org/officeDocument/2006/relationships" r:embed="rId1"/>
        <a:srcRect t="3654"/>
        <a:stretch/>
      </xdr:blipFill>
      <xdr:spPr>
        <a:xfrm>
          <a:off x="7378700" y="203200"/>
          <a:ext cx="712066" cy="644525"/>
        </a:xfrm>
        <a:prstGeom prst="rect">
          <a:avLst/>
        </a:prstGeom>
      </xdr:spPr>
    </xdr:pic>
    <xdr:clientData/>
  </xdr:twoCellAnchor>
</xdr:wsDr>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hyperlink" Target="mailto:administrator@vsphere.local" TargetMode="External"/><Relationship Id="rId2" Type="http://schemas.openxmlformats.org/officeDocument/2006/relationships/hyperlink" Target="mailto:administrator@vsphere.local" TargetMode="External"/><Relationship Id="rId1" Type="http://schemas.openxmlformats.org/officeDocument/2006/relationships/hyperlink" Target="mailto:administrator@vsphere.local" TargetMode="External"/><Relationship Id="rId5" Type="http://schemas.openxmlformats.org/officeDocument/2006/relationships/drawing" Target="../drawings/drawing10.xml"/><Relationship Id="rId4" Type="http://schemas.openxmlformats.org/officeDocument/2006/relationships/hyperlink" Target="mailto:administrator@vsphere.local"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mailto:svc-cbo-vsphere@sfo.rainpole.io" TargetMode="Externa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3" Type="http://schemas.openxmlformats.org/officeDocument/2006/relationships/hyperlink" Target="https://docs.vmware.com/en/VMware-Cloud-Foundation/services/vcf-cross-cloud-mobility-v1/GUID-20440B6A-0805-4A73-88A9-DD431088791C.html" TargetMode="External"/><Relationship Id="rId2" Type="http://schemas.openxmlformats.org/officeDocument/2006/relationships/hyperlink" Target="https://techdocs.broadcom.com/us/en/vmware-cis/vcf/vvs/9-X/on-prem-ransomware-recovery-for-vmware-cloud-foundation.html" TargetMode="External"/><Relationship Id="rId1" Type="http://schemas.openxmlformats.org/officeDocument/2006/relationships/hyperlink" Target="https://techdocs.broadcom.com/us/en/vmware-cis/vcf/vvs/9-X/site-protection-and-disaster-recovery-for-vmware-cloud-foundation.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invalid:URI%20mailto:VMw@re1!VMw@re1!" TargetMode="External"/><Relationship Id="rId1" Type="http://schemas.openxmlformats.org/officeDocument/2006/relationships/hyperlink" Target="mailto:my_offline_depot@rainpole.io"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CC14-7A1F-2245-A183-B47410360F37}">
  <sheetPr codeName="Sheet8">
    <tabColor theme="3"/>
  </sheetPr>
  <dimension ref="A1:G86"/>
  <sheetViews>
    <sheetView showGridLines="0" zoomScaleNormal="100" workbookViewId="0">
      <pane ySplit="4" topLeftCell="A5" activePane="bottomLeft" state="frozen"/>
      <selection pane="bottomLeft"/>
    </sheetView>
  </sheetViews>
  <sheetFormatPr defaultColWidth="10.85546875" defaultRowHeight="15" x14ac:dyDescent="0.45"/>
  <cols>
    <col min="1" max="1" width="2.85546875" style="2" customWidth="1"/>
    <col min="2" max="2" width="63.85546875" style="2" customWidth="1"/>
    <col min="3" max="3" width="54.85546875" style="10" customWidth="1"/>
    <col min="4" max="4" width="65.85546875" style="3" customWidth="1"/>
    <col min="5" max="5" width="99.5" style="3" customWidth="1"/>
    <col min="6" max="14" width="10.85546875" style="2" customWidth="1"/>
    <col min="15" max="16384" width="10.85546875" style="2"/>
  </cols>
  <sheetData>
    <row r="1" spans="1:7" ht="16" customHeight="1" x14ac:dyDescent="0.45">
      <c r="A1" s="1"/>
      <c r="C1" s="2"/>
      <c r="D1" s="2"/>
      <c r="E1" s="2"/>
    </row>
    <row r="2" spans="1:7" ht="54" customHeight="1" x14ac:dyDescent="0.45">
      <c r="B2" s="418" t="s">
        <v>3687</v>
      </c>
      <c r="C2" s="418"/>
      <c r="D2" s="418"/>
      <c r="E2" s="418"/>
      <c r="F2" s="200"/>
      <c r="G2" s="200"/>
    </row>
    <row r="3" spans="1:7" ht="20.05" customHeight="1" x14ac:dyDescent="0.45">
      <c r="B3" s="339" t="s">
        <v>3688</v>
      </c>
      <c r="C3" s="419"/>
      <c r="D3" s="419"/>
      <c r="E3" s="419"/>
      <c r="F3" s="15"/>
      <c r="G3" s="15"/>
    </row>
    <row r="6" spans="1:7" s="104" customFormat="1" ht="34" customHeight="1" x14ac:dyDescent="0.45">
      <c r="B6" s="423" t="s">
        <v>3689</v>
      </c>
      <c r="C6" s="423"/>
      <c r="D6" s="423"/>
      <c r="E6" s="423"/>
    </row>
    <row r="7" spans="1:7" ht="20.05" customHeight="1" x14ac:dyDescent="0.45">
      <c r="B7" s="336" t="s">
        <v>3690</v>
      </c>
      <c r="C7" s="246" t="s">
        <v>3691</v>
      </c>
      <c r="D7" s="422" t="s">
        <v>20</v>
      </c>
      <c r="E7" s="422"/>
    </row>
    <row r="8" spans="1:7" ht="75" x14ac:dyDescent="0.45">
      <c r="B8" s="337" t="s">
        <v>3692</v>
      </c>
      <c r="C8" s="334" t="s">
        <v>3693</v>
      </c>
      <c r="D8" s="428" t="s">
        <v>3694</v>
      </c>
      <c r="E8" s="429"/>
    </row>
    <row r="9" spans="1:7" ht="20.05" customHeight="1" x14ac:dyDescent="0.45">
      <c r="B9" s="337" t="s">
        <v>2508</v>
      </c>
      <c r="C9" s="197" t="s">
        <v>3695</v>
      </c>
      <c r="D9" s="428" t="s">
        <v>2493</v>
      </c>
      <c r="E9" s="429"/>
    </row>
    <row r="10" spans="1:7" ht="50.05" customHeight="1" x14ac:dyDescent="0.45">
      <c r="B10" s="337" t="s">
        <v>3696</v>
      </c>
      <c r="C10" s="197" t="s">
        <v>3695</v>
      </c>
      <c r="D10" s="428" t="s">
        <v>3697</v>
      </c>
      <c r="E10" s="429"/>
    </row>
    <row r="11" spans="1:7" ht="50.05" customHeight="1" x14ac:dyDescent="0.45">
      <c r="B11" s="337" t="s">
        <v>3698</v>
      </c>
      <c r="C11" s="197" t="s">
        <v>3699</v>
      </c>
      <c r="D11" s="428" t="s">
        <v>3700</v>
      </c>
      <c r="E11" s="429"/>
    </row>
    <row r="12" spans="1:7" ht="96" customHeight="1" x14ac:dyDescent="0.45">
      <c r="B12" s="337" t="s">
        <v>3701</v>
      </c>
      <c r="C12" s="197" t="s">
        <v>3695</v>
      </c>
      <c r="D12" s="420" t="s">
        <v>3702</v>
      </c>
      <c r="E12" s="420"/>
    </row>
    <row r="13" spans="1:7" ht="90" customHeight="1" x14ac:dyDescent="0.45">
      <c r="B13" s="337" t="s">
        <v>3703</v>
      </c>
      <c r="C13" s="197" t="s">
        <v>3695</v>
      </c>
      <c r="D13" s="420" t="s">
        <v>3704</v>
      </c>
      <c r="E13" s="420"/>
    </row>
    <row r="14" spans="1:7" ht="90" customHeight="1" x14ac:dyDescent="0.45">
      <c r="B14" s="337" t="s">
        <v>3705</v>
      </c>
      <c r="C14" s="197" t="s">
        <v>3695</v>
      </c>
      <c r="D14" s="430" t="s">
        <v>3706</v>
      </c>
      <c r="E14" s="431"/>
    </row>
    <row r="15" spans="1:7" ht="30" x14ac:dyDescent="0.45">
      <c r="B15" s="337" t="s">
        <v>3707</v>
      </c>
      <c r="C15" s="197" t="s">
        <v>3695</v>
      </c>
      <c r="D15" s="332" t="s">
        <v>3708</v>
      </c>
      <c r="E15" s="333"/>
    </row>
    <row r="16" spans="1:7" ht="30" x14ac:dyDescent="0.45">
      <c r="B16" s="337" t="s">
        <v>3709</v>
      </c>
      <c r="C16" s="197" t="s">
        <v>3695</v>
      </c>
      <c r="D16" s="332" t="s">
        <v>3708</v>
      </c>
      <c r="E16" s="333"/>
    </row>
    <row r="17" spans="2:5" ht="30" x14ac:dyDescent="0.45">
      <c r="B17" s="337" t="s">
        <v>3710</v>
      </c>
      <c r="C17" s="334" t="s">
        <v>3711</v>
      </c>
      <c r="D17" s="424" t="s">
        <v>3712</v>
      </c>
      <c r="E17" s="424"/>
    </row>
    <row r="19" spans="2:5" s="104" customFormat="1" ht="34" customHeight="1" x14ac:dyDescent="0.45">
      <c r="B19" s="423" t="s">
        <v>3713</v>
      </c>
      <c r="C19" s="423"/>
      <c r="D19" s="423"/>
      <c r="E19" s="423"/>
    </row>
    <row r="20" spans="2:5" ht="20.05" customHeight="1" x14ac:dyDescent="0.45">
      <c r="B20" s="336" t="s">
        <v>3690</v>
      </c>
      <c r="C20" s="246" t="s">
        <v>3691</v>
      </c>
      <c r="D20" s="422" t="s">
        <v>20</v>
      </c>
      <c r="E20" s="422"/>
    </row>
    <row r="21" spans="2:5" ht="20.05" customHeight="1" x14ac:dyDescent="0.45">
      <c r="B21" s="337" t="s">
        <v>858</v>
      </c>
      <c r="C21" s="197" t="s">
        <v>3714</v>
      </c>
      <c r="D21" s="432" t="s">
        <v>3715</v>
      </c>
      <c r="E21" s="433"/>
    </row>
    <row r="22" spans="2:5" ht="20.05" customHeight="1" x14ac:dyDescent="0.45">
      <c r="B22" s="337" t="s">
        <v>2508</v>
      </c>
      <c r="C22" s="197" t="s">
        <v>3699</v>
      </c>
      <c r="D22" s="434"/>
      <c r="E22" s="435"/>
    </row>
    <row r="23" spans="2:5" ht="20.05" customHeight="1" x14ac:dyDescent="0.45">
      <c r="B23" s="337" t="s">
        <v>3696</v>
      </c>
      <c r="C23" s="197" t="s">
        <v>3699</v>
      </c>
      <c r="D23" s="434"/>
      <c r="E23" s="435"/>
    </row>
    <row r="24" spans="2:5" ht="20.05" customHeight="1" x14ac:dyDescent="0.45">
      <c r="B24" s="337" t="s">
        <v>3698</v>
      </c>
      <c r="C24" s="197" t="s">
        <v>3699</v>
      </c>
      <c r="D24" s="434"/>
      <c r="E24" s="435"/>
    </row>
    <row r="25" spans="2:5" ht="20.05" customHeight="1" x14ac:dyDescent="0.45">
      <c r="B25" s="337" t="s">
        <v>3716</v>
      </c>
      <c r="C25" s="197" t="s">
        <v>3699</v>
      </c>
      <c r="D25" s="434"/>
      <c r="E25" s="435"/>
    </row>
    <row r="26" spans="2:5" ht="20.05" customHeight="1" x14ac:dyDescent="0.45">
      <c r="B26" s="337" t="s">
        <v>3717</v>
      </c>
      <c r="C26" s="197" t="s">
        <v>3699</v>
      </c>
      <c r="D26" s="434"/>
      <c r="E26" s="435"/>
    </row>
    <row r="27" spans="2:5" ht="20.05" customHeight="1" x14ac:dyDescent="0.45">
      <c r="B27" s="337" t="s">
        <v>3705</v>
      </c>
      <c r="C27" s="197" t="s">
        <v>3699</v>
      </c>
      <c r="D27" s="434"/>
      <c r="E27" s="435"/>
    </row>
    <row r="28" spans="2:5" ht="20.05" customHeight="1" x14ac:dyDescent="0.45">
      <c r="B28" s="337" t="s">
        <v>3707</v>
      </c>
      <c r="C28" s="197" t="s">
        <v>3699</v>
      </c>
      <c r="D28" s="434"/>
      <c r="E28" s="435"/>
    </row>
    <row r="29" spans="2:5" ht="20.05" customHeight="1" x14ac:dyDescent="0.45">
      <c r="B29" s="337" t="s">
        <v>3709</v>
      </c>
      <c r="C29" s="197" t="s">
        <v>3699</v>
      </c>
      <c r="D29" s="434"/>
      <c r="E29" s="435"/>
    </row>
    <row r="30" spans="2:5" ht="49" customHeight="1" x14ac:dyDescent="0.45">
      <c r="B30" s="337" t="s">
        <v>3710</v>
      </c>
      <c r="C30" s="334" t="s">
        <v>3711</v>
      </c>
      <c r="D30" s="420" t="s">
        <v>3718</v>
      </c>
      <c r="E30" s="420"/>
    </row>
    <row r="32" spans="2:5" s="104" customFormat="1" ht="34" customHeight="1" x14ac:dyDescent="0.45">
      <c r="B32" s="423" t="s">
        <v>3719</v>
      </c>
      <c r="C32" s="423"/>
      <c r="D32" s="423"/>
      <c r="E32" s="423"/>
    </row>
    <row r="33" spans="2:5" ht="20.05" customHeight="1" x14ac:dyDescent="0.45">
      <c r="B33" s="336" t="s">
        <v>17</v>
      </c>
      <c r="C33" s="336" t="s">
        <v>10</v>
      </c>
      <c r="D33" s="422" t="s">
        <v>20</v>
      </c>
      <c r="E33" s="422"/>
    </row>
    <row r="34" spans="2:5" ht="105" customHeight="1" x14ac:dyDescent="0.45">
      <c r="B34" s="421" t="s">
        <v>3720</v>
      </c>
      <c r="C34" s="337" t="s">
        <v>3721</v>
      </c>
      <c r="D34" s="420" t="s">
        <v>3722</v>
      </c>
      <c r="E34" s="421"/>
    </row>
    <row r="35" spans="2:5" ht="34" customHeight="1" x14ac:dyDescent="0.45">
      <c r="B35" s="421"/>
      <c r="C35" s="331" t="s">
        <v>3723</v>
      </c>
      <c r="D35" s="421" t="s">
        <v>3724</v>
      </c>
      <c r="E35" s="421"/>
    </row>
    <row r="36" spans="2:5" ht="20.05" customHeight="1" x14ac:dyDescent="0.45">
      <c r="B36" s="337"/>
      <c r="C36" s="331" t="s">
        <v>3725</v>
      </c>
      <c r="D36" s="420" t="s">
        <v>3726</v>
      </c>
      <c r="E36" s="420"/>
    </row>
    <row r="37" spans="2:5" ht="20.05" customHeight="1" x14ac:dyDescent="0.45">
      <c r="B37" s="337"/>
      <c r="C37" s="331" t="s">
        <v>3727</v>
      </c>
      <c r="D37" s="420" t="s">
        <v>3728</v>
      </c>
      <c r="E37" s="420"/>
    </row>
    <row r="38" spans="2:5" ht="120" customHeight="1" x14ac:dyDescent="0.45">
      <c r="B38" s="337"/>
      <c r="C38" s="331" t="s">
        <v>3729</v>
      </c>
      <c r="D38" s="420" t="s">
        <v>3730</v>
      </c>
      <c r="E38" s="421"/>
    </row>
    <row r="40" spans="2:5" s="104" customFormat="1" ht="34" customHeight="1" x14ac:dyDescent="0.45">
      <c r="B40" s="423" t="s">
        <v>3731</v>
      </c>
      <c r="C40" s="423"/>
      <c r="D40" s="423"/>
      <c r="E40" s="423"/>
    </row>
    <row r="41" spans="2:5" ht="20.05" customHeight="1" x14ac:dyDescent="0.45">
      <c r="B41" s="336" t="s">
        <v>3732</v>
      </c>
      <c r="C41" s="246" t="s">
        <v>3733</v>
      </c>
      <c r="D41" s="336" t="s">
        <v>3734</v>
      </c>
      <c r="E41" s="336" t="s">
        <v>20</v>
      </c>
    </row>
    <row r="42" spans="2:5" x14ac:dyDescent="0.45">
      <c r="B42" s="337" t="s">
        <v>3735</v>
      </c>
      <c r="C42" s="197" t="s">
        <v>3736</v>
      </c>
      <c r="D42" s="331" t="s">
        <v>3737</v>
      </c>
      <c r="E42" s="331"/>
    </row>
    <row r="43" spans="2:5" ht="75" x14ac:dyDescent="0.45">
      <c r="B43" s="337" t="s">
        <v>3738</v>
      </c>
      <c r="C43" s="197" t="s">
        <v>3739</v>
      </c>
      <c r="D43" s="331" t="s">
        <v>3740</v>
      </c>
      <c r="E43" s="331" t="s">
        <v>3741</v>
      </c>
    </row>
    <row r="44" spans="2:5" ht="30" x14ac:dyDescent="0.45">
      <c r="B44" s="337" t="s">
        <v>3742</v>
      </c>
      <c r="C44" s="197" t="s">
        <v>3736</v>
      </c>
      <c r="D44" s="331" t="s">
        <v>3743</v>
      </c>
      <c r="E44" s="331" t="s">
        <v>3744</v>
      </c>
    </row>
    <row r="46" spans="2:5" ht="34" customHeight="1" x14ac:dyDescent="0.45">
      <c r="B46" s="423" t="s">
        <v>3745</v>
      </c>
      <c r="C46" s="423"/>
      <c r="D46" s="423"/>
      <c r="E46" s="423"/>
    </row>
    <row r="47" spans="2:5" ht="20.05" customHeight="1" x14ac:dyDescent="0.45">
      <c r="B47" s="336" t="s">
        <v>3732</v>
      </c>
      <c r="C47" s="246" t="s">
        <v>3746</v>
      </c>
      <c r="D47" s="336" t="s">
        <v>3747</v>
      </c>
      <c r="E47" s="336" t="s">
        <v>20</v>
      </c>
    </row>
    <row r="48" spans="2:5" ht="20.05" customHeight="1" x14ac:dyDescent="0.45">
      <c r="B48" s="337" t="s">
        <v>3748</v>
      </c>
      <c r="C48" s="337" t="s">
        <v>3749</v>
      </c>
      <c r="D48" s="337" t="s">
        <v>3750</v>
      </c>
      <c r="E48" s="337" t="s">
        <v>3751</v>
      </c>
    </row>
    <row r="50" spans="2:5" ht="34" customHeight="1" x14ac:dyDescent="0.45">
      <c r="B50" s="423" t="s">
        <v>3752</v>
      </c>
      <c r="C50" s="423"/>
      <c r="D50" s="423"/>
      <c r="E50" s="423"/>
    </row>
    <row r="51" spans="2:5" ht="20.05" customHeight="1" x14ac:dyDescent="0.45">
      <c r="B51" s="336" t="s">
        <v>3753</v>
      </c>
      <c r="C51" s="246" t="s">
        <v>3754</v>
      </c>
      <c r="D51" s="336" t="s">
        <v>59</v>
      </c>
      <c r="E51" s="336" t="s">
        <v>20</v>
      </c>
    </row>
    <row r="52" spans="2:5" ht="40" customHeight="1" x14ac:dyDescent="0.45">
      <c r="B52" s="337" t="s">
        <v>3755</v>
      </c>
      <c r="C52" s="272" t="s">
        <v>3756</v>
      </c>
      <c r="D52" s="272" t="s">
        <v>1625</v>
      </c>
      <c r="E52" s="273" t="s">
        <v>3757</v>
      </c>
    </row>
    <row r="53" spans="2:5" ht="40" customHeight="1" x14ac:dyDescent="0.45">
      <c r="B53" s="337" t="s">
        <v>3758</v>
      </c>
      <c r="C53" s="337"/>
      <c r="D53" s="337"/>
      <c r="E53" s="331" t="s">
        <v>3759</v>
      </c>
    </row>
    <row r="54" spans="2:5" ht="40" customHeight="1" x14ac:dyDescent="0.45">
      <c r="B54" s="337" t="s">
        <v>3760</v>
      </c>
      <c r="C54" s="337"/>
      <c r="D54" s="337"/>
      <c r="E54" s="331" t="s">
        <v>3761</v>
      </c>
    </row>
    <row r="55" spans="2:5" ht="20.05" customHeight="1" x14ac:dyDescent="0.45">
      <c r="B55" s="337" t="s">
        <v>3762</v>
      </c>
      <c r="C55" s="337"/>
      <c r="D55" s="337"/>
      <c r="E55" s="331" t="s">
        <v>3763</v>
      </c>
    </row>
    <row r="57" spans="2:5" s="104" customFormat="1" ht="34" customHeight="1" x14ac:dyDescent="0.45">
      <c r="B57" s="423" t="s">
        <v>3764</v>
      </c>
      <c r="C57" s="423"/>
      <c r="D57" s="423"/>
      <c r="E57" s="423"/>
    </row>
    <row r="58" spans="2:5" ht="20.05" customHeight="1" x14ac:dyDescent="0.45">
      <c r="B58" s="251" t="s">
        <v>17</v>
      </c>
      <c r="C58" s="426" t="s">
        <v>20</v>
      </c>
      <c r="D58" s="426"/>
      <c r="E58" s="426"/>
    </row>
    <row r="59" spans="2:5" ht="34" customHeight="1" x14ac:dyDescent="0.45">
      <c r="B59" s="337" t="s">
        <v>3765</v>
      </c>
      <c r="C59" s="427" t="s">
        <v>3766</v>
      </c>
      <c r="D59" s="427"/>
      <c r="E59" s="427"/>
    </row>
    <row r="61" spans="2:5" ht="34" customHeight="1" x14ac:dyDescent="0.45">
      <c r="B61" s="423" t="s">
        <v>1313</v>
      </c>
      <c r="C61" s="423"/>
      <c r="D61" s="423"/>
      <c r="E61" s="423"/>
    </row>
    <row r="62" spans="2:5" ht="20.05" customHeight="1" x14ac:dyDescent="0.45">
      <c r="B62" s="251" t="s">
        <v>17</v>
      </c>
      <c r="C62" s="338" t="s">
        <v>3754</v>
      </c>
      <c r="D62" s="338" t="s">
        <v>3767</v>
      </c>
      <c r="E62" s="338" t="s">
        <v>20</v>
      </c>
    </row>
    <row r="63" spans="2:5" ht="20.05" customHeight="1" x14ac:dyDescent="0.45">
      <c r="B63" s="337" t="s">
        <v>3768</v>
      </c>
      <c r="C63" s="337" t="s">
        <v>3769</v>
      </c>
      <c r="D63" s="337" t="s">
        <v>3770</v>
      </c>
      <c r="E63" s="331" t="s">
        <v>3771</v>
      </c>
    </row>
    <row r="64" spans="2:5" ht="69" customHeight="1" x14ac:dyDescent="0.45">
      <c r="B64" s="337"/>
      <c r="C64" s="337" t="s">
        <v>3772</v>
      </c>
      <c r="D64" s="337" t="s">
        <v>3773</v>
      </c>
      <c r="E64" s="331" t="s">
        <v>3774</v>
      </c>
    </row>
    <row r="65" spans="2:5" ht="20.05" customHeight="1" x14ac:dyDescent="0.45">
      <c r="B65" s="337" t="s">
        <v>3775</v>
      </c>
      <c r="C65" s="337" t="s">
        <v>3776</v>
      </c>
      <c r="D65" s="337"/>
      <c r="E65" s="331" t="s">
        <v>3777</v>
      </c>
    </row>
    <row r="67" spans="2:5" ht="34" customHeight="1" x14ac:dyDescent="0.45">
      <c r="B67" s="423" t="s">
        <v>1326</v>
      </c>
      <c r="C67" s="423"/>
      <c r="D67" s="423"/>
      <c r="E67" s="423"/>
    </row>
    <row r="68" spans="2:5" ht="20.05" customHeight="1" x14ac:dyDescent="0.45">
      <c r="B68" s="336" t="s">
        <v>17</v>
      </c>
      <c r="C68" s="336" t="s">
        <v>3778</v>
      </c>
      <c r="D68" s="422" t="s">
        <v>20</v>
      </c>
      <c r="E68" s="422"/>
    </row>
    <row r="69" spans="2:5" ht="77.05" customHeight="1" x14ac:dyDescent="0.45">
      <c r="B69" s="337" t="s">
        <v>3779</v>
      </c>
      <c r="C69" s="337"/>
      <c r="D69" s="420" t="s">
        <v>3780</v>
      </c>
      <c r="E69" s="420"/>
    </row>
    <row r="70" spans="2:5" ht="340" customHeight="1" x14ac:dyDescent="0.45">
      <c r="B70" s="337" t="s">
        <v>3781</v>
      </c>
      <c r="C70" s="331" t="s">
        <v>3782</v>
      </c>
      <c r="D70" s="420" t="s">
        <v>3783</v>
      </c>
      <c r="E70" s="420"/>
    </row>
    <row r="72" spans="2:5" s="104" customFormat="1" ht="34" customHeight="1" x14ac:dyDescent="0.45">
      <c r="B72" s="423" t="s">
        <v>3784</v>
      </c>
      <c r="C72" s="423"/>
      <c r="D72" s="423"/>
      <c r="E72" s="423"/>
    </row>
    <row r="73" spans="2:5" ht="20.05" customHeight="1" x14ac:dyDescent="0.45">
      <c r="B73" s="336" t="s">
        <v>17</v>
      </c>
      <c r="C73" s="422" t="s">
        <v>20</v>
      </c>
      <c r="D73" s="422"/>
      <c r="E73" s="422"/>
    </row>
    <row r="74" spans="2:5" ht="34" customHeight="1" x14ac:dyDescent="0.45">
      <c r="B74" s="337" t="s">
        <v>3785</v>
      </c>
      <c r="C74" s="425" t="s">
        <v>3786</v>
      </c>
      <c r="D74" s="425"/>
      <c r="E74" s="425"/>
    </row>
    <row r="76" spans="2:5" s="104" customFormat="1" ht="34" customHeight="1" x14ac:dyDescent="0.45">
      <c r="B76" s="423" t="s">
        <v>53</v>
      </c>
      <c r="C76" s="423"/>
      <c r="D76" s="423"/>
      <c r="E76" s="423"/>
    </row>
    <row r="77" spans="2:5" ht="20.05" customHeight="1" x14ac:dyDescent="0.45">
      <c r="B77" s="336" t="s">
        <v>17</v>
      </c>
      <c r="C77" s="422" t="s">
        <v>20</v>
      </c>
      <c r="D77" s="422"/>
      <c r="E77" s="422"/>
    </row>
    <row r="78" spans="2:5" ht="50.05" customHeight="1" x14ac:dyDescent="0.45">
      <c r="B78" s="337" t="s">
        <v>53</v>
      </c>
      <c r="C78" s="425" t="s">
        <v>3787</v>
      </c>
      <c r="D78" s="425"/>
      <c r="E78" s="425" t="s">
        <v>3788</v>
      </c>
    </row>
    <row r="80" spans="2:5" s="104" customFormat="1" ht="34" customHeight="1" x14ac:dyDescent="0.45">
      <c r="B80" s="423" t="s">
        <v>1878</v>
      </c>
      <c r="C80" s="423"/>
      <c r="D80" s="423"/>
      <c r="E80" s="423"/>
    </row>
    <row r="81" spans="2:5" ht="20.05" customHeight="1" x14ac:dyDescent="0.45">
      <c r="B81" s="336" t="s">
        <v>17</v>
      </c>
      <c r="C81" s="422" t="s">
        <v>20</v>
      </c>
      <c r="D81" s="422"/>
      <c r="E81" s="422"/>
    </row>
    <row r="82" spans="2:5" ht="34" customHeight="1" x14ac:dyDescent="0.45">
      <c r="B82" s="337" t="s">
        <v>1878</v>
      </c>
      <c r="C82" s="425" t="s">
        <v>3789</v>
      </c>
      <c r="D82" s="425"/>
      <c r="E82" s="425"/>
    </row>
    <row r="84" spans="2:5" s="104" customFormat="1" ht="34" customHeight="1" x14ac:dyDescent="0.45">
      <c r="B84" s="423" t="s">
        <v>3790</v>
      </c>
      <c r="C84" s="423"/>
      <c r="D84" s="423"/>
      <c r="E84" s="423"/>
    </row>
    <row r="85" spans="2:5" ht="20.05" customHeight="1" x14ac:dyDescent="0.45">
      <c r="B85" s="336" t="s">
        <v>17</v>
      </c>
      <c r="C85" s="422" t="s">
        <v>20</v>
      </c>
      <c r="D85" s="422"/>
      <c r="E85" s="422"/>
    </row>
    <row r="86" spans="2:5" ht="60" customHeight="1" x14ac:dyDescent="0.45">
      <c r="B86" s="337" t="s">
        <v>3790</v>
      </c>
      <c r="C86" s="425" t="s">
        <v>3791</v>
      </c>
      <c r="D86" s="425"/>
      <c r="E86" s="425"/>
    </row>
  </sheetData>
  <sheetProtection algorithmName="SHA-512" hashValue="LKmLUPRkhH68rUh0jossC1nCxSlWaDSJcl1VVxBDCCrBOxq5ujlmhTBcZ5g8UQcY9lxT8tBUbOGHq+klyp+Glg==" saltValue="+eXoQlpZ6UZtv1NBpBEz8A==" spinCount="100000" sheet="1" objects="1" scenarios="1"/>
  <mergeCells count="47">
    <mergeCell ref="D36:E36"/>
    <mergeCell ref="D37:E37"/>
    <mergeCell ref="D8:E8"/>
    <mergeCell ref="D9:E9"/>
    <mergeCell ref="D10:E10"/>
    <mergeCell ref="D11:E11"/>
    <mergeCell ref="D14:E14"/>
    <mergeCell ref="D21:E29"/>
    <mergeCell ref="C86:E86"/>
    <mergeCell ref="B84:E84"/>
    <mergeCell ref="B76:E76"/>
    <mergeCell ref="B80:E80"/>
    <mergeCell ref="B40:E40"/>
    <mergeCell ref="B46:E46"/>
    <mergeCell ref="C77:E77"/>
    <mergeCell ref="C78:E78"/>
    <mergeCell ref="C73:E73"/>
    <mergeCell ref="C74:E74"/>
    <mergeCell ref="D70:E70"/>
    <mergeCell ref="D68:E68"/>
    <mergeCell ref="D69:E69"/>
    <mergeCell ref="B50:E50"/>
    <mergeCell ref="B57:E57"/>
    <mergeCell ref="D38:E38"/>
    <mergeCell ref="C81:E81"/>
    <mergeCell ref="C82:E82"/>
    <mergeCell ref="C85:E85"/>
    <mergeCell ref="C58:E58"/>
    <mergeCell ref="B72:E72"/>
    <mergeCell ref="B61:E61"/>
    <mergeCell ref="B67:E67"/>
    <mergeCell ref="C59:E59"/>
    <mergeCell ref="B2:E2"/>
    <mergeCell ref="C3:E3"/>
    <mergeCell ref="D34:E34"/>
    <mergeCell ref="D35:E35"/>
    <mergeCell ref="B34:B35"/>
    <mergeCell ref="D33:E33"/>
    <mergeCell ref="B32:E32"/>
    <mergeCell ref="D12:E12"/>
    <mergeCell ref="D13:E13"/>
    <mergeCell ref="D17:E17"/>
    <mergeCell ref="B6:E6"/>
    <mergeCell ref="D30:E30"/>
    <mergeCell ref="B19:E19"/>
    <mergeCell ref="D7:E7"/>
    <mergeCell ref="D20:E20"/>
  </mergeCell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1EBC3-85BE-C748-A400-585AA8D3149E}">
  <sheetPr codeName="Sheet4">
    <tabColor theme="7" tint="0.59999389629810485"/>
  </sheetPr>
  <dimension ref="A1:J441"/>
  <sheetViews>
    <sheetView showGridLines="0" workbookViewId="0">
      <pane ySplit="4" topLeftCell="A5" activePane="bottomLeft" state="frozen"/>
      <selection pane="bottomLeft" activeCell="D122" sqref="D122"/>
    </sheetView>
  </sheetViews>
  <sheetFormatPr defaultColWidth="10.85546875" defaultRowHeight="15" x14ac:dyDescent="0.35"/>
  <cols>
    <col min="1" max="1" width="2.85546875" style="8" customWidth="1"/>
    <col min="2" max="2" width="75.85546875" style="8" customWidth="1"/>
    <col min="3" max="4" width="75.85546875" style="2" customWidth="1"/>
    <col min="5" max="5" width="125.85546875" style="2" customWidth="1"/>
    <col min="6" max="13" width="10.85546875" style="8" customWidth="1"/>
    <col min="14" max="16384" width="10.85546875" style="8"/>
  </cols>
  <sheetData>
    <row r="1" spans="1:10" s="2" customFormat="1" ht="16" customHeight="1" x14ac:dyDescent="0.35">
      <c r="A1" s="1"/>
      <c r="F1" s="8"/>
      <c r="G1" s="8"/>
      <c r="H1" s="8"/>
      <c r="I1" s="8"/>
      <c r="J1" s="8"/>
    </row>
    <row r="2" spans="1:10" s="2" customFormat="1" ht="54" customHeight="1" x14ac:dyDescent="0.35">
      <c r="B2" s="550" t="s">
        <v>1158</v>
      </c>
      <c r="C2" s="551"/>
      <c r="D2" s="551"/>
      <c r="E2" s="552"/>
      <c r="F2" s="8"/>
      <c r="G2" s="8"/>
      <c r="H2" s="8"/>
      <c r="I2" s="8"/>
      <c r="J2" s="8"/>
    </row>
    <row r="3" spans="1:10" s="2" customFormat="1" ht="20.05" customHeight="1" x14ac:dyDescent="0.35">
      <c r="B3" s="553" t="s">
        <v>756</v>
      </c>
      <c r="C3" s="554"/>
      <c r="D3" s="554"/>
      <c r="E3" s="555"/>
      <c r="F3" s="8"/>
      <c r="G3" s="8"/>
      <c r="H3" s="8"/>
      <c r="I3" s="8"/>
      <c r="J3" s="8"/>
    </row>
    <row r="4" spans="1:10" s="2" customFormat="1" x14ac:dyDescent="0.45">
      <c r="B4" s="2" t="s">
        <v>1027</v>
      </c>
      <c r="D4" s="10"/>
      <c r="E4" s="3"/>
      <c r="F4" s="3"/>
    </row>
    <row r="6" spans="1:10" ht="34" customHeight="1" x14ac:dyDescent="0.35">
      <c r="B6" s="377" t="s">
        <v>1159</v>
      </c>
      <c r="C6" s="378"/>
      <c r="D6" s="378"/>
      <c r="E6" s="396"/>
    </row>
    <row r="7" spans="1:10" ht="20.05" customHeight="1" x14ac:dyDescent="0.35">
      <c r="B7" s="157" t="s">
        <v>1160</v>
      </c>
      <c r="C7" s="158" t="s">
        <v>10</v>
      </c>
      <c r="D7" s="158" t="s">
        <v>11</v>
      </c>
      <c r="E7" s="158" t="s">
        <v>12</v>
      </c>
    </row>
    <row r="8" spans="1:10" ht="20.05" customHeight="1" x14ac:dyDescent="0.35">
      <c r="B8" s="79" t="s">
        <v>1161</v>
      </c>
      <c r="C8" s="255" t="s">
        <v>1162</v>
      </c>
      <c r="D8" s="256" t="str">
        <f>IF(mgmt_domain_deployment_type_chosen="VMware vSphere Foundation","Excluded",
IF(vcf_granular_option_chosen&lt;&gt;"Create Cluster","Excluded",
IF(AND(cluster_chosen="Deploy a Multi-Rack Layer 3 Cluster",cluster_multi_rack_count_chosen="Exclude",cluster_compute_hosts_per_rack_result="Excluded"),"Excluded",
IF(AND(cluster_chosen="Deploy a Single-Rack / Multi-Rack Layer 2 Cluster",cluster_compute_hosts_per_rack_result="Excluded"),"Excluded",
IF(AND(cluster_chosen="Deploy a Multi-Rack Layer 3 Cluster",AND(cluster_principal_storage_chosen&lt;&gt;"vSAN-ESA",cluster_principal_storage_chosen&lt;&gt;"vSAN-OSA",cluster_principal_storage_chosen&lt;&gt;"vSAN Compute Cluster")),"Excluded",
IF(OR(cluster_chosen="Deploy a Multi-Rack Layer 3 Cluster",cluster_chosen="Deploy a Single-Rack / Multi-Rack Layer 2 Cluster",),"Included","Excluded"))))))</f>
        <v>Excluded</v>
      </c>
      <c r="E8" s="257" t="str">
        <f>IF(mgmt_domain_deployment_type_chosen="VMware vSphere Foundation","Cannot be performed on a VMware vSphere Foundation deployment",
IF(vcf_granular_option_chosen&lt;&gt;"Create Cluster","Cluster Deployment not selected on VCF &amp; VVF Planning Tab",
IF(AND(cluster_chosen="Deploy a Multi-Rack Layer 3 Cluster",AND(cluster_principal_storage_chosen&lt;&gt;"vSAN-ESA",cluster_principal_storage_chosen&lt;&gt;"vSAN-OSA",cluster_principal_storage_chosen&lt;&gt;"vSAN Compute Cluster")),"Cause: Multi Rack Configuration is only supported with vSAN as Principal Storage or vSAN Compute Clusters",
IF(AND(OR(cluster_principal_storage_chosen="vSAN-ESA",cluster_principal_storage_chosen="vSAN-OSA"),wld_compute_total_number_hosts&lt;3,cluster_chosen="Deploy a Single-Rack / Multi-Rack Layer 2 Cluster"),"Cause: Minimum number of hosts for storage type not selected",
IF(AND(OR(cluster_principal_storage_chosen="NFSv3",cluster_principal_storage_chosen="VMFS on Fibre Channel (FC)"),wld_compute_total_number_hosts&lt;2,cluster_chosen="Deploy a Single-Rack / Multi-Rack Layer 2 Cluster"),"Cause: Minimum number of hosts for storage type not selected",
IF(cluster_chosen="Deploy a Multi-Rack Layer 3 Cluster","A new layer 3 cluster will be added to the chosen Workloaded Domain - Additional Racks Tab must also be filled out",
IF(cluster_chosen="Deploy a Single-Rack / Multi-Rack Layer 2 Cluster","A new layer 2 cluster will be added to the chosen Workloaded Domain",
IF(cluster_result="Excluded","New Cluster Deployment Not Selected",""
))))))))</f>
        <v>Cluster Deployment not selected on VCF &amp; VVF Planning Tab</v>
      </c>
    </row>
    <row r="9" spans="1:10" ht="20.05" customHeight="1" x14ac:dyDescent="0.35">
      <c r="A9" s="120"/>
      <c r="B9" s="254" t="s">
        <v>13</v>
      </c>
      <c r="C9" s="255" t="s">
        <v>759</v>
      </c>
      <c r="D9" s="112" t="str">
        <f>IF(mgmt_domain_deployment_type_chosen="VMware vSphere Foundation","Excluded",
IF(vcf_granular_option_chosen&lt;&gt;"Create Cluster","Excluded",
IF(AND(OR(cluster_principal_storage_chosen="vSAN-ESA",cluster_principal_storage_chosen="vSAN-OSA"),wld_compute_total_number_hosts&lt;3,cluster_chosen="Deploy a Single-Rack / Multi-Rack Layer 2 Cluster"),"Excluded",
IF(AND(OR(cluster_principal_storage_chosen="NFSv3",cluster_principal_storage_chosen="VMFS on Fibre Channel (FC)"),wld_compute_total_number_hosts&lt;2,cluster_chosen="Deploy a Single-Rack / Multi-Rack Layer 2 Cluster"),"Excluded",
IF(AND(OR(cluster_principal_storage_chosen="vVOLS on FC",cluster_principal_storage_chosen="vVOLS on NFS",cluster_principal_storage_chosen="vVOLS on iSCSI",cluster_chosen="Deploy a Single-Rack / Multi-Rack Layer 2 Cluster"),wld_compute_total_number_hosts&lt;2),"Excluded",
IF(AND(cluster_chosen="Deploy a Multi-Rack Layer 3 Cluster",cluster_multi_rack_count_chosen="Exclude"),"Excluded",
IF(AND(cluster_chosen="Deploy a Multi-Rack Layer 3 Cluster",PRODUCT(cluster_multi_rack_count_chosen,cluster_compute_hosts_per_rack_chosen)&gt;64),"Excluded",
IF(cluster_compute_hosts_per_rack_chosen="Exclude","Excluded","Incuded")
)))))))</f>
        <v>Excluded</v>
      </c>
      <c r="E9" s="337" t="str">
        <f>IF(vcf_granular_option_chosen&lt;&gt;"Create Cluster","Option Not Required for current deployment type",
IF(cluster_compute_hosts_per_rack_chosen="Exclude","Required: Minimum Number of hosts must be selected",
IF(AND(OR(cluster_principal_storage_chosen="vSAN-ESA",cluster_principal_storage_chosen="vSAN-OSA"),wld_compute_total_number_hosts&lt;3,cluster_chosen="Deploy a Single-Rack / Multi-Rack Layer 2 Cluster"),"Cause: Minimum number of hosts for storage type not selected",
IF(AND(OR(cluster_principal_storage_chosen="NFSv3",cluster_principal_storage_chosen="VMFS on Fibre Channel (FC)"),wld_compute_total_number_hosts&lt;2,cluster_chosen="Deploy a Single-Rack / Multi-Rack Layer 2 Cluster"),"Cause: Minimum number of hosts for storage type not selected",
IF(AND(wld_multirack_calc="Include",cluster_multi_rack_count_chosen="Exclude"),"Cause: Number of Additional Racks not selected",
IF(AND(cluster_chosen="Deploy a Multi-Rack Layer 3 Cluster",wld_multirack_calc="Exclude"),"Cause: Multi Rack not enabled",
IF(AND(cluster_chosen="Deploy a Multi-Rack Layer 3 Cluster",PRODUCT(cluster_multi_rack_count_chosen,cluster_compute_hosts_per_rack_chosen)&gt;64),CONCATENATE("Cause: Max number of Hosts per Cluster is 64."),
IF(cluster_chosen="Deploy a Multi-Rack Layer 3 Cluster",CONCATENATE(PRODUCT(cluster_multi_rack_count_chosen+1,cluster_compute_hosts_per_rack_chosen)," Hosts currenty defined for the Compute vSphere Cluster "),CONCATENATE(cluster_compute_hosts_per_rack_chosen," Hosts currenty defined for the Compute vSphere Cluster")))))))))</f>
        <v>Option Not Required for current deployment type</v>
      </c>
    </row>
    <row r="10" spans="1:10" ht="20.05" customHeight="1" x14ac:dyDescent="0.35">
      <c r="B10" s="254" t="s">
        <v>13</v>
      </c>
      <c r="C10" s="362" t="s">
        <v>760</v>
      </c>
      <c r="D10" s="112"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IF(cluster_multi_rack_count_chosen="Exclude","Excluded",
IF(wld_multirack_result="Excluded","Excluded",
IF(AND(cluster_chosen="Deploy a Single-Rack / Multi-Rack Layer 2 Cluster",cluster_multi_rack_count_chosen&lt;&gt;"Exclude"),"Excluded",
IF(AND(cluster_chosen="Deploy a Multi-Rack Layer 3 Cluster",PRODUCT(cluster_multi_rack_count_chosen,cluster_compute_hosts_per_rack_chosen)&gt;64),"Excluded",
IF(cluster_multi_rack_count_chosen="Exclude","Excluded","Included")))))))</f>
        <v>Excluded</v>
      </c>
      <c r="E10" s="337" t="str">
        <f>IF(vcf_granular_option_chosen="None Chosen","No Deployment Type Chosen",
IF(vcf_granular_option_chosen&lt;&gt;"Create Cluster","Option Not Required for current deployment type",
IF(AND(cluster_chosen="Deploy a Single-Rack / Multi-Rack Layer 2 Cluster",cluster_multi_rack_count_chosen&lt;&gt;"Exclude"),"Not Required: Completing the additional Rack Tab is only required for Layer 3 Multi-Rack deployments",
IF(AND(cluster_chosen="Deploy a Multi-Rack Layer 3 Cluster",cluster_multi_rack_count_chosen="Exclude"),"Required: Minimum Number of additional racks must be selected",
IF(AND(cluster_chosen="Deploy a Multi-Rack Layer 3 Cluster",PRODUCT(cluster_multi_rack_count_chosen,cluster_compute_hosts_per_rack_chosen)&gt;64),CONCATENATE("Cause: Max number of Hosts per Cluster is 64."),
IF(cluster_chosen="Deploy a Single-Rack / Multi-Rack Layer 2 Cluster","Not Required: Completing the additional Rack Tab is only required for Layer 3 Multi-Rack deployments","Multi Rack Configuration will be deployed"))))))</f>
        <v>Option Not Required for current deployment type</v>
      </c>
    </row>
    <row r="11" spans="1:10" ht="20.05" customHeight="1" x14ac:dyDescent="0.35">
      <c r="B11" s="79" t="s">
        <v>762</v>
      </c>
      <c r="C11" s="255" t="s">
        <v>763</v>
      </c>
      <c r="D11" s="77" t="str">
        <f>IF((cluster_result="Excluded"),"Excluded",
IF(AND(cluster_chosen="Deploy a Multi-Rack Layer 3 Cluster",AND(cluster_principal_storage_chosen&lt;&gt;"vSAN-ESA",cluster_principal_storage_chosen&lt;&gt;"vSAN-OSA",cluster_principal_storage_chosen&lt;&gt;"vSAN Compute Cluster")),"Excluded","Included"))</f>
        <v>Excluded</v>
      </c>
      <c r="E11" s="253" t="str">
        <f>IF(vcf_granular_option_chosen&lt;&gt;"Create Cluster","Option Not Required for current deployment type",
IF(AND(cluster_chosen="Deploy a Multi-Rack Layer 3 Cluster",AND(cluster_principal_storage_chosen&lt;&gt;"vSAN-ESA",cluster_principal_storage_chosen&lt;&gt;"vSAN-OSA",cluster_principal_storage_chosen&lt;&gt;"vSAN Compute Cluster")),"Cause: Multi Rack Configuration is only supported with vSAN as Principal Storage or vSAN Compute Clusters",
IF(cluster_principal_storage_chosen="NFSv3","Principal Storage will be NFS based",
IF(cluster_principal_storage_chosen="VMFS on FC","Principal Storage will be VMFS on FC based",
IF(cluster_principal_storage_chosen="vSAN Storage Cluster","Principal Storage will be vSan Storage Cluster",
IF(cluster_principal_storage_chosen="vSAN Compute Cluster","Principal Storage will be vSan Compute Cluster",
IF(cluster_principal_storage_chosen="vSAN-ESA","Principal Storage will be vSAN-ESA based. This can be used as a vSAN Max Server Cluster",
IF(cluster_principal_storage_chosen="vSAN-OSA","Principal Storage will be vSAN-OSA based. This can be used as a HCI Mesh vSAN Server Cluster",
))))))))</f>
        <v>Option Not Required for current deployment type</v>
      </c>
    </row>
    <row r="12" spans="1:10" ht="20.05" customHeight="1" x14ac:dyDescent="0.35">
      <c r="B12" s="79" t="s">
        <v>13</v>
      </c>
      <c r="C12" s="362" t="s">
        <v>1163</v>
      </c>
      <c r="D12" s="77" t="str">
        <f>IF(mgmt_domain_deployment_type_chosen="VMware vSphere Foundation","Excluded",
IF(OR(AND(cluster_principal_storage_chosen="NFSv3",cluster_secondary_storage_chosen="Secondary NFS Storage Network")),"Excluded",
IF(AND(cluster_secondary_storage_chosen="vSAN Storage Client Network",cluster_principal_storage_chosen&lt;&gt;"vSAN Storage Cluster"),"Excluded",
IF(cluster_secondary_storage_chosen="Exclude","Excluded","Included"))))</f>
        <v>Excluded</v>
      </c>
      <c r="E12" s="112" t="str">
        <f>IF(mgmt_domain_deployment_type_chosen="VMware vSphere Foundation","Cannot be performed on a VMware vSphere Foundation deployment",
IF(vcf_granular_option_chosen&lt;&gt;"Create Cluster","Option Not Required for current deployment type",
IF(wld_domain_chosen="Import VI Workload Domain","Feature not supported for Imported Workload Domains",
IF(cluster_secondary_storage_chosen="Exclude","Cause: Not Selected. Cluster will not be prepared with Secondary Storage Network",
IF(OR(AND(cluster_principal_storage_chosen="NFSv3",cluster_secondary_storage_chosen="Secondary NFS Storage Network"),AND(cluster_principal_storage_chosen="vVOLS on NFS",cluster_principal_storage_chosen="Secondary NFS Storage Network")),"Secondary Storage NFS configuration not required as Principal Storage is NFS based",
IF(AND(cluster_secondary_storage_chosen="vSAN Storage Client Network",cluster_principal_storage_chosen&lt;&gt;"vSAN Storage Cluster"),"vSAN Storage Client Network is only supported with vSAN Storage Clusters",CONCATENATE("Workload Domain will be prepared with a ",cluster_secondary_storage_chosen)))))))</f>
        <v>Option Not Required for current deployment type</v>
      </c>
    </row>
    <row r="13" spans="1:10" ht="20.05" customHeight="1" x14ac:dyDescent="0.35">
      <c r="B13" s="79" t="s">
        <v>249</v>
      </c>
      <c r="C13" s="362" t="s">
        <v>764</v>
      </c>
      <c r="D13" s="77" t="str">
        <f>IF((cluster_result="Excluded"),"Excluded","Included")</f>
        <v>Excluded</v>
      </c>
      <c r="E13" s="112" t="str">
        <f>IF(vcf_granular_option_chosen&lt;&gt;"Create Cluster","Option Not Required for current deployment type",
IF(cluster_az1_reuse_vcf_networkpool_chosen="Re-use an existing VCF Network Pool","The exsiting VCF Network Pool will be reused","A new VCF Network Pool will be created"))</f>
        <v>Option Not Required for current deployment type</v>
      </c>
    </row>
    <row r="14" spans="1:10" ht="20.05" customHeight="1" x14ac:dyDescent="0.35">
      <c r="B14" s="299" t="s">
        <v>13</v>
      </c>
      <c r="C14" s="362" t="s">
        <v>6</v>
      </c>
      <c r="D14" s="247" t="str">
        <f>IF(cluster_chosen="Deploy a Multi-Rack Layer 3 Cluster","Excluded",
IF(cluster_stretched_cluster_chosen="Exclude","Excluded","Included"))</f>
        <v>Excluded</v>
      </c>
      <c r="E14" s="274" t="str">
        <f>IF(vcf_granular_option_chosen&lt;&gt;"Create Cluster","Option Not Required for current deployment type",
IF(AND((cluster_stretched_cluster_chosen="Include"),(cluster_chosen="Deploy a Multi-Rack Layer 3 Cluster")),"Cause: Stretched Cluster is not supported with Multi Rack Layer 3 Cluster",
IF(cluster_stretched_cluster_chosen="Exclude","Cause: Not Selected. Stretched Cluster will not be deployed","Stretched Cluster will be deployed")))</f>
        <v>Option Not Required for current deployment type</v>
      </c>
    </row>
    <row r="15" spans="1:10" ht="16" customHeight="1" x14ac:dyDescent="0.35"/>
    <row r="16" spans="1:10" ht="34" customHeight="1" x14ac:dyDescent="0.35">
      <c r="B16" s="509" t="s">
        <v>769</v>
      </c>
      <c r="C16" s="510"/>
      <c r="D16" s="510"/>
      <c r="E16" s="511"/>
    </row>
    <row r="17" spans="2:5" ht="20.05" customHeight="1" x14ac:dyDescent="0.35">
      <c r="B17" s="346" t="s">
        <v>17</v>
      </c>
      <c r="C17" s="346" t="s">
        <v>18</v>
      </c>
      <c r="D17" s="346" t="s">
        <v>19</v>
      </c>
      <c r="E17" s="346" t="s">
        <v>20</v>
      </c>
    </row>
    <row r="18" spans="2:5" ht="20.05" customHeight="1" x14ac:dyDescent="0.35">
      <c r="B18" s="496" t="s">
        <v>606</v>
      </c>
      <c r="C18" s="497"/>
      <c r="D18" s="497"/>
      <c r="E18" s="498"/>
    </row>
    <row r="19" spans="2:5" ht="20.05" customHeight="1" x14ac:dyDescent="0.35">
      <c r="B19" s="4" t="s">
        <v>261</v>
      </c>
      <c r="C19" s="80" t="str">
        <f>IF(cluster_wld_domain_chosen="VI Workload Domain",
IF(mgmt_domain_chosen="First Instance",CONCATENATE(this_instance,"-w0",wld_domain_number_chosen),CONCATENATE(other_instance,"-w0",wld_domain_number_chosen)),
IF(cluster_wld_domain_chosen="MGMT Workload Domain",
IF(mgmt_domain_chosen="First Instance",CONCATENATE(this_instance,"-m01"),CONCATENATE(other_instance,"-m01"))))</f>
        <v>sfo-w01</v>
      </c>
      <c r="D19" s="347"/>
      <c r="E19" s="93"/>
    </row>
    <row r="20" spans="2:5" ht="16" customHeight="1" x14ac:dyDescent="0.35"/>
    <row r="21" spans="2:5" ht="34" customHeight="1" x14ac:dyDescent="0.35">
      <c r="B21" s="509" t="s">
        <v>802</v>
      </c>
      <c r="C21" s="510"/>
      <c r="D21" s="510"/>
      <c r="E21" s="511"/>
    </row>
    <row r="22" spans="2:5" ht="20.05" customHeight="1" x14ac:dyDescent="0.35">
      <c r="B22" s="346" t="s">
        <v>17</v>
      </c>
      <c r="C22" s="346" t="s">
        <v>18</v>
      </c>
      <c r="D22" s="346" t="s">
        <v>19</v>
      </c>
      <c r="E22" s="346" t="s">
        <v>20</v>
      </c>
    </row>
    <row r="23" spans="2:5" ht="20.05" customHeight="1" x14ac:dyDescent="0.35">
      <c r="B23" s="496" t="s">
        <v>213</v>
      </c>
      <c r="C23" s="497"/>
      <c r="D23" s="497"/>
      <c r="E23" s="498"/>
    </row>
    <row r="24" spans="2:5" ht="20.05" customHeight="1" x14ac:dyDescent="0.35">
      <c r="B24" s="4" t="s">
        <v>85</v>
      </c>
      <c r="C24" s="80" t="str">
        <f>IF(cluster_wld_domain_chosen="VI Workload Domain",CONCATENATE(prefix_wld_az1_vlan,"11"),CONCATENATE(prefix_mgmt_az1_vlan,"11"))</f>
        <v>1311</v>
      </c>
      <c r="D24" s="347"/>
      <c r="E24" s="93"/>
    </row>
    <row r="25" spans="2:5" ht="20.05" customHeight="1" x14ac:dyDescent="0.35">
      <c r="B25" s="4" t="s">
        <v>187</v>
      </c>
      <c r="C25" s="80" t="str">
        <f>IF(cluster_wld_domain_chosen="VI Workload Domain",CONCATENATE(prefix_wld_az1_cidr,"11.1"),CONCATENATE(prefix_mgmt_az1_cidr,"11.1"))</f>
        <v>10.13.11.1</v>
      </c>
      <c r="D25" s="347"/>
      <c r="E25" s="337"/>
    </row>
    <row r="26" spans="2:5" ht="20.05" customHeight="1" x14ac:dyDescent="0.35">
      <c r="B26" s="4" t="s">
        <v>188</v>
      </c>
      <c r="C26" s="80" t="str">
        <f>IF(cluster_wld_domain_chosen="VI Workload Domain",CONCATENATE(prefix_wld_az1_cidr,"11.0/24"),CONCATENATE(prefix_mgmt_az1_cidr,"11.0/24"))</f>
        <v>10.13.11.0/24</v>
      </c>
      <c r="D26" s="347"/>
      <c r="E26" s="337"/>
    </row>
    <row r="27" spans="2:5" ht="20.05" customHeight="1" x14ac:dyDescent="0.35">
      <c r="B27" s="4" t="s">
        <v>160</v>
      </c>
      <c r="C27" s="80">
        <v>1500</v>
      </c>
      <c r="D27" s="347"/>
      <c r="E27" s="337"/>
    </row>
    <row r="28" spans="2:5" ht="20.05" customHeight="1" x14ac:dyDescent="0.35">
      <c r="B28" s="512" t="s">
        <v>214</v>
      </c>
      <c r="C28" s="513"/>
      <c r="D28" s="513"/>
      <c r="E28" s="514"/>
    </row>
    <row r="29" spans="2:5" ht="20.05" customHeight="1" x14ac:dyDescent="0.35">
      <c r="B29" s="17" t="s">
        <v>215</v>
      </c>
      <c r="C29" s="89" t="str">
        <f>IF(cluster_wld_domain_chosen="VI Workload Domain",CONCATENATE(prefix_wld_az1_cidr,"11.101"),CONCATENATE(prefix_mgmt_az1_cidr,"11.101"))</f>
        <v>10.13.11.101</v>
      </c>
      <c r="D29" s="347"/>
      <c r="E29" s="132" t="s">
        <v>216</v>
      </c>
    </row>
    <row r="30" spans="2:5" ht="20.05" customHeight="1" x14ac:dyDescent="0.35">
      <c r="B30" s="17" t="s">
        <v>217</v>
      </c>
      <c r="C30" s="89" t="str">
        <f>IF(cluster_wld_domain_chosen="VI Workload Domain",CONCATENATE(prefix_wld_az1_cidr,"11.102"),CONCATENATE(prefix_mgmt_az1_cidr,"11.102"))</f>
        <v>10.13.11.102</v>
      </c>
      <c r="D30" s="347"/>
      <c r="E30" s="132" t="s">
        <v>218</v>
      </c>
    </row>
    <row r="31" spans="2:5" ht="20.05" customHeight="1" x14ac:dyDescent="0.35">
      <c r="B31" s="17" t="s">
        <v>219</v>
      </c>
      <c r="C31" s="89" t="str">
        <f>IF(cluster_wld_domain_chosen="VI Workload Domain",CONCATENATE(prefix_wld_az1_cidr,"11.103"),CONCATENATE(prefix_mgmt_az1_cidr,"11.103"))</f>
        <v>10.13.11.103</v>
      </c>
      <c r="D31" s="347"/>
      <c r="E31" s="132" t="s">
        <v>220</v>
      </c>
    </row>
    <row r="32" spans="2:5" ht="20.05" customHeight="1" x14ac:dyDescent="0.35">
      <c r="B32" s="17" t="s">
        <v>221</v>
      </c>
      <c r="C32" s="89" t="str">
        <f>IF(cluster_wld_domain_chosen="VI Workload Domain",CONCATENATE(prefix_wld_az1_cidr,"11.104"),CONCATENATE(prefix_mgmt_az1_cidr,"11.104"))</f>
        <v>10.13.11.104</v>
      </c>
      <c r="D32" s="347"/>
      <c r="E32" s="132" t="s">
        <v>222</v>
      </c>
    </row>
    <row r="33" spans="2:5" ht="20.05" customHeight="1" x14ac:dyDescent="0.35">
      <c r="B33" s="17" t="s">
        <v>223</v>
      </c>
      <c r="C33" s="89" t="str">
        <f>IF(cluster_wld_domain_chosen="VI Workload Domain",CONCATENATE(prefix_wld_az1_cidr,"11.105"),CONCATENATE(prefix_mgmt_az1_cidr,"11.105"))</f>
        <v>10.13.11.105</v>
      </c>
      <c r="D33" s="347"/>
      <c r="E33" s="132" t="s">
        <v>224</v>
      </c>
    </row>
    <row r="34" spans="2:5" ht="20.05" customHeight="1" x14ac:dyDescent="0.35">
      <c r="B34" s="17" t="s">
        <v>225</v>
      </c>
      <c r="C34" s="89" t="str">
        <f>IF(cluster_wld_domain_chosen="VI Workload Domain",CONCATENATE(prefix_wld_az1_cidr,"11.106"),CONCATENATE(prefix_mgmt_az1_cidr,"11.106"))</f>
        <v>10.13.11.106</v>
      </c>
      <c r="D34" s="347"/>
      <c r="E34" s="132" t="s">
        <v>226</v>
      </c>
    </row>
    <row r="35" spans="2:5" ht="20.05" customHeight="1" x14ac:dyDescent="0.35">
      <c r="B35" s="17" t="s">
        <v>227</v>
      </c>
      <c r="C35" s="89" t="str">
        <f>IF(cluster_wld_domain_chosen="VI Workload Domain",CONCATENATE(prefix_wld_az1_cidr,"11.107"),CONCATENATE(prefix_mgmt_az1_cidr,"11.107"))</f>
        <v>10.13.11.107</v>
      </c>
      <c r="D35" s="347"/>
      <c r="E35" s="132" t="s">
        <v>228</v>
      </c>
    </row>
    <row r="36" spans="2:5" ht="20.05" customHeight="1" x14ac:dyDescent="0.35">
      <c r="B36" s="17" t="s">
        <v>229</v>
      </c>
      <c r="C36" s="89" t="str">
        <f>IF(cluster_wld_domain_chosen="VI Workload Domain",CONCATENATE(prefix_wld_az1_cidr,"11.108"),CONCATENATE(prefix_mgmt_az1_cidr,"11.108"))</f>
        <v>10.13.11.108</v>
      </c>
      <c r="D36" s="347"/>
      <c r="E36" s="132" t="s">
        <v>230</v>
      </c>
    </row>
    <row r="37" spans="2:5" ht="20.05" customHeight="1" x14ac:dyDescent="0.35">
      <c r="B37" s="17" t="s">
        <v>231</v>
      </c>
      <c r="C37" s="89" t="str">
        <f>IF(cluster_wld_domain_chosen="VI Workload Domain",CONCATENATE(prefix_wld_az1_cidr,"11.109"),CONCATENATE(prefix_mgmt_az1_cidr,"11.109"))</f>
        <v>10.13.11.109</v>
      </c>
      <c r="D37" s="347"/>
      <c r="E37" s="132" t="s">
        <v>232</v>
      </c>
    </row>
    <row r="38" spans="2:5" ht="20.05" customHeight="1" x14ac:dyDescent="0.35">
      <c r="B38" s="17" t="s">
        <v>233</v>
      </c>
      <c r="C38" s="89" t="str">
        <f>IF(cluster_wld_domain_chosen="VI Workload Domain",CONCATENATE(prefix_wld_az1_cidr,"11.110"),CONCATENATE(prefix_mgmt_az1_cidr,"11.110"))</f>
        <v>10.13.11.110</v>
      </c>
      <c r="D38" s="347"/>
      <c r="E38" s="132" t="s">
        <v>234</v>
      </c>
    </row>
    <row r="39" spans="2:5" ht="20.05" customHeight="1" x14ac:dyDescent="0.35">
      <c r="B39" s="17" t="s">
        <v>235</v>
      </c>
      <c r="C39" s="89" t="str">
        <f>IF(cluster_wld_domain_chosen="VI Workload Domain",CONCATENATE(prefix_wld_az1_cidr,"11.111"),CONCATENATE(prefix_mgmt_az1_cidr,"11.111"))</f>
        <v>10.13.11.111</v>
      </c>
      <c r="D39" s="347"/>
      <c r="E39" s="132" t="s">
        <v>236</v>
      </c>
    </row>
    <row r="40" spans="2:5" ht="20.05" customHeight="1" x14ac:dyDescent="0.35">
      <c r="B40" s="17" t="s">
        <v>237</v>
      </c>
      <c r="C40" s="89" t="str">
        <f>IF(cluster_wld_domain_chosen="VI Workload Domain",CONCATENATE(prefix_wld_az1_cidr,"11.112"),CONCATENATE(prefix_mgmt_az1_cidr,"11.112"))</f>
        <v>10.13.11.112</v>
      </c>
      <c r="D40" s="347"/>
      <c r="E40" s="132" t="s">
        <v>238</v>
      </c>
    </row>
    <row r="41" spans="2:5" ht="20.05" customHeight="1" x14ac:dyDescent="0.35">
      <c r="B41" s="17" t="s">
        <v>239</v>
      </c>
      <c r="C41" s="89" t="str">
        <f>IF(cluster_wld_domain_chosen="VI Workload Domain",CONCATENATE(prefix_wld_az1_cidr,"11.113"),CONCATENATE(prefix_mgmt_az1_cidr,"11.113"))</f>
        <v>10.13.11.113</v>
      </c>
      <c r="D41" s="347"/>
      <c r="E41" s="132" t="s">
        <v>240</v>
      </c>
    </row>
    <row r="42" spans="2:5" ht="20.05" customHeight="1" x14ac:dyDescent="0.35">
      <c r="B42" s="17" t="s">
        <v>241</v>
      </c>
      <c r="C42" s="89" t="str">
        <f>IF(cluster_wld_domain_chosen="VI Workload Domain",CONCATENATE(prefix_wld_az1_cidr,"11.114"),CONCATENATE(prefix_mgmt_az1_cidr,"11.114"))</f>
        <v>10.13.11.114</v>
      </c>
      <c r="D42" s="347"/>
      <c r="E42" s="132" t="s">
        <v>242</v>
      </c>
    </row>
    <row r="43" spans="2:5" ht="20.05" customHeight="1" x14ac:dyDescent="0.35">
      <c r="B43" s="17" t="s">
        <v>243</v>
      </c>
      <c r="C43" s="89" t="str">
        <f>IF(cluster_wld_domain_chosen="VI Workload Domain",CONCATENATE(prefix_wld_az1_cidr,"11.115"),CONCATENATE(prefix_mgmt_az1_cidr,"11.115"))</f>
        <v>10.13.11.115</v>
      </c>
      <c r="D43" s="347"/>
      <c r="E43" s="132" t="s">
        <v>244</v>
      </c>
    </row>
    <row r="44" spans="2:5" ht="20.05" customHeight="1" x14ac:dyDescent="0.35">
      <c r="B44" s="17" t="s">
        <v>245</v>
      </c>
      <c r="C44" s="89" t="str">
        <f>IF(cluster_wld_domain_chosen="VI Workload Domain",CONCATENATE(prefix_wld_az1_cidr,"11.116"),CONCATENATE(prefix_mgmt_az1_cidr,"11.116"))</f>
        <v>10.13.11.116</v>
      </c>
      <c r="D44" s="347"/>
      <c r="E44" s="132" t="s">
        <v>246</v>
      </c>
    </row>
    <row r="45" spans="2:5" ht="16" customHeight="1" x14ac:dyDescent="0.35"/>
    <row r="46" spans="2:5" ht="34" customHeight="1" x14ac:dyDescent="0.35">
      <c r="B46" s="509" t="str">
        <f>IF(cluster_az1_reuse_vcf_networkpool_result="Excluded","Create Network Pool","Current Network Pool")</f>
        <v>Create Network Pool</v>
      </c>
      <c r="C46" s="510"/>
      <c r="D46" s="510"/>
      <c r="E46" s="511"/>
    </row>
    <row r="47" spans="2:5" ht="20.05" customHeight="1" x14ac:dyDescent="0.35">
      <c r="B47" s="346" t="s">
        <v>17</v>
      </c>
      <c r="C47" s="346" t="s">
        <v>18</v>
      </c>
      <c r="D47" s="346" t="s">
        <v>19</v>
      </c>
      <c r="E47" s="346" t="s">
        <v>20</v>
      </c>
    </row>
    <row r="48" spans="2:5" ht="20.05" customHeight="1" x14ac:dyDescent="0.35">
      <c r="B48" s="17" t="s">
        <v>250</v>
      </c>
      <c r="C48" s="80" t="str">
        <f>IF(cluster_wld_domain_chosen="VI Workload Domain",CONCATENATE(this_instance,"01-w0",wld_domain_number_chosen,"-r01-network-pool-01"),CONCATENATE(this_instance,"01-m01","-r01-network-pool-01"))</f>
        <v>sfo01-w01-r01-network-pool-01</v>
      </c>
      <c r="D48" s="347"/>
      <c r="E48" s="337"/>
    </row>
    <row r="49" spans="2:5" ht="20.05" customHeight="1" x14ac:dyDescent="0.35">
      <c r="B49" s="496" t="s">
        <v>251</v>
      </c>
      <c r="C49" s="497"/>
      <c r="D49" s="497"/>
      <c r="E49" s="498"/>
    </row>
    <row r="50" spans="2:5" ht="20.05" customHeight="1" x14ac:dyDescent="0.35">
      <c r="B50" s="4" t="s">
        <v>85</v>
      </c>
      <c r="C50" s="80" t="str">
        <f>IF(cluster_wld_domain_chosen="VI Workload Domain",CONCATENATE(prefix_wld_az1_vlan,"12"),CONCATENATE(prefix_mgmt_az1_vlan,"12"))</f>
        <v>1312</v>
      </c>
      <c r="D50" s="347"/>
      <c r="E50" s="93"/>
    </row>
    <row r="51" spans="2:5" ht="20.05" customHeight="1" x14ac:dyDescent="0.35">
      <c r="B51" s="4" t="s">
        <v>160</v>
      </c>
      <c r="C51" s="80">
        <v>9000</v>
      </c>
      <c r="D51" s="347"/>
      <c r="E51" s="337"/>
    </row>
    <row r="52" spans="2:5" ht="20.05" customHeight="1" x14ac:dyDescent="0.35">
      <c r="B52" s="4" t="s">
        <v>188</v>
      </c>
      <c r="C52" s="80" t="str">
        <f>IF(cluster_wld_domain_chosen="VI Workload Domain",CONCATENATE(prefix_wld_az1_cidr,"12.0"),CONCATENATE(prefix_mgmt_az1_cidr,"12.0"))</f>
        <v>10.13.12.0</v>
      </c>
      <c r="D52" s="347"/>
      <c r="E52" s="337"/>
    </row>
    <row r="53" spans="2:5" ht="20.05" customHeight="1" x14ac:dyDescent="0.35">
      <c r="B53" s="4" t="s">
        <v>285</v>
      </c>
      <c r="C53" s="80" t="s">
        <v>128</v>
      </c>
      <c r="D53" s="347"/>
      <c r="E53" s="337"/>
    </row>
    <row r="54" spans="2:5" ht="20.05" customHeight="1" x14ac:dyDescent="0.35">
      <c r="B54" s="4" t="s">
        <v>187</v>
      </c>
      <c r="C54" s="80" t="str">
        <f>IF(cluster_wld_domain_chosen="VI Workload Domain",CONCATENATE(prefix_wld_az1_cidr,"12.1"),CONCATENATE(prefix_mgmt_az1_cidr,"12.1"))</f>
        <v>10.13.12.1</v>
      </c>
      <c r="D54" s="347"/>
      <c r="E54" s="337"/>
    </row>
    <row r="55" spans="2:5" ht="20.05" customHeight="1" x14ac:dyDescent="0.35">
      <c r="B55" s="17" t="s">
        <v>255</v>
      </c>
      <c r="C55" s="80" t="str">
        <f>IF(cluster_wld_domain_chosen="VI Workload Domain",CONCATENATE(prefix_wld_az1_cidr,"12.101"),CONCATENATE(prefix_mgmt_az1_cidr,"12.101"))</f>
        <v>10.13.12.101</v>
      </c>
      <c r="D55" s="347"/>
      <c r="E55" s="337"/>
    </row>
    <row r="56" spans="2:5" ht="20.05" customHeight="1" x14ac:dyDescent="0.35">
      <c r="B56" s="17" t="s">
        <v>256</v>
      </c>
      <c r="C56" s="80" t="str">
        <f>IF(cluster_wld_domain_chosen="VI Workload Domain",CONCATENATE(prefix_wld_az1_cidr,"12.116"),CONCATENATE(prefix_mgmt_az1_cidr,"12.116"))</f>
        <v>10.13.12.116</v>
      </c>
      <c r="D56" s="347"/>
      <c r="E56" s="337"/>
    </row>
    <row r="57" spans="2:5" ht="20.05" customHeight="1" x14ac:dyDescent="0.35">
      <c r="B57" s="496" t="str">
        <f>IF(cluster_principal_storage_chosen="NFSv3","NFS Network","vSAN Network")</f>
        <v>vSAN Network</v>
      </c>
      <c r="C57" s="497"/>
      <c r="D57" s="497"/>
      <c r="E57" s="498"/>
    </row>
    <row r="58" spans="2:5" ht="20.05" customHeight="1" x14ac:dyDescent="0.35">
      <c r="B58" s="4" t="s">
        <v>85</v>
      </c>
      <c r="C58" s="80" t="str">
        <f>IF(cluster_wld_domain_chosen="VI Workload Domain",CONCATENATE(prefix_wld_az1_vlan,"13"),CONCATENATE(prefix_mgmt_az1_vlan,"13"))</f>
        <v>1313</v>
      </c>
      <c r="D58" s="148"/>
      <c r="E58" s="337"/>
    </row>
    <row r="59" spans="2:5" ht="20.05" customHeight="1" x14ac:dyDescent="0.35">
      <c r="B59" s="4" t="s">
        <v>160</v>
      </c>
      <c r="C59" s="80">
        <v>9000</v>
      </c>
      <c r="D59" s="347"/>
      <c r="E59" s="337"/>
    </row>
    <row r="60" spans="2:5" ht="20.05" customHeight="1" x14ac:dyDescent="0.35">
      <c r="B60" s="4" t="s">
        <v>188</v>
      </c>
      <c r="C60" s="80" t="str">
        <f>IF(cluster_wld_domain_chosen="VI Workload Domain",CONCATENATE(prefix_wld_az1_cidr,"13.0"),CONCATENATE(prefix_mgmt_az1_cidr,"13.0"))</f>
        <v>10.13.13.0</v>
      </c>
      <c r="D60" s="347"/>
      <c r="E60" s="345"/>
    </row>
    <row r="61" spans="2:5" ht="20.05" customHeight="1" x14ac:dyDescent="0.35">
      <c r="B61" s="4" t="s">
        <v>285</v>
      </c>
      <c r="C61" s="80" t="s">
        <v>128</v>
      </c>
      <c r="D61" s="347"/>
      <c r="E61" s="337"/>
    </row>
    <row r="62" spans="2:5" ht="20.05" customHeight="1" x14ac:dyDescent="0.35">
      <c r="B62" s="4" t="s">
        <v>187</v>
      </c>
      <c r="C62" s="80" t="str">
        <f>IF(cluster_wld_domain_chosen="VI Workload Domain",CONCATENATE(prefix_wld_az1_cidr,"13.1"),CONCATENATE(prefix_mgmt_az1_cidr,"13.1"))</f>
        <v>10.13.13.1</v>
      </c>
      <c r="D62" s="347"/>
      <c r="E62" s="337" t="str">
        <f>IF(AND(mgmt_stretched_cluster_result="Included",mgmt_dpg_reuse_result="Excluded"),"Stretched L2","")</f>
        <v/>
      </c>
    </row>
    <row r="63" spans="2:5" ht="20.05" customHeight="1" x14ac:dyDescent="0.35">
      <c r="B63" s="17" t="s">
        <v>255</v>
      </c>
      <c r="C63" s="80" t="str">
        <f>IF(cluster_wld_domain_chosen="VI Workload Domain",CONCATENATE(prefix_wld_az1_cidr,"13.101"),CONCATENATE(prefix_mgmt_az1_cidr,"13.101"))</f>
        <v>10.13.13.101</v>
      </c>
      <c r="D63" s="347"/>
      <c r="E63" s="345"/>
    </row>
    <row r="64" spans="2:5" ht="20.05" customHeight="1" x14ac:dyDescent="0.35">
      <c r="B64" s="17" t="s">
        <v>256</v>
      </c>
      <c r="C64" s="80" t="str">
        <f>IF(cluster_wld_domain_chosen="VI Workload Domain",CONCATENATE(prefix_wld_az1_cidr,"13.116"),CONCATENATE(prefix_mgmt_az1_cidr,"13.116"))</f>
        <v>10.13.13.116</v>
      </c>
      <c r="D64" s="347"/>
      <c r="E64" s="345"/>
    </row>
    <row r="65" spans="2:5" ht="20.05" customHeight="1" x14ac:dyDescent="0.35">
      <c r="B65" s="496" t="str">
        <f>IF(cluster_secondary_storage_chosen="Secondary NFS Storage Network","NFS Storage Network","vSAN Storage Client")</f>
        <v>vSAN Storage Client</v>
      </c>
      <c r="C65" s="497"/>
      <c r="D65" s="497"/>
      <c r="E65" s="498"/>
    </row>
    <row r="66" spans="2:5" ht="20.05" customHeight="1" x14ac:dyDescent="0.35">
      <c r="B66" s="4" t="s">
        <v>85</v>
      </c>
      <c r="C66" s="80" t="str">
        <f>IF(cluster_wld_domain_chosen="VI Workload Domain",CONCATENATE(prefix_wld_az1_vlan,"15"),CONCATENATE(prefix_mgmt_az1_vlan,"15"))</f>
        <v>1315</v>
      </c>
      <c r="D66" s="347"/>
      <c r="E66" s="337"/>
    </row>
    <row r="67" spans="2:5" ht="20.05" customHeight="1" x14ac:dyDescent="0.35">
      <c r="B67" s="4" t="s">
        <v>160</v>
      </c>
      <c r="C67" s="80">
        <v>9000</v>
      </c>
      <c r="D67" s="347"/>
      <c r="E67" s="345"/>
    </row>
    <row r="68" spans="2:5" ht="20.05" customHeight="1" x14ac:dyDescent="0.35">
      <c r="B68" s="4" t="s">
        <v>188</v>
      </c>
      <c r="C68" s="80" t="str">
        <f>IF(cluster_wld_domain_chosen="VI Workload Domain",CONCATENATE(prefix_wld_az1_cidr,"15.0"),CONCATENATE(prefix_mgmt_az1_cidr,"15.0"))</f>
        <v>10.13.15.0</v>
      </c>
      <c r="D68" s="347"/>
      <c r="E68" s="337"/>
    </row>
    <row r="69" spans="2:5" ht="20.05" customHeight="1" x14ac:dyDescent="0.35">
      <c r="B69" s="4" t="s">
        <v>285</v>
      </c>
      <c r="C69" s="80" t="s">
        <v>128</v>
      </c>
      <c r="D69" s="347"/>
      <c r="E69" s="337"/>
    </row>
    <row r="70" spans="2:5" ht="20.05" customHeight="1" x14ac:dyDescent="0.35">
      <c r="B70" s="4" t="s">
        <v>187</v>
      </c>
      <c r="C70" s="80" t="str">
        <f>IF(cluster_wld_domain_chosen="VI Workload Domain",CONCATENATE(prefix_wld_az1_cidr,"15.1"),CONCATENATE(prefix_mgmt_az1_cidr,"15.1"))</f>
        <v>10.13.15.1</v>
      </c>
      <c r="D70" s="347"/>
      <c r="E70" s="337" t="str">
        <f>IF(AND(mgmt_stretched_cluster_result="Included",mgmt_dpg_reuse_result="Excluded"),"Stretched L2","")</f>
        <v/>
      </c>
    </row>
    <row r="71" spans="2:5" ht="20.05" customHeight="1" x14ac:dyDescent="0.35">
      <c r="B71" s="17" t="s">
        <v>255</v>
      </c>
      <c r="C71" s="80" t="str">
        <f>IF(cluster_wld_domain_chosen="VI Workload Domain",CONCATENATE(prefix_wld_az1_cidr,"15.101"),CONCATENATE(prefix_mgmt_az1_cidr,"15.101"))</f>
        <v>10.13.15.101</v>
      </c>
      <c r="D71" s="347"/>
      <c r="E71" s="345"/>
    </row>
    <row r="72" spans="2:5" ht="20.05" customHeight="1" x14ac:dyDescent="0.35">
      <c r="B72" s="17" t="s">
        <v>256</v>
      </c>
      <c r="C72" s="80" t="str">
        <f>IF(cluster_wld_domain_chosen="VI Workload Domain",CONCATENATE(prefix_wld_az1_cidr,"15.116"),CONCATENATE(prefix_mgmt_az1_cidr,"15.116"))</f>
        <v>10.13.15.116</v>
      </c>
      <c r="D72" s="347"/>
      <c r="E72" s="345"/>
    </row>
    <row r="73" spans="2:5" ht="20.05" customHeight="1" x14ac:dyDescent="0.35">
      <c r="B73" s="496" t="s">
        <v>805</v>
      </c>
      <c r="C73" s="497"/>
      <c r="D73" s="497"/>
      <c r="E73" s="498"/>
    </row>
    <row r="74" spans="2:5" ht="20.05" customHeight="1" x14ac:dyDescent="0.35">
      <c r="B74" s="4" t="s">
        <v>85</v>
      </c>
      <c r="C74" s="80" t="str">
        <f>IF(cluster_wld_domain_chosen="VI Workload Domain",CONCATENATE(prefix_wld_az1_vlan,"16"),CONCATENATE(prefix_mgmt_az1_vlan,"16"))</f>
        <v>1316</v>
      </c>
      <c r="D74" s="347"/>
      <c r="E74" s="337"/>
    </row>
    <row r="75" spans="2:5" ht="20.05" customHeight="1" x14ac:dyDescent="0.35">
      <c r="B75" s="4" t="s">
        <v>160</v>
      </c>
      <c r="C75" s="80">
        <v>9000</v>
      </c>
      <c r="D75" s="347"/>
      <c r="E75" s="345"/>
    </row>
    <row r="76" spans="2:5" ht="20.05" customHeight="1" x14ac:dyDescent="0.35">
      <c r="B76" s="4" t="s">
        <v>188</v>
      </c>
      <c r="C76" s="80" t="str">
        <f>IF(cluster_wld_domain_chosen="VI Workload Domain",CONCATENATE(prefix_wld_az1_cidr,"16.0"),CONCATENATE(prefix_mgmt_az1_cidr,"16.0"))</f>
        <v>10.13.16.0</v>
      </c>
      <c r="D76" s="347"/>
      <c r="E76" s="337"/>
    </row>
    <row r="77" spans="2:5" ht="20.05" customHeight="1" x14ac:dyDescent="0.35">
      <c r="B77" s="4" t="s">
        <v>285</v>
      </c>
      <c r="C77" s="80" t="s">
        <v>128</v>
      </c>
      <c r="D77" s="347"/>
      <c r="E77" s="337"/>
    </row>
    <row r="78" spans="2:5" ht="20.05" customHeight="1" x14ac:dyDescent="0.35">
      <c r="B78" s="4" t="s">
        <v>187</v>
      </c>
      <c r="C78" s="80" t="str">
        <f>IF(cluster_wld_domain_chosen="VI Workload Domain",CONCATENATE(prefix_wld_az1_cidr,"16.1"),CONCATENATE(prefix_mgmt_az1_cidr,"16.1"))</f>
        <v>10.13.16.1</v>
      </c>
      <c r="D78" s="347"/>
      <c r="E78" s="337" t="str">
        <f>IF(AND(mgmt_stretched_cluster_result="Included",mgmt_dpg_reuse_result="Excluded"),"Stretched L2","")</f>
        <v/>
      </c>
    </row>
    <row r="79" spans="2:5" ht="20.05" customHeight="1" x14ac:dyDescent="0.35">
      <c r="B79" s="17" t="s">
        <v>255</v>
      </c>
      <c r="C79" s="80" t="str">
        <f>IF(cluster_wld_domain_chosen="VI Workload Domain",CONCATENATE(prefix_wld_az1_cidr,"16.101"),CONCATENATE(prefix_mgmt_az1_cidr,"16.101"))</f>
        <v>10.13.16.101</v>
      </c>
      <c r="D79" s="347"/>
      <c r="E79" s="345"/>
    </row>
    <row r="80" spans="2:5" ht="20.05" customHeight="1" x14ac:dyDescent="0.35">
      <c r="B80" s="17" t="s">
        <v>256</v>
      </c>
      <c r="C80" s="80" t="str">
        <f>IF(cluster_wld_domain_chosen="VI Workload Domain",CONCATENATE(prefix_wld_az1_cidr,"16.116"),CONCATENATE(prefix_mgmt_az1_cidr,"16.116"))</f>
        <v>10.13.16.116</v>
      </c>
      <c r="D80" s="347"/>
      <c r="E80" s="345"/>
    </row>
    <row r="81" spans="2:5" ht="16" customHeight="1" x14ac:dyDescent="0.35"/>
    <row r="82" spans="2:5" ht="34" customHeight="1" x14ac:dyDescent="0.35">
      <c r="B82" s="509" t="s">
        <v>806</v>
      </c>
      <c r="C82" s="510"/>
      <c r="D82" s="510"/>
      <c r="E82" s="511"/>
    </row>
    <row r="83" spans="2:5" ht="20.05" customHeight="1" x14ac:dyDescent="0.35">
      <c r="B83" s="346" t="s">
        <v>17</v>
      </c>
      <c r="C83" s="346" t="s">
        <v>18</v>
      </c>
      <c r="D83" s="346" t="s">
        <v>19</v>
      </c>
      <c r="E83" s="346" t="s">
        <v>20</v>
      </c>
    </row>
    <row r="84" spans="2:5" ht="20.05" customHeight="1" x14ac:dyDescent="0.35">
      <c r="B84" s="17" t="s">
        <v>215</v>
      </c>
      <c r="C84" s="89" t="str">
        <f>IF(cluster_wld_domain_chosen="VI Workload Domain",CONCATENATE(this_instance,"01-w0",wld_domain_number_chosen,"-r01-esx01",".",sample_child_dns_zone),CONCATENATE(this_instance,"01-m01","-r01-esx01",".",sample_child_dns_zone))</f>
        <v>sfo01-w01-r01-esx01.sfo.rainpole.io</v>
      </c>
      <c r="D84" s="347"/>
      <c r="E84" s="337"/>
    </row>
    <row r="85" spans="2:5" ht="20.05" customHeight="1" x14ac:dyDescent="0.35">
      <c r="B85" s="17" t="s">
        <v>217</v>
      </c>
      <c r="C85" s="89" t="str">
        <f>IF(cluster_wld_domain_chosen="VI Workload Domain",CONCATENATE(this_instance,"01-w0",wld_domain_number_chosen,"-r01-esx02",".",sample_child_dns_zone),CONCATENATE(this_instance,"01-m01","-r01-esx02",".",sample_child_dns_zone))</f>
        <v>sfo01-w01-r01-esx02.sfo.rainpole.io</v>
      </c>
      <c r="D85" s="347"/>
      <c r="E85" s="337"/>
    </row>
    <row r="86" spans="2:5" ht="20.05" customHeight="1" x14ac:dyDescent="0.35">
      <c r="B86" s="17" t="s">
        <v>219</v>
      </c>
      <c r="C86" s="89" t="str">
        <f>IF(cluster_wld_domain_chosen="VI Workload Domain",CONCATENATE(this_instance,"01-w0",wld_domain_number_chosen,"-r01-esx03",".",sample_child_dns_zone),CONCATENATE(this_instance,"01-m01","-r01-esx03",".",sample_child_dns_zone))</f>
        <v>sfo01-w01-r01-esx03.sfo.rainpole.io</v>
      </c>
      <c r="D86" s="347"/>
      <c r="E86" s="337"/>
    </row>
    <row r="87" spans="2:5" ht="20.05" customHeight="1" x14ac:dyDescent="0.35">
      <c r="B87" s="17" t="s">
        <v>221</v>
      </c>
      <c r="C87" s="89" t="str">
        <f>IF(cluster_wld_domain_chosen="VI Workload Domain",CONCATENATE(this_instance,"01-w0",wld_domain_number_chosen,"-r01-esx04",".",sample_child_dns_zone),CONCATENATE(this_instance,"01-m01","-r01-esx04",".",sample_child_dns_zone))</f>
        <v>sfo01-w01-r01-esx04.sfo.rainpole.io</v>
      </c>
      <c r="D87" s="347"/>
      <c r="E87" s="337"/>
    </row>
    <row r="88" spans="2:5" ht="20.05" customHeight="1" x14ac:dyDescent="0.35">
      <c r="B88" s="17" t="s">
        <v>223</v>
      </c>
      <c r="C88" s="89" t="str">
        <f>IF(cluster_wld_domain_chosen="VI Workload Domain",CONCATENATE(this_instance,"01-w0",wld_domain_number_chosen,"-r01-esx05",".",sample_child_dns_zone),CONCATENATE(this_instance,"01-m01","-r01-esx05",".",sample_child_dns_zone))</f>
        <v>sfo01-w01-r01-esx05.sfo.rainpole.io</v>
      </c>
      <c r="D88" s="347"/>
      <c r="E88" s="337"/>
    </row>
    <row r="89" spans="2:5" ht="20.05" customHeight="1" x14ac:dyDescent="0.35">
      <c r="B89" s="17" t="s">
        <v>225</v>
      </c>
      <c r="C89" s="89" t="str">
        <f>IF(cluster_wld_domain_chosen="VI Workload Domain",CONCATENATE(this_instance,"01-w0",wld_domain_number_chosen,"-r01-esx06",".",sample_child_dns_zone),CONCATENATE(this_instance,"01-m01","-r01-esx06",".",sample_child_dns_zone))</f>
        <v>sfo01-w01-r01-esx06.sfo.rainpole.io</v>
      </c>
      <c r="D89" s="347"/>
      <c r="E89" s="337"/>
    </row>
    <row r="90" spans="2:5" ht="20.05" customHeight="1" x14ac:dyDescent="0.35">
      <c r="B90" s="17" t="s">
        <v>227</v>
      </c>
      <c r="C90" s="89" t="str">
        <f>IF(cluster_wld_domain_chosen="VI Workload Domain",CONCATENATE(this_instance,"01-w0",wld_domain_number_chosen,"-r01-esx07",".",sample_child_dns_zone),CONCATENATE(this_instance,"01-m01","-r01-esx07",".",sample_child_dns_zone))</f>
        <v>sfo01-w01-r01-esx07.sfo.rainpole.io</v>
      </c>
      <c r="D90" s="347"/>
      <c r="E90" s="337"/>
    </row>
    <row r="91" spans="2:5" ht="20.05" customHeight="1" x14ac:dyDescent="0.35">
      <c r="B91" s="17" t="s">
        <v>229</v>
      </c>
      <c r="C91" s="89" t="str">
        <f>IF(cluster_wld_domain_chosen="VI Workload Domain",CONCATENATE(this_instance,"01-w0",wld_domain_number_chosen,"-r01-esx08",".",sample_child_dns_zone),CONCATENATE(this_instance,"01-m01","-r01-esx08",".",sample_child_dns_zone))</f>
        <v>sfo01-w01-r01-esx08.sfo.rainpole.io</v>
      </c>
      <c r="D91" s="347"/>
      <c r="E91" s="337"/>
    </row>
    <row r="92" spans="2:5" ht="20.05" customHeight="1" x14ac:dyDescent="0.35">
      <c r="B92" s="17" t="s">
        <v>231</v>
      </c>
      <c r="C92" s="89" t="str">
        <f>IF(cluster_wld_domain_chosen="VI Workload Domain",CONCATENATE(this_instance,"01-w0",wld_domain_number_chosen,"-r01-esx09",".",sample_child_dns_zone),CONCATENATE(this_instance,"01-m01","-r01-esx09",".",sample_child_dns_zone))</f>
        <v>sfo01-w01-r01-esx09.sfo.rainpole.io</v>
      </c>
      <c r="D92" s="347"/>
      <c r="E92" s="337"/>
    </row>
    <row r="93" spans="2:5" ht="20.05" customHeight="1" x14ac:dyDescent="0.35">
      <c r="B93" s="17" t="s">
        <v>233</v>
      </c>
      <c r="C93" s="89" t="str">
        <f>IF(cluster_wld_domain_chosen="VI Workload Domain",CONCATENATE(this_instance,"01-w0",wld_domain_number_chosen,"-r01-esx10",".",sample_child_dns_zone),CONCATENATE(this_instance,"01-m01","-r01-esx10",".",sample_child_dns_zone))</f>
        <v>sfo01-w01-r01-esx10.sfo.rainpole.io</v>
      </c>
      <c r="D93" s="347"/>
      <c r="E93" s="337"/>
    </row>
    <row r="94" spans="2:5" ht="20.05" customHeight="1" x14ac:dyDescent="0.35">
      <c r="B94" s="17" t="s">
        <v>235</v>
      </c>
      <c r="C94" s="89" t="str">
        <f>IF(cluster_wld_domain_chosen="VI Workload Domain",CONCATENATE(this_instance,"01-w0",wld_domain_number_chosen,"-r01-esx11",".",sample_child_dns_zone),CONCATENATE(this_instance,"01-m01","-r01-esx11",".",sample_child_dns_zone))</f>
        <v>sfo01-w01-r01-esx11.sfo.rainpole.io</v>
      </c>
      <c r="D94" s="347"/>
      <c r="E94" s="337"/>
    </row>
    <row r="95" spans="2:5" ht="20.05" customHeight="1" x14ac:dyDescent="0.35">
      <c r="B95" s="17" t="s">
        <v>237</v>
      </c>
      <c r="C95" s="89" t="str">
        <f>IF(cluster_wld_domain_chosen="VI Workload Domain",CONCATENATE(this_instance,"01-w0",wld_domain_number_chosen,"-r01-esx12",".",sample_child_dns_zone),CONCATENATE(this_instance,"01-m01","-r01-esx12",".",sample_child_dns_zone))</f>
        <v>sfo01-w01-r01-esx12.sfo.rainpole.io</v>
      </c>
      <c r="D95" s="347"/>
      <c r="E95" s="337"/>
    </row>
    <row r="96" spans="2:5" ht="20.05" customHeight="1" x14ac:dyDescent="0.35">
      <c r="B96" s="17" t="s">
        <v>239</v>
      </c>
      <c r="C96" s="89" t="str">
        <f>IF(cluster_wld_domain_chosen="VI Workload Domain",CONCATENATE(this_instance,"01-w0",wld_domain_number_chosen,"-r01-esx13",".",sample_child_dns_zone),CONCATENATE(this_instance,"01-m01","-r01-esx13",".",sample_child_dns_zone))</f>
        <v>sfo01-w01-r01-esx13.sfo.rainpole.io</v>
      </c>
      <c r="D96" s="347"/>
      <c r="E96" s="337"/>
    </row>
    <row r="97" spans="2:5" ht="20.05" customHeight="1" x14ac:dyDescent="0.35">
      <c r="B97" s="17" t="s">
        <v>241</v>
      </c>
      <c r="C97" s="89" t="str">
        <f>IF(cluster_wld_domain_chosen="VI Workload Domain",CONCATENATE(this_instance,"01-w0",wld_domain_number_chosen,"-r01-esx14",".",sample_child_dns_zone),CONCATENATE(this_instance,"01-m01","-r01-esx14",".",sample_child_dns_zone))</f>
        <v>sfo01-w01-r01-esx14.sfo.rainpole.io</v>
      </c>
      <c r="D97" s="347"/>
      <c r="E97" s="337"/>
    </row>
    <row r="98" spans="2:5" ht="20.05" customHeight="1" x14ac:dyDescent="0.35">
      <c r="B98" s="17" t="s">
        <v>243</v>
      </c>
      <c r="C98" s="89" t="str">
        <f>IF(cluster_wld_domain_chosen="VI Workload Domain",CONCATENATE(this_instance,"01-w0",wld_domain_number_chosen,"-r01-esx15",".",sample_child_dns_zone),CONCATENATE(this_instance,"01-m01","-r01-esx15",".",sample_child_dns_zone))</f>
        <v>sfo01-w01-r01-esx15.sfo.rainpole.io</v>
      </c>
      <c r="D98" s="347"/>
      <c r="E98" s="337"/>
    </row>
    <row r="99" spans="2:5" ht="20.05" customHeight="1" x14ac:dyDescent="0.35">
      <c r="B99" s="17" t="s">
        <v>245</v>
      </c>
      <c r="C99" s="89" t="str">
        <f>IF(cluster_wld_domain_chosen="VI Workload Domain",CONCATENATE(this_instance,"01-w0",wld_domain_number_chosen,"-r01-esx16",".",sample_child_dns_zone),CONCATENATE(this_instance,"01-m01","-r01-esx16",".",sample_child_dns_zone))</f>
        <v>sfo01-w01-r01-esx16.sfo.rainpole.io</v>
      </c>
      <c r="D99" s="347"/>
      <c r="E99" s="337"/>
    </row>
    <row r="100" spans="2:5" ht="20.05" customHeight="1" x14ac:dyDescent="0.35">
      <c r="B100" s="17" t="s">
        <v>264</v>
      </c>
      <c r="C100" s="78" t="s">
        <v>265</v>
      </c>
      <c r="D100" s="337" t="str">
        <f>IF(OR(cluster_principal_storage_chosen="vSAN-ESA",cluster_principal_storage_chosen="vSAN Storage Cluster",cluster_principal_storage_chosen="vSAN-OSA",cluster_principal_storage_chosen="vSAN Compute Cluster"),"vSAN",
IF(cluster_principal_storage_chosen="VMFS on Fibre Channel (FC)","VMFS on FC",
IF(cluster_principal_storage_chosen="NFSv3","NFS")))</f>
        <v>vSAN</v>
      </c>
      <c r="E100" s="337"/>
    </row>
    <row r="101" spans="2:5" ht="20.05" customHeight="1" x14ac:dyDescent="0.35">
      <c r="B101" s="17" t="s">
        <v>266</v>
      </c>
      <c r="C101" s="78" t="s">
        <v>267</v>
      </c>
      <c r="D101" s="337" t="str">
        <f>IF(cluster_principal_storage_chosen="vSAN Storage Cluster","vSAN Storage",IF(cluster_principal_storage_chosen="vSAN Compute Cluster","Compute Cluster",IF(OR(cluster_principal_storage_chosen="vSAN-ESA",cluster_principal_storage_chosen="vSAN-OSA"),"vSAN HCI","")))</f>
        <v>vSAN HCI</v>
      </c>
      <c r="E101" s="4"/>
    </row>
    <row r="102" spans="2:5" ht="20.05" customHeight="1" x14ac:dyDescent="0.35">
      <c r="B102" s="17" t="s">
        <v>268</v>
      </c>
      <c r="C102" s="78" t="s">
        <v>159</v>
      </c>
      <c r="D102" s="337" t="str">
        <f>IF(OR(cluster_principal_storage_chosen="vSAN-ESA",cluster_principal_storage_chosen="vSAN Storage Cluster",cluster_principal_storage_chosen="vSAN Compute Cluster"),"Selected","Unselected")</f>
        <v>Selected</v>
      </c>
      <c r="E102" s="337"/>
    </row>
    <row r="103" spans="2:5" ht="20.05" customHeight="1" x14ac:dyDescent="0.35">
      <c r="B103" s="17" t="s">
        <v>250</v>
      </c>
      <c r="C103" s="78" t="str">
        <f>C48</f>
        <v>sfo01-w01-r01-network-pool-01</v>
      </c>
      <c r="D103" s="337" t="str">
        <f>cluster_az1_pool_name</f>
        <v>Value Missing</v>
      </c>
      <c r="E103" s="337"/>
    </row>
    <row r="104" spans="2:5" ht="20.05" customHeight="1" x14ac:dyDescent="0.35">
      <c r="B104" s="17" t="s">
        <v>46</v>
      </c>
      <c r="C104" s="78" t="s">
        <v>269</v>
      </c>
      <c r="D104" s="347"/>
      <c r="E104" s="337"/>
    </row>
    <row r="105" spans="2:5" ht="20.05" customHeight="1" x14ac:dyDescent="0.35">
      <c r="B105" s="17" t="s">
        <v>29</v>
      </c>
      <c r="C105" s="78" t="s">
        <v>30</v>
      </c>
      <c r="D105" s="347"/>
      <c r="E105" s="337"/>
    </row>
    <row r="106" spans="2:5" ht="16" customHeight="1" x14ac:dyDescent="0.35"/>
    <row r="107" spans="2:5" ht="34" customHeight="1" x14ac:dyDescent="0.35">
      <c r="B107" s="509" t="s">
        <v>1164</v>
      </c>
      <c r="C107" s="510"/>
      <c r="D107" s="510"/>
      <c r="E107" s="511"/>
    </row>
    <row r="108" spans="2:5" ht="16" customHeight="1" x14ac:dyDescent="0.35"/>
    <row r="109" spans="2:5" ht="34" customHeight="1" x14ac:dyDescent="0.35">
      <c r="B109" s="407" t="s">
        <v>835</v>
      </c>
      <c r="C109" s="408"/>
      <c r="D109" s="408"/>
      <c r="E109" s="409"/>
    </row>
    <row r="110" spans="2:5" ht="20.05" customHeight="1" x14ac:dyDescent="0.35">
      <c r="B110" s="496" t="s">
        <v>1165</v>
      </c>
      <c r="C110" s="497"/>
      <c r="D110" s="497"/>
      <c r="E110" s="498"/>
    </row>
    <row r="111" spans="2:5" ht="20.05" customHeight="1" x14ac:dyDescent="0.35">
      <c r="B111" s="346" t="s">
        <v>17</v>
      </c>
      <c r="C111" s="346" t="s">
        <v>18</v>
      </c>
      <c r="D111" s="346" t="s">
        <v>19</v>
      </c>
      <c r="E111" s="346" t="s">
        <v>20</v>
      </c>
    </row>
    <row r="112" spans="2:5" ht="20.05" customHeight="1" x14ac:dyDescent="0.35">
      <c r="B112" s="17" t="s">
        <v>835</v>
      </c>
      <c r="C112" s="362" t="s">
        <v>762</v>
      </c>
      <c r="D112" s="337" t="str">
        <f>IF(cluster_principal_storage_chosen="vSAN Storage Cluster","vSAN-ESA",cluster_principal_storage_chosen)</f>
        <v>vSAN-ESA</v>
      </c>
      <c r="E112" s="337"/>
    </row>
    <row r="113" spans="2:5" ht="16" customHeight="1" x14ac:dyDescent="0.35"/>
    <row r="114" spans="2:5" ht="34" customHeight="1" x14ac:dyDescent="0.35">
      <c r="B114" s="407" t="s">
        <v>1166</v>
      </c>
      <c r="C114" s="408"/>
      <c r="D114" s="408"/>
      <c r="E114" s="409"/>
    </row>
    <row r="115" spans="2:5" ht="20.05" customHeight="1" x14ac:dyDescent="0.35">
      <c r="B115" s="496" t="s">
        <v>1167</v>
      </c>
      <c r="C115" s="497"/>
      <c r="D115" s="497"/>
      <c r="E115" s="498"/>
    </row>
    <row r="116" spans="2:5" ht="20.05" customHeight="1" x14ac:dyDescent="0.35">
      <c r="B116" s="346" t="s">
        <v>17</v>
      </c>
      <c r="C116" s="346" t="s">
        <v>18</v>
      </c>
      <c r="D116" s="346" t="s">
        <v>19</v>
      </c>
      <c r="E116" s="346" t="s">
        <v>20</v>
      </c>
    </row>
    <row r="117" spans="2:5" ht="20.05" customHeight="1" x14ac:dyDescent="0.35">
      <c r="B117" s="17" t="s">
        <v>210</v>
      </c>
      <c r="C117" s="362" t="str">
        <f>IF(cluster_wld_domain_chosen="VI Workload Domain",CONCATENATE(this_instance,"-w0",wld_domain_number_chosen,"-cl02"),CONCATENATE(this_instance,"-m01","-cl02"))</f>
        <v>sfo-w01-cl02</v>
      </c>
      <c r="D117" s="347"/>
      <c r="E117" s="337"/>
    </row>
    <row r="118" spans="2:5" ht="16" customHeight="1" x14ac:dyDescent="0.35"/>
    <row r="119" spans="2:5" ht="34" customHeight="1" x14ac:dyDescent="0.35">
      <c r="B119" s="407" t="s">
        <v>820</v>
      </c>
      <c r="C119" s="408"/>
      <c r="D119" s="408"/>
      <c r="E119" s="409"/>
    </row>
    <row r="120" spans="2:5" ht="20.05" customHeight="1" x14ac:dyDescent="0.35">
      <c r="B120" s="496" t="s">
        <v>821</v>
      </c>
      <c r="C120" s="497"/>
      <c r="D120" s="497"/>
      <c r="E120" s="498"/>
    </row>
    <row r="121" spans="2:5" ht="20.05" customHeight="1" x14ac:dyDescent="0.35">
      <c r="B121" s="346" t="s">
        <v>17</v>
      </c>
      <c r="C121" s="346" t="s">
        <v>18</v>
      </c>
      <c r="D121" s="346" t="s">
        <v>19</v>
      </c>
      <c r="E121" s="346" t="s">
        <v>20</v>
      </c>
    </row>
    <row r="122" spans="2:5" ht="20.05" customHeight="1" x14ac:dyDescent="0.35">
      <c r="B122" s="17" t="s">
        <v>820</v>
      </c>
      <c r="C122" s="362" t="str">
        <f>IF(cluster_wld_domain_chosen="VI Workload Domain",CONCATENATE(this_instance,"-w0",wld_domain_number_chosen,"-cl02"),CONCATENATE(this_instance,"-m01","-cl02"))</f>
        <v>sfo-w01-cl02</v>
      </c>
      <c r="D122" s="347"/>
      <c r="E122" s="337"/>
    </row>
    <row r="123" spans="2:5" ht="16" customHeight="1" x14ac:dyDescent="0.35"/>
    <row r="124" spans="2:5" ht="34" customHeight="1" x14ac:dyDescent="0.35">
      <c r="B124" s="407" t="str">
        <f>IF(OR(wld_principal_storage_chosen="vSAN-ESA",wld_principal_storage_chosen="vSAN-OSA"),"vSAN Storage",IF(wld_principal_storage_chosen="NFSv3","NFS Storage",""))</f>
        <v>vSAN Storage</v>
      </c>
      <c r="C124" s="408"/>
      <c r="D124" s="408"/>
      <c r="E124" s="409"/>
    </row>
    <row r="125" spans="2:5" ht="20.05" customHeight="1" x14ac:dyDescent="0.35">
      <c r="B125" s="496" t="s">
        <v>1168</v>
      </c>
      <c r="C125" s="497"/>
      <c r="D125" s="497"/>
      <c r="E125" s="498"/>
    </row>
    <row r="126" spans="2:5" ht="20.05" customHeight="1" x14ac:dyDescent="0.35">
      <c r="B126" s="346" t="s">
        <v>17</v>
      </c>
      <c r="C126" s="346" t="s">
        <v>18</v>
      </c>
      <c r="D126" s="346" t="s">
        <v>19</v>
      </c>
      <c r="E126" s="346" t="s">
        <v>20</v>
      </c>
    </row>
    <row r="127" spans="2:5" ht="20.05" customHeight="1" x14ac:dyDescent="0.35">
      <c r="B127" s="4" t="s">
        <v>838</v>
      </c>
      <c r="C127" s="362" t="s">
        <v>839</v>
      </c>
      <c r="D127" s="337" t="str">
        <f>cluster_vsan_type</f>
        <v>vSAN HCI</v>
      </c>
      <c r="E127" s="4" t="s">
        <v>1169</v>
      </c>
    </row>
    <row r="128" spans="2:5" ht="20.05" customHeight="1" x14ac:dyDescent="0.35">
      <c r="B128" s="4" t="s">
        <v>1170</v>
      </c>
      <c r="C128" s="362" t="str">
        <f>CONCATENATE(this_instance,"-w0",wld_domain_number_chosen,"-cl01")</f>
        <v>sfo-w01-cl01</v>
      </c>
      <c r="D128" s="347"/>
      <c r="E128" s="4"/>
    </row>
    <row r="129" spans="2:5" ht="20.05" customHeight="1" x14ac:dyDescent="0.35">
      <c r="B129" s="4" t="s">
        <v>279</v>
      </c>
      <c r="C129" s="362" t="str">
        <f>IF(cluster_wld_domain_chosen="VI Workload Domain",CONCATENATE(sample_wld_sddc_domain,"-",sample_cluster_name,"-vsan01"),CONCATENATE(sample_mgmt_sddc_domain,"-",sample_cluster_name,"-vsan01"))</f>
        <v>sfo-w01-sfo-w01-cl02-vsan01</v>
      </c>
      <c r="D129" s="347"/>
      <c r="E129" s="337" t="s">
        <v>840</v>
      </c>
    </row>
    <row r="130" spans="2:5" ht="20.05" customHeight="1" x14ac:dyDescent="0.35">
      <c r="B130" s="4" t="s">
        <v>841</v>
      </c>
      <c r="C130" s="362" t="s">
        <v>145</v>
      </c>
      <c r="D130" s="337" t="str">
        <f>IF(cluster_secondary_storage_result="Included","Selected","Unselected")</f>
        <v>Unselected</v>
      </c>
      <c r="E130" s="337" t="str">
        <f>IF(AND(cluster_secondary_storage_chosen&lt;&gt;"vSAN Storage Client Network",cluster_vsan_type="vSAN Storage"),"To use vSAN Storage Client Network it should be enabled in Deploy and New Cluster Options section","")</f>
        <v/>
      </c>
    </row>
    <row r="131" spans="2:5" ht="20.05" customHeight="1" x14ac:dyDescent="0.35">
      <c r="B131" s="4" t="str">
        <f>IF(wld_principal_storage_chosen="vSAN-ESA","Storage Policy", "vSAN: Failures to Tolerate (FTT)")</f>
        <v>Storage Policy</v>
      </c>
      <c r="C131" s="362">
        <v>1</v>
      </c>
      <c r="D131" s="347" t="s">
        <v>842</v>
      </c>
      <c r="E131" s="337"/>
    </row>
    <row r="132" spans="2:5" ht="20.05" customHeight="1" x14ac:dyDescent="0.35">
      <c r="B132" s="4" t="s">
        <v>843</v>
      </c>
      <c r="C132" s="362" t="s">
        <v>145</v>
      </c>
      <c r="D132" s="347" t="s">
        <v>145</v>
      </c>
      <c r="E132" s="337"/>
    </row>
    <row r="133" spans="2:5" ht="20.05" customHeight="1" x14ac:dyDescent="0.35">
      <c r="B133" s="152" t="s">
        <v>844</v>
      </c>
      <c r="C133" s="362" t="str">
        <f>IF(cluster_wld_domain_chosen="VI Workload Domain",CONCATENATE(this_instance,"-w0",wld_domain_number_chosen,"-cl02-ds-vmfs01"),CONCATENATE(this_instance,"-m01","-cl02-ds-vmfs01"))</f>
        <v>sfo-w01-cl02-ds-vmfs01</v>
      </c>
      <c r="D133" s="347"/>
      <c r="E133" s="337"/>
    </row>
    <row r="134" spans="2:5" ht="20.05" customHeight="1" x14ac:dyDescent="0.35">
      <c r="B134" s="22" t="s">
        <v>845</v>
      </c>
      <c r="C134" s="362" t="str">
        <f>IF(cluster_wld_domain_chosen="VI Workload Domain",CONCATENATE(this_instance,"-w0",wld_domain_number_chosen,"-cl02-ds-nfs01"),CONCATENATE(this_instance,"-m01","-cl02-ds-nfs01"))</f>
        <v>sfo-w01-cl02-ds-nfs01</v>
      </c>
      <c r="D134" s="347"/>
      <c r="E134" s="337"/>
    </row>
    <row r="135" spans="2:5" ht="20.05" customHeight="1" x14ac:dyDescent="0.35">
      <c r="B135" s="22" t="s">
        <v>846</v>
      </c>
      <c r="C135" s="362" t="str">
        <f>IF(cluster_wld_domain_chosen="VI Workload Domain",CONCATENATE(this_instance,"-w0",wld_domain_number_chosen,"-cl02-ds-nfs01-share"),CONCATENATE(this_instance,"-m01","-cl02-ds-nfs01-share"))</f>
        <v>sfo-w01-cl02-ds-nfs01-share</v>
      </c>
      <c r="D135" s="347"/>
      <c r="E135" s="337"/>
    </row>
    <row r="136" spans="2:5" ht="20.05" customHeight="1" x14ac:dyDescent="0.35">
      <c r="B136" s="22" t="s">
        <v>847</v>
      </c>
      <c r="C136" s="362" t="str">
        <f>IF(cluster_wld_domain_chosen="VI Workload Domain",CONCATENATE(prefix_wld_az1_cidr,"15.4"),CONCATENATE(prefix_mgmt_az1_cidr,"15.4"))</f>
        <v>10.13.15.4</v>
      </c>
      <c r="D136" s="347"/>
      <c r="E136" s="337"/>
    </row>
    <row r="137" spans="2:5" ht="16" customHeight="1" x14ac:dyDescent="0.35">
      <c r="B137" s="7"/>
      <c r="C137" s="7"/>
      <c r="D137" s="7"/>
      <c r="E137" s="7"/>
    </row>
    <row r="138" spans="2:5" ht="34" customHeight="1" x14ac:dyDescent="0.35">
      <c r="B138" s="407" t="s">
        <v>848</v>
      </c>
      <c r="C138" s="408"/>
      <c r="D138" s="408"/>
      <c r="E138" s="409"/>
    </row>
    <row r="139" spans="2:5" ht="20.05" customHeight="1" x14ac:dyDescent="0.35">
      <c r="B139" s="496"/>
      <c r="C139" s="497"/>
      <c r="D139" s="497"/>
      <c r="E139" s="498"/>
    </row>
    <row r="140" spans="2:5" ht="20.05" customHeight="1" x14ac:dyDescent="0.35">
      <c r="B140" s="346" t="s">
        <v>17</v>
      </c>
      <c r="C140" s="346" t="s">
        <v>18</v>
      </c>
      <c r="D140" s="346" t="s">
        <v>19</v>
      </c>
      <c r="E140" s="346" t="s">
        <v>20</v>
      </c>
    </row>
    <row r="141" spans="2:5" ht="20.05" customHeight="1" x14ac:dyDescent="0.35">
      <c r="B141" s="17" t="s">
        <v>215</v>
      </c>
      <c r="C141" s="362" t="str">
        <f t="array" ref="C141:C156">sample_wld_az1_host_fqdns</f>
        <v>sfo01-w01-r01-esx01.sfo.rainpole.io</v>
      </c>
      <c r="D141" s="337" t="str">
        <f t="array" ref="D141:D156">cluster_az1_host_fqdns</f>
        <v>Value Missing</v>
      </c>
      <c r="E141" s="337"/>
    </row>
    <row r="142" spans="2:5" ht="20.05" customHeight="1" x14ac:dyDescent="0.35">
      <c r="B142" s="17" t="s">
        <v>217</v>
      </c>
      <c r="C142" s="362" t="str">
        <v>sfo01-w01-r01-esx02.sfo.rainpole.io</v>
      </c>
      <c r="D142" s="337" t="str">
        <v>Value Missing</v>
      </c>
      <c r="E142" s="337"/>
    </row>
    <row r="143" spans="2:5" ht="20.05" customHeight="1" x14ac:dyDescent="0.35">
      <c r="B143" s="17" t="s">
        <v>219</v>
      </c>
      <c r="C143" s="362" t="str">
        <v>sfo01-w01-r01-esx03.sfo.rainpole.io</v>
      </c>
      <c r="D143" s="337" t="str">
        <v>Value Missing</v>
      </c>
      <c r="E143" s="337"/>
    </row>
    <row r="144" spans="2:5" ht="20.05" customHeight="1" x14ac:dyDescent="0.35">
      <c r="B144" s="17" t="s">
        <v>221</v>
      </c>
      <c r="C144" s="362" t="str">
        <v>sfo01-w01-r01-esx04.sfo.rainpole.io</v>
      </c>
      <c r="D144" s="337" t="str">
        <v>Value Missing</v>
      </c>
      <c r="E144" s="337"/>
    </row>
    <row r="145" spans="2:5" ht="20.05" customHeight="1" x14ac:dyDescent="0.35">
      <c r="B145" s="17" t="s">
        <v>223</v>
      </c>
      <c r="C145" s="362" t="str">
        <v>sfo01-w01-r01-esx05.sfo.rainpole.io</v>
      </c>
      <c r="D145" s="337" t="str">
        <v>Value Missing</v>
      </c>
      <c r="E145" s="17"/>
    </row>
    <row r="146" spans="2:5" ht="20.05" customHeight="1" x14ac:dyDescent="0.35">
      <c r="B146" s="17" t="s">
        <v>225</v>
      </c>
      <c r="C146" s="362" t="str">
        <v>sfo01-w01-r01-esx06.sfo.rainpole.io</v>
      </c>
      <c r="D146" s="337" t="str">
        <v>Value Missing</v>
      </c>
      <c r="E146" s="17"/>
    </row>
    <row r="147" spans="2:5" ht="20.05" customHeight="1" x14ac:dyDescent="0.35">
      <c r="B147" s="17" t="s">
        <v>227</v>
      </c>
      <c r="C147" s="362" t="str">
        <v>sfo01-w01-r01-esx07.sfo.rainpole.io</v>
      </c>
      <c r="D147" s="337" t="str">
        <v>Value Missing</v>
      </c>
      <c r="E147" s="17"/>
    </row>
    <row r="148" spans="2:5" ht="20.05" customHeight="1" x14ac:dyDescent="0.35">
      <c r="B148" s="17" t="s">
        <v>229</v>
      </c>
      <c r="C148" s="362" t="str">
        <v>sfo01-w01-r01-esx08.sfo.rainpole.io</v>
      </c>
      <c r="D148" s="337" t="str">
        <v>Value Missing</v>
      </c>
      <c r="E148" s="17"/>
    </row>
    <row r="149" spans="2:5" ht="20.05" customHeight="1" x14ac:dyDescent="0.35">
      <c r="B149" s="17" t="s">
        <v>231</v>
      </c>
      <c r="C149" s="362" t="str">
        <v>sfo01-w01-r01-esx09.sfo.rainpole.io</v>
      </c>
      <c r="D149" s="337" t="str">
        <v>Value Missing</v>
      </c>
      <c r="E149" s="17"/>
    </row>
    <row r="150" spans="2:5" ht="20.05" customHeight="1" x14ac:dyDescent="0.35">
      <c r="B150" s="17" t="s">
        <v>233</v>
      </c>
      <c r="C150" s="362" t="str">
        <v>sfo01-w01-r01-esx10.sfo.rainpole.io</v>
      </c>
      <c r="D150" s="337" t="str">
        <v>Value Missing</v>
      </c>
      <c r="E150" s="153"/>
    </row>
    <row r="151" spans="2:5" ht="20.05" customHeight="1" x14ac:dyDescent="0.35">
      <c r="B151" s="17" t="s">
        <v>235</v>
      </c>
      <c r="C151" s="362" t="str">
        <v>sfo01-w01-r01-esx11.sfo.rainpole.io</v>
      </c>
      <c r="D151" s="337" t="str">
        <v>Value Missing</v>
      </c>
      <c r="E151" s="17"/>
    </row>
    <row r="152" spans="2:5" ht="20.05" customHeight="1" x14ac:dyDescent="0.35">
      <c r="B152" s="17" t="s">
        <v>237</v>
      </c>
      <c r="C152" s="362" t="str">
        <v>sfo01-w01-r01-esx12.sfo.rainpole.io</v>
      </c>
      <c r="D152" s="337" t="str">
        <v>Value Missing</v>
      </c>
      <c r="E152" s="17"/>
    </row>
    <row r="153" spans="2:5" ht="20.05" customHeight="1" x14ac:dyDescent="0.35">
      <c r="B153" s="17" t="s">
        <v>239</v>
      </c>
      <c r="C153" s="362" t="str">
        <v>sfo01-w01-r01-esx13.sfo.rainpole.io</v>
      </c>
      <c r="D153" s="337" t="str">
        <v>Value Missing</v>
      </c>
      <c r="E153" s="17"/>
    </row>
    <row r="154" spans="2:5" ht="20.05" customHeight="1" x14ac:dyDescent="0.35">
      <c r="B154" s="17" t="s">
        <v>241</v>
      </c>
      <c r="C154" s="362" t="str">
        <v>sfo01-w01-r01-esx14.sfo.rainpole.io</v>
      </c>
      <c r="D154" s="337" t="str">
        <v>Value Missing</v>
      </c>
      <c r="E154" s="17"/>
    </row>
    <row r="155" spans="2:5" ht="20.05" customHeight="1" x14ac:dyDescent="0.35">
      <c r="B155" s="17" t="s">
        <v>243</v>
      </c>
      <c r="C155" s="362" t="str">
        <v>sfo01-w01-r01-esx15.sfo.rainpole.io</v>
      </c>
      <c r="D155" s="337" t="str">
        <v>Value Missing</v>
      </c>
      <c r="E155" s="17"/>
    </row>
    <row r="156" spans="2:5" ht="20.05" customHeight="1" x14ac:dyDescent="0.35">
      <c r="B156" s="17" t="s">
        <v>245</v>
      </c>
      <c r="C156" s="362" t="str">
        <v>sfo01-w01-r01-esx16.sfo.rainpole.io</v>
      </c>
      <c r="D156" s="337" t="str">
        <v>Value Missing</v>
      </c>
      <c r="E156" s="17"/>
    </row>
    <row r="157" spans="2:5" ht="16" customHeight="1" x14ac:dyDescent="0.35"/>
    <row r="158" spans="2:5" ht="34" customHeight="1" x14ac:dyDescent="0.35">
      <c r="B158" s="407" t="s">
        <v>849</v>
      </c>
      <c r="C158" s="408"/>
      <c r="D158" s="408"/>
      <c r="E158" s="409"/>
    </row>
    <row r="159" spans="2:5" ht="20.05" customHeight="1" x14ac:dyDescent="0.35">
      <c r="B159" s="496" t="s">
        <v>850</v>
      </c>
      <c r="C159" s="497"/>
      <c r="D159" s="497"/>
      <c r="E159" s="498"/>
    </row>
    <row r="160" spans="2:5" ht="20.05" customHeight="1" x14ac:dyDescent="0.35">
      <c r="B160" s="346" t="s">
        <v>17</v>
      </c>
      <c r="C160" s="346" t="s">
        <v>18</v>
      </c>
      <c r="D160" s="346" t="s">
        <v>19</v>
      </c>
      <c r="E160" s="346" t="s">
        <v>20</v>
      </c>
    </row>
    <row r="161" spans="2:5" ht="20.05" customHeight="1" x14ac:dyDescent="0.35">
      <c r="B161" s="17" t="s">
        <v>851</v>
      </c>
      <c r="C161" s="362" t="s">
        <v>852</v>
      </c>
      <c r="D161" s="347" t="s">
        <v>852</v>
      </c>
      <c r="E161" s="337"/>
    </row>
    <row r="162" spans="2:5" ht="20.05" customHeight="1" x14ac:dyDescent="0.35">
      <c r="B162" s="17" t="s">
        <v>853</v>
      </c>
      <c r="C162" s="362" t="s">
        <v>145</v>
      </c>
      <c r="D162" s="347" t="s">
        <v>145</v>
      </c>
      <c r="E162" s="337" t="s">
        <v>1171</v>
      </c>
    </row>
    <row r="163" spans="2:5" ht="16" customHeight="1" x14ac:dyDescent="0.35"/>
    <row r="164" spans="2:5" ht="34" customHeight="1" x14ac:dyDescent="0.35">
      <c r="B164" s="392" t="s">
        <v>855</v>
      </c>
      <c r="C164" s="393"/>
      <c r="D164" s="393"/>
      <c r="E164" s="394"/>
    </row>
    <row r="165" spans="2:5" ht="20.05" customHeight="1" x14ac:dyDescent="0.35">
      <c r="B165" s="154" t="s">
        <v>1172</v>
      </c>
      <c r="C165" s="155"/>
      <c r="D165" s="155"/>
      <c r="E165" s="156"/>
    </row>
    <row r="166" spans="2:5" ht="20.05" customHeight="1" x14ac:dyDescent="0.35">
      <c r="B166" s="346" t="s">
        <v>17</v>
      </c>
      <c r="C166" s="346" t="s">
        <v>18</v>
      </c>
      <c r="D166" s="346" t="s">
        <v>19</v>
      </c>
      <c r="E166" s="346" t="s">
        <v>20</v>
      </c>
    </row>
    <row r="167" spans="2:5" ht="20.05" customHeight="1" x14ac:dyDescent="0.35">
      <c r="B167" s="17" t="s">
        <v>857</v>
      </c>
      <c r="C167" s="362" t="str">
        <f>CONCATENATE(sample_cluster_name,"-vds01")</f>
        <v>sfo-w01-cl02-vds01</v>
      </c>
      <c r="D167" s="347"/>
      <c r="E167" s="337"/>
    </row>
    <row r="168" spans="2:5" ht="20.05" customHeight="1" x14ac:dyDescent="0.35">
      <c r="B168" s="17" t="s">
        <v>160</v>
      </c>
      <c r="C168" s="362">
        <v>9000</v>
      </c>
      <c r="D168" s="347"/>
      <c r="E168" s="337"/>
    </row>
    <row r="169" spans="2:5" ht="20.05" customHeight="1" x14ac:dyDescent="0.35">
      <c r="B169" s="17" t="s">
        <v>858</v>
      </c>
      <c r="C169" s="362" t="s">
        <v>859</v>
      </c>
      <c r="D169" s="347" t="s">
        <v>859</v>
      </c>
      <c r="E169" s="328" t="str">
        <f>IF(cluster_vds01_link_type_chosen="VDS Lag","Only supported via API. Use VCF.JSONGenerator to generate the JSON File once PnP is complete","Option is not visible in VMware Cloud Foundations Operations UI")</f>
        <v>Option is not visible in VMware Cloud Foundations Operations UI</v>
      </c>
    </row>
    <row r="170" spans="2:5" ht="20.05" customHeight="1" x14ac:dyDescent="0.35">
      <c r="B170" s="4" t="s">
        <v>860</v>
      </c>
      <c r="C170" s="84" t="str">
        <f>CONCATENATE("w01-cl02-vds1-lg")</f>
        <v>w01-cl02-vds1-lg</v>
      </c>
      <c r="D170" s="347"/>
      <c r="E170" s="328" t="str">
        <f>IF(cluster_vds01_link_type_chosen="VDS Uplinks","This input is masked out as you have chosen to configure VDS Uplinks","Option is not visible in VCF Operations UI. There is a 16 Character Limit for LAG Name")</f>
        <v>This input is masked out as you have chosen to configure VDS Uplinks</v>
      </c>
    </row>
    <row r="171" spans="2:5" ht="20.05" customHeight="1" x14ac:dyDescent="0.35">
      <c r="B171" s="4" t="s">
        <v>861</v>
      </c>
      <c r="C171" s="137" t="s">
        <v>862</v>
      </c>
      <c r="D171" s="347" t="s">
        <v>862</v>
      </c>
      <c r="E171" s="328" t="str">
        <f>IF(cluster_vds01_link_type_chosen="VDS Uplinks","This input is masked out as you have chosen to configure VDS Uplinks","Option is not visible in VMware Cloud Foundations Operations UI")</f>
        <v>This input is masked out as you have chosen to configure VDS Uplinks</v>
      </c>
    </row>
    <row r="172" spans="2:5" ht="20.05" customHeight="1" x14ac:dyDescent="0.35">
      <c r="B172" s="4" t="s">
        <v>863</v>
      </c>
      <c r="C172" s="137" t="s">
        <v>864</v>
      </c>
      <c r="D172" s="347" t="s">
        <v>864</v>
      </c>
      <c r="E172" s="328" t="str">
        <f>IF(cluster_vds01_link_type_chosen="VDS Uplinks","This input is masked out as you have chosen to configure VDS Uplinks","Option is not visible in VMware Cloud Foundations Operations UI")</f>
        <v>This input is masked out as you have chosen to configure VDS Uplinks</v>
      </c>
    </row>
    <row r="173" spans="2:5" ht="20.05" customHeight="1" x14ac:dyDescent="0.35">
      <c r="B173" s="4" t="s">
        <v>865</v>
      </c>
      <c r="C173" s="137" t="s">
        <v>866</v>
      </c>
      <c r="D173" s="347" t="s">
        <v>866</v>
      </c>
      <c r="E173" s="328" t="str">
        <f>IF(cluster_vds01_link_type_chosen="VDS Uplinks","This input is masked out as you have chosen to configure VDS Uplinks","Option is not visible in VMware Cloud Foundations Operations UI")</f>
        <v>This input is masked out as you have chosen to configure VDS Uplinks</v>
      </c>
    </row>
    <row r="174" spans="2:5" ht="20.05" customHeight="1" x14ac:dyDescent="0.35">
      <c r="B174" s="22" t="s">
        <v>867</v>
      </c>
      <c r="C174" s="159">
        <v>2</v>
      </c>
      <c r="D174" s="79"/>
      <c r="E174" s="161"/>
    </row>
    <row r="175" spans="2:5" ht="20.05" customHeight="1" x14ac:dyDescent="0.35">
      <c r="B175" s="17" t="s">
        <v>868</v>
      </c>
      <c r="C175" s="362" t="s">
        <v>869</v>
      </c>
      <c r="D175" s="347"/>
      <c r="E175" s="161"/>
    </row>
    <row r="176" spans="2:5" ht="20.05" customHeight="1" x14ac:dyDescent="0.35">
      <c r="B176" s="17" t="s">
        <v>870</v>
      </c>
      <c r="C176" s="362" t="str">
        <f>cluster_vds01_traffic_type</f>
        <v>Management vMotion vSAN NSX-Overlay</v>
      </c>
      <c r="D176" s="337" t="str">
        <f>cluster_vds01_traffic_type</f>
        <v>Management vMotion vSAN NSX-Overlay</v>
      </c>
      <c r="E176" s="337"/>
    </row>
    <row r="177" spans="2:5" ht="20.05" customHeight="1" x14ac:dyDescent="0.35">
      <c r="B177" s="496" t="s">
        <v>872</v>
      </c>
      <c r="C177" s="497"/>
      <c r="D177" s="497"/>
      <c r="E177" s="498"/>
    </row>
    <row r="178" spans="2:5" ht="20.05" customHeight="1" x14ac:dyDescent="0.35">
      <c r="B178" s="17" t="s">
        <v>873</v>
      </c>
      <c r="C178" s="362" t="str">
        <f>CONCATENATE(sample_cluster_name,"-vds02")</f>
        <v>sfo-w01-cl02-vds02</v>
      </c>
      <c r="D178" s="347"/>
      <c r="E178" s="337"/>
    </row>
    <row r="179" spans="2:5" ht="20.05" customHeight="1" x14ac:dyDescent="0.35">
      <c r="B179" s="17" t="s">
        <v>160</v>
      </c>
      <c r="C179" s="362">
        <v>9000</v>
      </c>
      <c r="D179" s="347"/>
      <c r="E179" s="337"/>
    </row>
    <row r="180" spans="2:5" ht="20.05" customHeight="1" x14ac:dyDescent="0.35">
      <c r="B180" s="17" t="s">
        <v>858</v>
      </c>
      <c r="C180" s="362" t="s">
        <v>859</v>
      </c>
      <c r="D180" s="347" t="s">
        <v>859</v>
      </c>
      <c r="E180" s="210" t="str">
        <f>IF(cluster_vds02_link_type_chosen="VDS Lag","Only supported via API. Use VCF.JSONGenerator to generate the JSON File once PnP is complete","Option is not visible in VMware Cloud Foundations Operations UI")</f>
        <v>Option is not visible in VMware Cloud Foundations Operations UI</v>
      </c>
    </row>
    <row r="181" spans="2:5" ht="20.05" customHeight="1" x14ac:dyDescent="0.35">
      <c r="B181" s="4" t="s">
        <v>860</v>
      </c>
      <c r="C181" s="84" t="str">
        <f>CONCATENATE("w01-cl02-vds2-lg")</f>
        <v>w01-cl02-vds2-lg</v>
      </c>
      <c r="D181" s="347"/>
      <c r="E181" s="210" t="str">
        <f>IF(cluster_vds02_link_type_chosen="VDS Uplinks","This input is masked out as you have chosen to configure VDS Uplinks","Option is not visible in VCF Operations UI. There is a 16 Character Limit for LAG Name")</f>
        <v>This input is masked out as you have chosen to configure VDS Uplinks</v>
      </c>
    </row>
    <row r="182" spans="2:5" ht="20.05" customHeight="1" x14ac:dyDescent="0.35">
      <c r="B182" s="4" t="s">
        <v>861</v>
      </c>
      <c r="C182" s="137" t="s">
        <v>862</v>
      </c>
      <c r="D182" s="347" t="s">
        <v>862</v>
      </c>
      <c r="E182" s="210" t="str">
        <f>IF(cluster_vds02_link_type_chosen="VDS Uplinks","This input is masked out as you have chosen to configure VDS Uplinks","Option is not visible in VMware Cloud Foundations Operations UI")</f>
        <v>This input is masked out as you have chosen to configure VDS Uplinks</v>
      </c>
    </row>
    <row r="183" spans="2:5" ht="20.05" customHeight="1" x14ac:dyDescent="0.35">
      <c r="B183" s="4" t="s">
        <v>863</v>
      </c>
      <c r="C183" s="137" t="s">
        <v>864</v>
      </c>
      <c r="D183" s="347" t="s">
        <v>864</v>
      </c>
      <c r="E183" s="210" t="str">
        <f>IF(cluster_vds02_link_type_chosen="VDS Uplinks","This input is masked out as you have chosen to configure VDS Uplinks","Option is not visible in VMware Cloud Foundations Operations UI")</f>
        <v>This input is masked out as you have chosen to configure VDS Uplinks</v>
      </c>
    </row>
    <row r="184" spans="2:5" ht="20.05" customHeight="1" x14ac:dyDescent="0.35">
      <c r="B184" s="4" t="s">
        <v>865</v>
      </c>
      <c r="C184" s="137" t="s">
        <v>866</v>
      </c>
      <c r="D184" s="347" t="s">
        <v>866</v>
      </c>
      <c r="E184" s="210" t="str">
        <f>IF(cluster_vds02_link_type_chosen="VDS Uplinks","This input is masked out as you have chosen to configure VDS Uplinks","Option is not visible in VMware Cloud Foundations Operations UI")</f>
        <v>This input is masked out as you have chosen to configure VDS Uplinks</v>
      </c>
    </row>
    <row r="185" spans="2:5" ht="20.05" customHeight="1" x14ac:dyDescent="0.35">
      <c r="B185" s="22" t="s">
        <v>867</v>
      </c>
      <c r="C185" s="159">
        <v>2</v>
      </c>
      <c r="D185" s="79"/>
      <c r="E185" s="161"/>
    </row>
    <row r="186" spans="2:5" ht="20.05" customHeight="1" x14ac:dyDescent="0.35">
      <c r="B186" s="17" t="s">
        <v>868</v>
      </c>
      <c r="C186" s="362" t="s">
        <v>874</v>
      </c>
      <c r="D186" s="347"/>
      <c r="E186" s="337"/>
    </row>
    <row r="187" spans="2:5" ht="20.05" customHeight="1" x14ac:dyDescent="0.35">
      <c r="B187" s="17" t="s">
        <v>870</v>
      </c>
      <c r="C187" s="362" t="s">
        <v>265</v>
      </c>
      <c r="D187" s="337" t="str">
        <f t="array" ref="D187">cluster_vds02_traffic_type</f>
        <v/>
      </c>
      <c r="E187" s="337"/>
    </row>
    <row r="188" spans="2:5" ht="20.05" customHeight="1" x14ac:dyDescent="0.35">
      <c r="B188" s="496" t="s">
        <v>875</v>
      </c>
      <c r="C188" s="497"/>
      <c r="D188" s="497"/>
      <c r="E188" s="498"/>
    </row>
    <row r="189" spans="2:5" ht="20.05" customHeight="1" x14ac:dyDescent="0.35">
      <c r="B189" s="17" t="s">
        <v>876</v>
      </c>
      <c r="C189" s="362" t="str">
        <f>CONCATENATE(sample_cluster_name,"-vds03")</f>
        <v>sfo-w01-cl02-vds03</v>
      </c>
      <c r="D189" s="347"/>
      <c r="E189" s="337"/>
    </row>
    <row r="190" spans="2:5" ht="20.05" customHeight="1" x14ac:dyDescent="0.35">
      <c r="B190" s="17" t="s">
        <v>160</v>
      </c>
      <c r="C190" s="362">
        <v>9000</v>
      </c>
      <c r="D190" s="347"/>
      <c r="E190" s="337"/>
    </row>
    <row r="191" spans="2:5" ht="20.05" customHeight="1" x14ac:dyDescent="0.35">
      <c r="B191" s="17" t="s">
        <v>858</v>
      </c>
      <c r="C191" s="362" t="s">
        <v>859</v>
      </c>
      <c r="D191" s="347" t="s">
        <v>859</v>
      </c>
      <c r="E191" s="337" t="str">
        <f>IF(cluster_vds_profile_chosen&lt;&gt;"Storage Traffic and NSX Traffic Separation",IF(cluster_vds03_link_type_chosen="VDS Lag","Only supported via API. Use VCF.JSONGenerator to generate the JSON File once PnP is complete","Option is not visible in VMware Cloud Foundations Operations UI"),"")</f>
        <v>Option is not visible in VMware Cloud Foundations Operations UI</v>
      </c>
    </row>
    <row r="192" spans="2:5" ht="20.05" customHeight="1" x14ac:dyDescent="0.35">
      <c r="B192" s="4" t="s">
        <v>860</v>
      </c>
      <c r="C192" s="84" t="str">
        <f>CONCATENATE("w01-cl02-vds3-lg")</f>
        <v>w01-cl02-vds3-lg</v>
      </c>
      <c r="D192" s="347"/>
      <c r="E192" s="337" t="str">
        <f>IF(cluster_vds_profile_chosen&lt;&gt;"Storage Traffic and NSX Traffic Separation",IF(cluster_vds03_link_type_chosen="VDS Uplinks","This input is masked out as you have chosen to configure VDS Uplinks","Option is not visible in VCF Operations UI. There is a 16 Character Limit for LAG Name"),"")</f>
        <v>This input is masked out as you have chosen to configure VDS Uplinks</v>
      </c>
    </row>
    <row r="193" spans="2:5" ht="20.05" customHeight="1" x14ac:dyDescent="0.35">
      <c r="B193" s="4" t="s">
        <v>861</v>
      </c>
      <c r="C193" s="137" t="s">
        <v>862</v>
      </c>
      <c r="D193" s="347" t="s">
        <v>862</v>
      </c>
      <c r="E193" s="337" t="str">
        <f>IF(cluster_vds_profile_chosen&lt;&gt;"Storage Traffic and NSX Traffic Separation",IF(cluster_vds03_link_type_chosen="VDS Uplinks","This input is masked out as you have chosen to configure VDS Uplinks","Option is not visible in VMware Cloud Foundations Operations UI"),"")</f>
        <v>This input is masked out as you have chosen to configure VDS Uplinks</v>
      </c>
    </row>
    <row r="194" spans="2:5" ht="20.05" customHeight="1" x14ac:dyDescent="0.35">
      <c r="B194" s="4" t="s">
        <v>863</v>
      </c>
      <c r="C194" s="137" t="s">
        <v>864</v>
      </c>
      <c r="D194" s="347" t="s">
        <v>864</v>
      </c>
      <c r="E194" s="337" t="str">
        <f>IF(cluster_vds_profile_chosen&lt;&gt;"Storage Traffic and NSX Traffic Separation",IF(cluster_vds03_link_type_chosen="VDS Uplinks","This input is masked out as you have chosen to configure VDS Uplinks","Option is not visible in VMware Cloud Foundations Operations UI"),"")</f>
        <v>This input is masked out as you have chosen to configure VDS Uplinks</v>
      </c>
    </row>
    <row r="195" spans="2:5" ht="20.05" customHeight="1" x14ac:dyDescent="0.35">
      <c r="B195" s="4" t="s">
        <v>865</v>
      </c>
      <c r="C195" s="137" t="s">
        <v>866</v>
      </c>
      <c r="D195" s="347" t="s">
        <v>866</v>
      </c>
      <c r="E195" s="337" t="str">
        <f>IF(cluster_vds_profile_chosen&lt;&gt;"Storage Traffic and NSX Traffic Separation",IF(cluster_vds03_link_type_chosen="VDS Uplinks","This input is masked out as you have chosen to configure VDS Uplinks","Option is not visible in VMware Cloud Foundations Operations UI"),"")</f>
        <v>This input is masked out as you have chosen to configure VDS Uplinks</v>
      </c>
    </row>
    <row r="196" spans="2:5" ht="20.05" customHeight="1" x14ac:dyDescent="0.35">
      <c r="B196" s="22" t="s">
        <v>867</v>
      </c>
      <c r="C196" s="159">
        <v>2</v>
      </c>
      <c r="D196" s="79"/>
      <c r="E196" s="161"/>
    </row>
    <row r="197" spans="2:5" ht="20.05" customHeight="1" x14ac:dyDescent="0.35">
      <c r="B197" s="17" t="s">
        <v>868</v>
      </c>
      <c r="C197" s="362" t="s">
        <v>878</v>
      </c>
      <c r="D197" s="347"/>
      <c r="E197" s="337"/>
    </row>
    <row r="198" spans="2:5" ht="20.05" customHeight="1" x14ac:dyDescent="0.35">
      <c r="B198" s="17" t="s">
        <v>870</v>
      </c>
      <c r="C198" s="362" t="s">
        <v>879</v>
      </c>
      <c r="D198" s="337" t="str">
        <f>cluster_vds03_traffic_type</f>
        <v/>
      </c>
      <c r="E198" s="337"/>
    </row>
    <row r="199" spans="2:5" ht="20.05" customHeight="1" x14ac:dyDescent="0.35">
      <c r="B199" s="154" t="s">
        <v>880</v>
      </c>
      <c r="C199" s="155"/>
      <c r="D199" s="155"/>
      <c r="E199" s="156"/>
    </row>
    <row r="200" spans="2:5" ht="20.05" customHeight="1" x14ac:dyDescent="0.35">
      <c r="B200" s="22" t="s">
        <v>185</v>
      </c>
      <c r="C200" s="362" t="str">
        <f>CONCATENATE(sample_cluster_name,"-pg-esx-mgmt")</f>
        <v>sfo-w01-cl02-pg-esx-mgmt</v>
      </c>
      <c r="D200" s="347"/>
      <c r="E200" s="153" t="s">
        <v>881</v>
      </c>
    </row>
    <row r="201" spans="2:5" ht="20.05" customHeight="1" x14ac:dyDescent="0.35">
      <c r="B201" s="22" t="s">
        <v>882</v>
      </c>
      <c r="C201" s="159" t="s">
        <v>883</v>
      </c>
      <c r="D201" s="79" t="s">
        <v>883</v>
      </c>
      <c r="E201" s="161" t="str">
        <f>IF(cluster_vds01_link_type_chosen="VDS Lag","This input is masked out as you have chosen to configure VDS LAG","")</f>
        <v/>
      </c>
    </row>
    <row r="202" spans="2:5" ht="20.05" customHeight="1" x14ac:dyDescent="0.35">
      <c r="B202" s="22" t="s">
        <v>884</v>
      </c>
      <c r="C202" s="159" t="s">
        <v>862</v>
      </c>
      <c r="D202" s="79" t="s">
        <v>862</v>
      </c>
      <c r="E202" s="161" t="str">
        <f>IF(cluster_vds01_link_type_chosen="VDS Lag","This input is masked out as you have chosen to configure VDS LAG","")</f>
        <v/>
      </c>
    </row>
    <row r="203" spans="2:5" ht="20.05" customHeight="1" x14ac:dyDescent="0.35">
      <c r="B203" s="22" t="s">
        <v>885</v>
      </c>
      <c r="C203" s="159" t="s">
        <v>862</v>
      </c>
      <c r="D203" s="79" t="s">
        <v>862</v>
      </c>
      <c r="E203" s="161" t="str">
        <f>IF(cluster_vds01_link_type_chosen="VDS Lag","This input is masked out as you have chosen to configure VDS LAG","")</f>
        <v/>
      </c>
    </row>
    <row r="204" spans="2:5" ht="20.05" customHeight="1" x14ac:dyDescent="0.35">
      <c r="B204" s="154" t="s">
        <v>886</v>
      </c>
      <c r="C204" s="155"/>
      <c r="D204" s="155"/>
      <c r="E204" s="156"/>
    </row>
    <row r="205" spans="2:5" ht="20.05" customHeight="1" x14ac:dyDescent="0.35">
      <c r="B205" s="22" t="s">
        <v>185</v>
      </c>
      <c r="C205" s="362" t="str">
        <f>CONCATENATE(sample_cluster_name,"-pg-vm-mgmt")</f>
        <v>sfo-w01-cl02-pg-vm-mgmt</v>
      </c>
      <c r="D205" s="347"/>
      <c r="E205" s="161" t="s">
        <v>1173</v>
      </c>
    </row>
    <row r="206" spans="2:5" ht="20.05" customHeight="1" x14ac:dyDescent="0.35">
      <c r="B206" s="22" t="s">
        <v>882</v>
      </c>
      <c r="C206" s="159" t="s">
        <v>883</v>
      </c>
      <c r="D206" s="79" t="s">
        <v>883</v>
      </c>
      <c r="E206" s="161" t="str">
        <f>IF(cluster_vds01_link_type_chosen="VDS Lag","This input is masked out as you have chosen to configure VDS LAG","")</f>
        <v/>
      </c>
    </row>
    <row r="207" spans="2:5" ht="20.05" customHeight="1" x14ac:dyDescent="0.35">
      <c r="B207" s="22" t="s">
        <v>884</v>
      </c>
      <c r="C207" s="159" t="s">
        <v>862</v>
      </c>
      <c r="D207" s="79" t="s">
        <v>862</v>
      </c>
      <c r="E207" s="161" t="str">
        <f>IF(cluster_vds01_link_type_chosen="VDS Lag","This input is masked out as you have chosen to configure VDS LAG","")</f>
        <v/>
      </c>
    </row>
    <row r="208" spans="2:5" ht="20.05" customHeight="1" x14ac:dyDescent="0.35">
      <c r="B208" s="22" t="s">
        <v>885</v>
      </c>
      <c r="C208" s="159" t="s">
        <v>862</v>
      </c>
      <c r="D208" s="79" t="s">
        <v>862</v>
      </c>
      <c r="E208" s="161" t="str">
        <f>IF(cluster_vds01_link_type_chosen="VDS Lag","This input is masked out as you have chosen to configure VDS LAG","")</f>
        <v/>
      </c>
    </row>
    <row r="209" spans="2:5" ht="20.05" customHeight="1" x14ac:dyDescent="0.35">
      <c r="B209" s="154" t="s">
        <v>888</v>
      </c>
      <c r="C209" s="155"/>
      <c r="D209" s="155"/>
      <c r="E209" s="156"/>
    </row>
    <row r="210" spans="2:5" ht="20.05" customHeight="1" x14ac:dyDescent="0.35">
      <c r="B210" s="22" t="s">
        <v>185</v>
      </c>
      <c r="C210" s="362" t="str">
        <f>CONCATENATE(sample_cluster_name,"-pg-vmotion")</f>
        <v>sfo-w01-cl02-pg-vmotion</v>
      </c>
      <c r="D210" s="347"/>
      <c r="E210" s="337" t="str">
        <f>IF(wld_cl01_vds_profile_chosen="Storage Traffic Separation","Portgroup will be created on Primary Distributed Switch",
IF(wld_cl01_vds_profile_chosen="NSX Traffic Separation","Portgroup will be created on Primary Distributed Switch",
IF(wld_cl01_vds_profile_chosen="Storage Traffic and NSX Traffic Separation","Portgroup will be created on Primary Distributed Switch",
IF(wld_cl01_vds_profile_chosen="Custom","","Portgroup will be created on Primary Distributed Switch"))))</f>
        <v>Portgroup will be created on Primary Distributed Switch</v>
      </c>
    </row>
    <row r="211" spans="2:5" ht="20.05" customHeight="1" x14ac:dyDescent="0.35">
      <c r="B211" s="22" t="s">
        <v>882</v>
      </c>
      <c r="C211" s="159" t="s">
        <v>883</v>
      </c>
      <c r="D211" s="79" t="s">
        <v>883</v>
      </c>
      <c r="E211" s="161" t="str">
        <f>IF(cluster_vds01_link_type_chosen="VDS Lag","This input is masked out as you have chosen to configure VDS LAG","")</f>
        <v/>
      </c>
    </row>
    <row r="212" spans="2:5" ht="20.05" customHeight="1" x14ac:dyDescent="0.35">
      <c r="B212" s="22" t="s">
        <v>884</v>
      </c>
      <c r="C212" s="159" t="s">
        <v>862</v>
      </c>
      <c r="D212" s="79" t="s">
        <v>862</v>
      </c>
      <c r="E212" s="161" t="str">
        <f>IF(cluster_vds01_link_type_chosen="VDS Lag","This input is masked out as you have chosen to configure VDS LAG","")</f>
        <v/>
      </c>
    </row>
    <row r="213" spans="2:5" ht="20.05" customHeight="1" x14ac:dyDescent="0.35">
      <c r="B213" s="22" t="s">
        <v>885</v>
      </c>
      <c r="C213" s="159" t="s">
        <v>862</v>
      </c>
      <c r="D213" s="79" t="s">
        <v>862</v>
      </c>
      <c r="E213" s="161" t="str">
        <f>IF(cluster_vds01_link_type_chosen="VDS Lag","This input is masked out as you have chosen to configure VDS LAG","")</f>
        <v/>
      </c>
    </row>
    <row r="214" spans="2:5" ht="20.05" customHeight="1" x14ac:dyDescent="0.35">
      <c r="B214" s="154" t="str">
        <f>IF(cluster_principal_storage_chosen="NFSv3","Network Traffic: NFS","Network Traffic: vSAN")</f>
        <v>Network Traffic: vSAN</v>
      </c>
      <c r="C214" s="155"/>
      <c r="D214" s="155"/>
      <c r="E214" s="156"/>
    </row>
    <row r="215" spans="2:5" ht="20.05" customHeight="1" x14ac:dyDescent="0.35">
      <c r="B215" s="22" t="s">
        <v>185</v>
      </c>
      <c r="C215" s="362" t="str">
        <f>CONCATENATE(sample_cluster_name,"-pg-vsan")</f>
        <v>sfo-w01-cl02-pg-vsan</v>
      </c>
      <c r="D215" s="347"/>
      <c r="E215" s="337" t="str">
        <f>IF(cluster_vds_profile_chosen="Storage Traffic Separation","Portgroup will be created on Secondary Distributed Switch",
IF(cluster_vds_profile_chosen="vSAN Max Storage Traffic Separation","Portgroup will be created on Secondary Distributed Switch",
IF(cluster_vds_profile_chosen="vSAN Max Storage Traffic and NSX Traffic Separation","Portgroup will be created on Secondary Distributed Switch",
IF(cluster_vds_profile_chosen="NSX Traffic Separation","Portgroup will be created on Primary Distributed Switch",
IF(cluster_vds_profile_chosen="Storage Traffic and NSX Traffic Separation","Portgroup will be created on Secondary Distributed Switch",
IF(cluster_vds_profile_chosen="Custom","","Portgroup will be created on Primary Distributed Switch"))))))</f>
        <v>Portgroup will be created on Primary Distributed Switch</v>
      </c>
    </row>
    <row r="216" spans="2:5" ht="20.05" customHeight="1" x14ac:dyDescent="0.35">
      <c r="B216" s="22" t="s">
        <v>882</v>
      </c>
      <c r="C216" s="159" t="s">
        <v>883</v>
      </c>
      <c r="D216" s="79" t="s">
        <v>883</v>
      </c>
      <c r="E216" s="161" t="str">
        <f>IF(AND(cluster_vds_profile_chosen="Default",cluster_vds01_link_type_chosen="VDS Lag"),"This input is masked out as you have chosen to configure VDS LAG",
IF(AND(cluster_vds_profile_chosen="NSX Traffic Separation",cluster_vds01_link_type_chosen="VDS Lag"),"This input is masked out as you have chosen to configure VDS LAG",
IF(AND(cluster_vds_profile_chosen="Storage Traffic and NSX Traffic Separation",cluster_vds02_link_type_chosen="VDS Lag"),"This input is masked out as you have chosen to configure VDS LAG",
IF(AND(cluster_vds_profile_chosen="Storage Traffic Separation",cluster_vds02_link_type_chosen="VDS Lag"),"This input is masked out as you have chosen to configure VDS LAG",""))))</f>
        <v/>
      </c>
    </row>
    <row r="217" spans="2:5" ht="20.05" customHeight="1" x14ac:dyDescent="0.35">
      <c r="B217" s="22" t="s">
        <v>884</v>
      </c>
      <c r="C217" s="159" t="s">
        <v>862</v>
      </c>
      <c r="D217" s="79" t="s">
        <v>862</v>
      </c>
      <c r="E217" s="161" t="str">
        <f>IF(AND(cluster_vds_profile_chosen="Default",cluster_vds01_link_type_chosen="VDS Lag"),"This input is masked out as you have chosen to configure VDS LAG",
IF(AND(cluster_vds_profile_chosen="NSX Traffic Separation",cluster_vds01_link_type_chosen="VDS Lag"),"This input is masked out as you have chosen to configure VDS LAG",
IF(AND(cluster_vds_profile_chosen="Storage Traffic and NSX Traffic Separation",cluster_vds02_link_type_chosen="VDS Lag"),"This input is masked out as you have chosen to configure VDS LAG",
IF(AND(cluster_vds_profile_chosen="Storage Traffic Separation",cluster_vds02_link_type_chosen="VDS Lag"),"This input is masked out as you have chosen to configure VDS LAG",""))))</f>
        <v/>
      </c>
    </row>
    <row r="218" spans="2:5" ht="20.05" customHeight="1" x14ac:dyDescent="0.35">
      <c r="B218" s="22" t="s">
        <v>885</v>
      </c>
      <c r="C218" s="159" t="s">
        <v>862</v>
      </c>
      <c r="D218" s="79" t="s">
        <v>862</v>
      </c>
      <c r="E218" s="161" t="str">
        <f>IF(AND(cluster_vds_profile_chosen="Default",cluster_vds01_link_type_chosen="VDS Lag"),"This input is masked out as you have chosen to configure VDS LAG",
IF(AND(cluster_vds_profile_chosen="NSX Traffic Separation",cluster_vds01_link_type_chosen="VDS Lag"),"This input is masked out as you have chosen to configure VDS LAG",
IF(AND(cluster_vds_profile_chosen="Storage Traffic and NSX Traffic Separation",cluster_vds02_link_type_chosen="VDS Lag"),"This input is masked out as you have chosen to configure VDS LAG",
IF(AND(cluster_vds_profile_chosen="Storage Traffic Separation",cluster_vds02_link_type_chosen="VDS Lag"),"This input is masked out as you have chosen to configure VDS LAG",""))))</f>
        <v/>
      </c>
    </row>
    <row r="219" spans="2:5" ht="20.05" customHeight="1" x14ac:dyDescent="0.35">
      <c r="B219" s="154" t="s">
        <v>889</v>
      </c>
      <c r="C219" s="155"/>
      <c r="D219" s="155"/>
      <c r="E219" s="156"/>
    </row>
    <row r="220" spans="2:5" ht="20.05" customHeight="1" x14ac:dyDescent="0.35">
      <c r="B220" s="22" t="s">
        <v>185</v>
      </c>
      <c r="C220" s="362" t="str">
        <f>CONCATENATE(sample_cluster_name,"-pg-vsan-client")</f>
        <v>sfo-w01-cl02-pg-vsan-client</v>
      </c>
      <c r="D220" s="347"/>
      <c r="E220" s="153" t="str">
        <f>IF(OR((cluster_result="Excluded"),(cluster_secondary_storage_result="Excluded")),"This input is masked out as vSAN Storage Client Network in not enabled",
IF(cluster_vds_profile_chosen="vSAN Max Storage Traffic Separation","Portgroup will be created on Primary Distributed Switch",
IF(cluster_vds_profile_chosen="vSAN Max Storage Traffic and NSX Traffic Separation","Portgroup will be created on Primary Distributed Switch",
IF(cluster_vds_profile_chosen="Custom","","Portgroup will be created on Primary Distributed Switch"))))</f>
        <v>This input is masked out as vSAN Storage Client Network in not enabled</v>
      </c>
    </row>
    <row r="221" spans="2:5" ht="20.05" customHeight="1" x14ac:dyDescent="0.35">
      <c r="B221" s="22" t="s">
        <v>882</v>
      </c>
      <c r="C221" s="159" t="s">
        <v>883</v>
      </c>
      <c r="D221" s="79" t="s">
        <v>883</v>
      </c>
      <c r="E221" s="161" t="str">
        <f>IF(cluster_secondary_storage_result="Excluded","This input is masked out as vSAN Storage Client Network in not enabled ",IF(cluster_vds01_link_type_chosen="VDS Lag","This input is masked out as you have chosen to configure VDS LAG",""))</f>
        <v xml:space="preserve">This input is masked out as vSAN Storage Client Network in not enabled </v>
      </c>
    </row>
    <row r="222" spans="2:5" ht="20.05" customHeight="1" x14ac:dyDescent="0.35">
      <c r="B222" s="22" t="s">
        <v>884</v>
      </c>
      <c r="C222" s="159" t="s">
        <v>862</v>
      </c>
      <c r="D222" s="79" t="s">
        <v>862</v>
      </c>
      <c r="E222" s="161" t="str">
        <f>IF(cluster_secondary_storage_result="Excluded","This input is masked out as vSAN Storage Client Network in not enabled ",IF(cluster_vds01_link_type_chosen="VDS Lag","This input is masked out as you have chosen to configure VDS LAG",""))</f>
        <v xml:space="preserve">This input is masked out as vSAN Storage Client Network in not enabled </v>
      </c>
    </row>
    <row r="223" spans="2:5" ht="20.05" customHeight="1" x14ac:dyDescent="0.35">
      <c r="B223" s="22" t="s">
        <v>885</v>
      </c>
      <c r="C223" s="159" t="s">
        <v>862</v>
      </c>
      <c r="D223" s="79" t="s">
        <v>862</v>
      </c>
      <c r="E223" s="161" t="str">
        <f>IF(cluster_secondary_storage_result="Excluded","This input is masked out as vSAN Storage Client Network in not enabled ",IF(cluster_vds01_link_type_chosen="VDS Lag","This input is masked out as you have chosen to configure VDS LAG",""))</f>
        <v xml:space="preserve">This input is masked out as vSAN Storage Client Network in not enabled </v>
      </c>
    </row>
    <row r="224" spans="2:5" ht="20.05" customHeight="1" x14ac:dyDescent="0.35">
      <c r="B224" s="496" t="s">
        <v>890</v>
      </c>
      <c r="C224" s="497"/>
      <c r="D224" s="497"/>
      <c r="E224" s="498"/>
    </row>
    <row r="225" spans="2:5" ht="20.05" customHeight="1" x14ac:dyDescent="0.35">
      <c r="B225" s="4" t="s">
        <v>891</v>
      </c>
      <c r="C225" s="362" t="s">
        <v>159</v>
      </c>
      <c r="D225" s="347" t="s">
        <v>159</v>
      </c>
      <c r="E225" s="337"/>
    </row>
    <row r="226" spans="2:5" ht="20.05" customHeight="1" x14ac:dyDescent="0.35">
      <c r="B226" s="4" t="s">
        <v>538</v>
      </c>
      <c r="C226" s="362" t="s">
        <v>538</v>
      </c>
      <c r="D226" s="347" t="s">
        <v>538</v>
      </c>
      <c r="E226" s="337"/>
    </row>
    <row r="227" spans="2:5" ht="20.05" customHeight="1" x14ac:dyDescent="0.35">
      <c r="B227" s="4" t="s">
        <v>1174</v>
      </c>
      <c r="C227" s="362" t="s">
        <v>159</v>
      </c>
      <c r="D227" s="347" t="s">
        <v>159</v>
      </c>
      <c r="E227" s="337"/>
    </row>
    <row r="228" spans="2:5" ht="20.05" customHeight="1" x14ac:dyDescent="0.35">
      <c r="B228" s="4" t="s">
        <v>893</v>
      </c>
      <c r="C228" s="362" t="s">
        <v>145</v>
      </c>
      <c r="D228" s="347" t="s">
        <v>145</v>
      </c>
      <c r="E228" s="337"/>
    </row>
    <row r="229" spans="2:5" ht="20.05" customHeight="1" x14ac:dyDescent="0.35">
      <c r="B229" s="496" t="s">
        <v>894</v>
      </c>
      <c r="C229" s="497"/>
      <c r="D229" s="497"/>
      <c r="E229" s="498"/>
    </row>
    <row r="230" spans="2:5" ht="20.05" customHeight="1" x14ac:dyDescent="0.35">
      <c r="B230" s="4" t="s">
        <v>895</v>
      </c>
      <c r="C230" s="362" t="str">
        <f>IF(cluster_wld_domain_chosen="VI Workload Domain",CONCATENATE("overlay-tz-",this_instance,"-w0",wld_domain_number_chosen,"-nsx01"),CONCATENATE("overlay-tz-",this_instance,"-m01","-nsx01"))</f>
        <v>overlay-tz-sfo-w01-nsx01</v>
      </c>
      <c r="D230" s="347"/>
      <c r="E230" s="337"/>
    </row>
    <row r="231" spans="2:5" ht="20.05" customHeight="1" x14ac:dyDescent="0.35">
      <c r="B231" s="4" t="s">
        <v>85</v>
      </c>
      <c r="C231" s="362" t="str">
        <f>IF(cluster_wld_domain_chosen="VI Workload Domain",CONCATENATE(prefix_wld_az1_vlan,"14"),CONCATENATE(prefix_mgmt_az1_vlan,"14"))</f>
        <v>1314</v>
      </c>
      <c r="D231" s="347"/>
      <c r="E231" s="337"/>
    </row>
    <row r="232" spans="2:5" ht="20.05" customHeight="1" x14ac:dyDescent="0.35">
      <c r="B232" s="4" t="s">
        <v>896</v>
      </c>
      <c r="C232" s="362" t="s">
        <v>897</v>
      </c>
      <c r="D232" s="355" t="s">
        <v>897</v>
      </c>
      <c r="E232" s="337"/>
    </row>
    <row r="233" spans="2:5" ht="20.05" customHeight="1" x14ac:dyDescent="0.35">
      <c r="B233" s="4" t="s">
        <v>897</v>
      </c>
      <c r="C233" s="362" t="s">
        <v>1175</v>
      </c>
      <c r="D233" s="347" t="s">
        <v>1175</v>
      </c>
      <c r="E233" s="337"/>
    </row>
    <row r="234" spans="2:5" ht="20.05" customHeight="1" x14ac:dyDescent="0.35">
      <c r="B234" s="4" t="s">
        <v>898</v>
      </c>
      <c r="C234" s="126" t="str">
        <f>IF(cluster_wld_domain_chosen="VI Workload Domain",CONCATENATE(this_instance,"01-w0",wld_domain_number_chosen,"-r01-ip-pool01-host"),CONCATENATE(this_instance,"01-m01","-r01-ip-pool01-host"))</f>
        <v>sfo01-w01-r01-ip-pool01-host</v>
      </c>
      <c r="D234" s="347"/>
      <c r="E234" s="337"/>
    </row>
    <row r="235" spans="2:5" ht="20.05" customHeight="1" x14ac:dyDescent="0.35">
      <c r="B235" s="4" t="s">
        <v>1176</v>
      </c>
      <c r="C235" s="126" t="s">
        <v>899</v>
      </c>
      <c r="D235" s="347"/>
      <c r="E235" s="337"/>
    </row>
    <row r="236" spans="2:5" ht="20.05" customHeight="1" x14ac:dyDescent="0.35">
      <c r="B236" s="4" t="s">
        <v>460</v>
      </c>
      <c r="C236" s="362" t="str">
        <f>IF(cluster_wld_domain_chosen="VI Workload Domain",CONCATENATE(prefix_wld_az1_cidr,"14.0/24"),CONCATENATE(prefix_mgmt_az1_cidr,"14.0/24"))</f>
        <v>10.13.14.0/24</v>
      </c>
      <c r="D236" s="347"/>
      <c r="E236" s="337"/>
    </row>
    <row r="237" spans="2:5" ht="20.05" customHeight="1" x14ac:dyDescent="0.35">
      <c r="B237" s="4" t="s">
        <v>255</v>
      </c>
      <c r="C237" s="362" t="str">
        <f>IF(cluster_wld_domain_chosen="VI Workload Domain",CONCATENATE(prefix_wld_az1_cidr,"14.101"),CONCATENATE(prefix_mgmt_az1_cidr,"14.101"))</f>
        <v>10.13.14.101</v>
      </c>
      <c r="D237" s="347"/>
      <c r="E237" s="337"/>
    </row>
    <row r="238" spans="2:5" ht="20.05" customHeight="1" x14ac:dyDescent="0.35">
      <c r="B238" s="4" t="s">
        <v>256</v>
      </c>
      <c r="C238" s="362" t="str">
        <f>IF(cluster_wld_domain_chosen="VI Workload Domain",CONCATENATE(prefix_wld_az1_cidr,"14.132"),CONCATENATE(prefix_mgmt_az1_cidr,"14.132"))</f>
        <v>10.13.14.132</v>
      </c>
      <c r="D238" s="347"/>
      <c r="E238" s="337"/>
    </row>
    <row r="239" spans="2:5" ht="20.05" customHeight="1" x14ac:dyDescent="0.35">
      <c r="B239" s="4" t="s">
        <v>461</v>
      </c>
      <c r="C239" s="362" t="str">
        <f>IF(cluster_wld_domain_chosen="VI Workload Domain",CONCATENATE(prefix_wld_az1_cidr,"14.1"),CONCATENATE(prefix_mgmt_az1_cidr,"14.1"))</f>
        <v>10.13.14.1</v>
      </c>
      <c r="D239" s="347"/>
      <c r="E239" s="337"/>
    </row>
    <row r="240" spans="2:5" ht="20.05" customHeight="1" x14ac:dyDescent="0.35">
      <c r="B240" s="4" t="s">
        <v>900</v>
      </c>
      <c r="C240" s="362" t="s">
        <v>901</v>
      </c>
      <c r="D240" s="347"/>
      <c r="E240" s="337" t="str">
        <f>IF(cluster_nsx_vlan_transport_zone_chosen="Unselected","This input is masked out as your have not selected Transport Zone Type: NSX-VLAN","")</f>
        <v>This input is masked out as your have not selected Transport Zone Type: NSX-VLAN</v>
      </c>
    </row>
    <row r="241" spans="2:5" ht="20.05" customHeight="1" x14ac:dyDescent="0.35">
      <c r="B241" s="496" t="s">
        <v>1177</v>
      </c>
      <c r="C241" s="497"/>
      <c r="D241" s="497"/>
      <c r="E241" s="498"/>
    </row>
    <row r="242" spans="2:5" ht="20.05" customHeight="1" x14ac:dyDescent="0.35">
      <c r="B242" s="4" t="s">
        <v>337</v>
      </c>
      <c r="C242" s="362" t="str">
        <f>IF(cluster_wld_domain_chosen="VI Workload Domain",CONCATENATE(this_instance,"01-",sample_cluster_name,"-r01-network-profile"),CONCATENATE(this_instance,"01-",sample_cluster_name,"-r01-network-profile"))</f>
        <v>sfo01-sfo-w01-cl02-r01-network-profile</v>
      </c>
      <c r="D242" s="347"/>
      <c r="E242" s="337"/>
    </row>
    <row r="243" spans="2:5" ht="20.05" customHeight="1" x14ac:dyDescent="0.35">
      <c r="B243" s="4" t="s">
        <v>903</v>
      </c>
      <c r="C243" s="362">
        <v>2</v>
      </c>
      <c r="D243" s="347"/>
      <c r="E243" s="337"/>
    </row>
    <row r="244" spans="2:5" ht="20.05" customHeight="1" x14ac:dyDescent="0.35">
      <c r="B244" s="4" t="s">
        <v>904</v>
      </c>
      <c r="C244" s="362" t="s">
        <v>884</v>
      </c>
      <c r="D244" s="347"/>
      <c r="E244" s="337"/>
    </row>
    <row r="245" spans="2:5" ht="20.05" customHeight="1" x14ac:dyDescent="0.35">
      <c r="B245" s="4" t="s">
        <v>905</v>
      </c>
      <c r="C245" s="362" t="s">
        <v>885</v>
      </c>
      <c r="D245" s="347"/>
      <c r="E245" s="337"/>
    </row>
    <row r="246" spans="2:5" ht="20.05" customHeight="1" x14ac:dyDescent="0.35">
      <c r="B246" s="17" t="s">
        <v>906</v>
      </c>
      <c r="C246" s="126" t="str">
        <f>IF(cluster_wld_domain_chosen="VI Workload Domain",CONCATENATE(this_instance,"01-w0",wld_domain_number_chosen,"-r01-uplink-profile01"),CONCATENATE(this_instance,"01-m01","-r01-uplink-profile01"))</f>
        <v>sfo01-w01-r01-uplink-profile01</v>
      </c>
      <c r="D246" s="347"/>
      <c r="E246" s="337"/>
    </row>
    <row r="247" spans="2:5" ht="20.05" customHeight="1" x14ac:dyDescent="0.35">
      <c r="B247" s="4" t="s">
        <v>882</v>
      </c>
      <c r="C247" s="362" t="s">
        <v>908</v>
      </c>
      <c r="D247" s="347" t="s">
        <v>908</v>
      </c>
      <c r="E247" s="33" t="str">
        <f>IF(AND(cluster_vds_profile_chosen="Default",cluster_vds01_link_type_chosen="VDS Lag"),"This input is masked out as you have chosen to configure VDS LAG",
IF(AND(cluster_vds_profile_chosen="NSX Traffic Separation",cluster_vds02_link_type_chosen="VDS Lag"),"This input is masked out as you have chosen to configure VDS LAG",
IF(AND(cluster_vds_profile_chosen="Storage Traffic and NSX Traffic Separation",cluster_vds03_link_type_chosen="VDS Lag"),"This input is masked out as you have chosen to configure VDS LAG",
IF(AND(cluster_vds_profile_chosen="Storage Traffic Separation",cluster_vds01_link_type_chosen="VDS Lag"),"This input is masked out as you have chosen to configure VDS LAG",""))))</f>
        <v/>
      </c>
    </row>
    <row r="248" spans="2:5" ht="20.05" customHeight="1" x14ac:dyDescent="0.35">
      <c r="B248" s="4" t="s">
        <v>1178</v>
      </c>
      <c r="C248" s="362" t="s">
        <v>884</v>
      </c>
      <c r="D248" s="347"/>
      <c r="E248" s="33" t="str">
        <f>IF(AND(cluster_vds_profile_chosen="Default",cluster_vds01_link_type_chosen="VDS Lag"),"This input is masked out as you have chosen to configure VDS LAG",
IF(AND(cluster_vds_profile_chosen="NSX Traffic Separation",cluster_vds02_link_type_chosen="VDS Lag"),"This input is masked out as you have chosen to configure VDS LAG",
IF(AND(cluster_vds_profile_chosen="Storage Traffic and NSX Traffic Separation",cluster_vds03_link_type_chosen="VDS Lag"),"This input is masked out as you have chosen to configure VDS LAG",
IF(AND(cluster_vds_profile_chosen="Storage Traffic Separation",cluster_vds01_link_type_chosen="VDS Lag"),"This input is masked out as you have chosen to configure VDS LAG",""))))</f>
        <v/>
      </c>
    </row>
    <row r="249" spans="2:5" ht="20.05" customHeight="1" x14ac:dyDescent="0.35">
      <c r="B249" s="4" t="s">
        <v>1179</v>
      </c>
      <c r="C249" s="362" t="s">
        <v>885</v>
      </c>
      <c r="D249" s="347"/>
      <c r="E249" s="33" t="str">
        <f>IF(AND(cluster_vds_profile_chosen="Default",cluster_vds01_link_type_chosen="VDS Lag"),"This input is masked out as you have chosen to configure VDS LAG",
IF(AND(cluster_vds_profile_chosen="NSX Traffic Separation",cluster_vds02_link_type_chosen="VDS Lag"),"This input is masked out as you have chosen to configure VDS LAG",
IF(AND(cluster_vds_profile_chosen="Storage Traffic and NSX Traffic Separation",cluster_vds03_link_type_chosen="VDS Lag"),"This input is masked out as you have chosen to configure VDS LAG",
IF(AND(cluster_vds_profile_chosen="Storage Traffic Separation",cluster_vds01_link_type_chosen="VDS Lag"),"This input is masked out as you have chosen to configure VDS LAG",""))))</f>
        <v/>
      </c>
    </row>
    <row r="250" spans="2:5" ht="16" customHeight="1" x14ac:dyDescent="0.35"/>
    <row r="251" spans="2:5" ht="34" customHeight="1" x14ac:dyDescent="0.35">
      <c r="B251" s="570" t="s">
        <v>1180</v>
      </c>
      <c r="C251" s="571"/>
      <c r="D251" s="571"/>
      <c r="E251" s="572"/>
    </row>
    <row r="252" spans="2:5" ht="16" customHeight="1" x14ac:dyDescent="0.35">
      <c r="B252" s="120"/>
      <c r="C252" s="35"/>
      <c r="D252" s="35"/>
      <c r="E252" s="35"/>
    </row>
    <row r="253" spans="2:5" ht="34" customHeight="1" x14ac:dyDescent="0.35">
      <c r="B253" s="563" t="s">
        <v>212</v>
      </c>
      <c r="C253" s="564"/>
      <c r="D253" s="564"/>
      <c r="E253" s="565"/>
    </row>
    <row r="254" spans="2:5" ht="20.05" customHeight="1" x14ac:dyDescent="0.35">
      <c r="B254" s="346" t="s">
        <v>17</v>
      </c>
      <c r="C254" s="346" t="s">
        <v>18</v>
      </c>
      <c r="D254" s="346" t="s">
        <v>19</v>
      </c>
      <c r="E254" s="346" t="s">
        <v>20</v>
      </c>
    </row>
    <row r="255" spans="2:5" ht="20.05" customHeight="1" x14ac:dyDescent="0.35">
      <c r="B255" s="502" t="s">
        <v>213</v>
      </c>
      <c r="C255" s="503"/>
      <c r="D255" s="503"/>
      <c r="E255" s="504"/>
    </row>
    <row r="256" spans="2:5" ht="20.05" customHeight="1" x14ac:dyDescent="0.35">
      <c r="B256" s="22" t="s">
        <v>85</v>
      </c>
      <c r="C256" s="80" t="str">
        <f>IF(cluster_wld_domain_chosen="VI Workload Domain",CONCATENATE(prefix_wld_az2_vlan,"11"),CONCATENATE(prefix_mgmt_az2_vlan,"11"))</f>
        <v>1411</v>
      </c>
      <c r="D256" s="267"/>
      <c r="E256" s="199"/>
    </row>
    <row r="257" spans="2:5" ht="20.05" customHeight="1" x14ac:dyDescent="0.35">
      <c r="B257" s="22" t="s">
        <v>187</v>
      </c>
      <c r="C257" s="80" t="str">
        <f>IF(cluster_wld_domain_chosen="VI Workload Domain",CONCATENATE(prefix_wld_az2_cidr,"11.1"),CONCATENATE(prefix_mgmt_az2_cidr,"11.1"))</f>
        <v>10.14.11.1</v>
      </c>
      <c r="D257" s="267"/>
      <c r="E257" s="161"/>
    </row>
    <row r="258" spans="2:5" ht="20.05" customHeight="1" x14ac:dyDescent="0.35">
      <c r="B258" s="22" t="s">
        <v>188</v>
      </c>
      <c r="C258" s="80" t="str">
        <f>IF(cluster_wld_domain_chosen="VI Workload Domain",CONCATENATE(prefix_wld_az2_cidr,"11.0/24"),CONCATENATE(prefix_mgmt_az2_cidr,"11.0/24"))</f>
        <v>10.14.11.0/24</v>
      </c>
      <c r="D258" s="267"/>
      <c r="E258" s="161"/>
    </row>
    <row r="259" spans="2:5" ht="20.05" customHeight="1" x14ac:dyDescent="0.35">
      <c r="B259" s="22" t="s">
        <v>160</v>
      </c>
      <c r="C259" s="80">
        <v>1500</v>
      </c>
      <c r="D259" s="267"/>
      <c r="E259" s="161"/>
    </row>
    <row r="260" spans="2:5" ht="20.05" customHeight="1" x14ac:dyDescent="0.35">
      <c r="B260" s="566" t="s">
        <v>214</v>
      </c>
      <c r="C260" s="567"/>
      <c r="D260" s="567"/>
      <c r="E260" s="568"/>
    </row>
    <row r="261" spans="2:5" ht="20.05" customHeight="1" x14ac:dyDescent="0.35">
      <c r="B261" s="22" t="s">
        <v>215</v>
      </c>
      <c r="C261" s="89" t="str">
        <f>IF(cluster_wld_domain_chosen="VI Workload Domain",CONCATENATE(prefix_wld_az2_cidr,"11.101"),CONCATENATE(prefix_mgmt_az2_cidr,"11.101"))</f>
        <v>10.14.11.101</v>
      </c>
      <c r="D261" s="265"/>
      <c r="E261" s="132" t="s">
        <v>216</v>
      </c>
    </row>
    <row r="262" spans="2:5" ht="20.05" customHeight="1" x14ac:dyDescent="0.35">
      <c r="B262" s="22" t="s">
        <v>217</v>
      </c>
      <c r="C262" s="89" t="str">
        <f>IF(cluster_wld_domain_chosen="VI Workload Domain",CONCATENATE(prefix_wld_az2_cidr,"11.102"),CONCATENATE(prefix_mgmt_az2_cidr,"11.102"))</f>
        <v>10.14.11.102</v>
      </c>
      <c r="D262" s="265"/>
      <c r="E262" s="132" t="s">
        <v>218</v>
      </c>
    </row>
    <row r="263" spans="2:5" ht="20.05" customHeight="1" x14ac:dyDescent="0.35">
      <c r="B263" s="22" t="s">
        <v>219</v>
      </c>
      <c r="C263" s="89" t="str">
        <f>IF(cluster_wld_domain_chosen="VI Workload Domain",CONCATENATE(prefix_wld_az2_cidr,"11.103"),CONCATENATE(prefix_mgmt_az2_cidr,"11.103"))</f>
        <v>10.14.11.103</v>
      </c>
      <c r="D263" s="265"/>
      <c r="E263" s="132" t="s">
        <v>220</v>
      </c>
    </row>
    <row r="264" spans="2:5" ht="20.05" customHeight="1" x14ac:dyDescent="0.35">
      <c r="B264" s="22" t="s">
        <v>221</v>
      </c>
      <c r="C264" s="89" t="str">
        <f>IF(cluster_wld_domain_chosen="VI Workload Domain",CONCATENATE(prefix_wld_az2_cidr,"11.104"),CONCATENATE(prefix_mgmt_az2_cidr,"11.104"))</f>
        <v>10.14.11.104</v>
      </c>
      <c r="D264" s="265"/>
      <c r="E264" s="132" t="s">
        <v>222</v>
      </c>
    </row>
    <row r="265" spans="2:5" ht="20.05" customHeight="1" x14ac:dyDescent="0.35">
      <c r="B265" s="22" t="s">
        <v>223</v>
      </c>
      <c r="C265" s="89" t="str">
        <f>IF(cluster_wld_domain_chosen="VI Workload Domain",CONCATENATE(prefix_wld_az2_cidr,"11.105"),CONCATENATE(prefix_mgmt_az2_cidr,"11.105"))</f>
        <v>10.14.11.105</v>
      </c>
      <c r="D265" s="265"/>
      <c r="E265" s="132" t="s">
        <v>224</v>
      </c>
    </row>
    <row r="266" spans="2:5" ht="20.05" customHeight="1" x14ac:dyDescent="0.35">
      <c r="B266" s="22" t="s">
        <v>225</v>
      </c>
      <c r="C266" s="89" t="str">
        <f>IF(cluster_wld_domain_chosen="VI Workload Domain",CONCATENATE(prefix_wld_az2_cidr,"11.106"),CONCATENATE(prefix_mgmt_az2_cidr,"11.106"))</f>
        <v>10.14.11.106</v>
      </c>
      <c r="D266" s="265"/>
      <c r="E266" s="132" t="s">
        <v>226</v>
      </c>
    </row>
    <row r="267" spans="2:5" ht="20.05" customHeight="1" x14ac:dyDescent="0.35">
      <c r="B267" s="22" t="s">
        <v>227</v>
      </c>
      <c r="C267" s="89" t="str">
        <f>IF(cluster_wld_domain_chosen="VI Workload Domain",CONCATENATE(prefix_wld_az2_cidr,"11.107"),CONCATENATE(prefix_mgmt_az2_cidr,"11.107"))</f>
        <v>10.14.11.107</v>
      </c>
      <c r="D267" s="265"/>
      <c r="E267" s="132" t="s">
        <v>228</v>
      </c>
    </row>
    <row r="268" spans="2:5" ht="20.05" customHeight="1" x14ac:dyDescent="0.35">
      <c r="B268" s="22" t="s">
        <v>229</v>
      </c>
      <c r="C268" s="89" t="str">
        <f>IF(cluster_wld_domain_chosen="VI Workload Domain",CONCATENATE(prefix_wld_az2_cidr,"11.108"),CONCATENATE(prefix_mgmt_az2_cidr,"11.108"))</f>
        <v>10.14.11.108</v>
      </c>
      <c r="D268" s="265"/>
      <c r="E268" s="132" t="s">
        <v>230</v>
      </c>
    </row>
    <row r="269" spans="2:5" ht="20.05" customHeight="1" x14ac:dyDescent="0.35">
      <c r="B269" s="22" t="s">
        <v>231</v>
      </c>
      <c r="C269" s="89" t="str">
        <f>IF(cluster_wld_domain_chosen="VI Workload Domain",CONCATENATE(prefix_wld_az2_cidr,"11.109"),CONCATENATE(prefix_mgmt_az2_cidr,"11.109"))</f>
        <v>10.14.11.109</v>
      </c>
      <c r="D269" s="265"/>
      <c r="E269" s="132" t="s">
        <v>232</v>
      </c>
    </row>
    <row r="270" spans="2:5" ht="20.05" customHeight="1" x14ac:dyDescent="0.35">
      <c r="B270" s="22" t="s">
        <v>233</v>
      </c>
      <c r="C270" s="89" t="str">
        <f>IF(cluster_wld_domain_chosen="VI Workload Domain",CONCATENATE(prefix_wld_az2_cidr,"11.110"),CONCATENATE(prefix_mgmt_az2_cidr,"11.110"))</f>
        <v>10.14.11.110</v>
      </c>
      <c r="D270" s="265"/>
      <c r="E270" s="132" t="s">
        <v>234</v>
      </c>
    </row>
    <row r="271" spans="2:5" ht="20.05" customHeight="1" x14ac:dyDescent="0.35">
      <c r="B271" s="22" t="s">
        <v>235</v>
      </c>
      <c r="C271" s="89" t="str">
        <f>IF(cluster_wld_domain_chosen="VI Workload Domain",CONCATENATE(prefix_wld_az2_cidr,"11.111"),CONCATENATE(prefix_mgmt_az2_cidr,"11.111"))</f>
        <v>10.14.11.111</v>
      </c>
      <c r="D271" s="265"/>
      <c r="E271" s="132" t="s">
        <v>236</v>
      </c>
    </row>
    <row r="272" spans="2:5" ht="20.05" customHeight="1" x14ac:dyDescent="0.35">
      <c r="B272" s="22" t="s">
        <v>237</v>
      </c>
      <c r="C272" s="89" t="str">
        <f>IF(cluster_wld_domain_chosen="VI Workload Domain",CONCATENATE(prefix_wld_az2_cidr,"11.112"),CONCATENATE(prefix_mgmt_az2_cidr,"11.112"))</f>
        <v>10.14.11.112</v>
      </c>
      <c r="D272" s="265"/>
      <c r="E272" s="132" t="s">
        <v>238</v>
      </c>
    </row>
    <row r="273" spans="2:5" ht="20.05" customHeight="1" x14ac:dyDescent="0.35">
      <c r="B273" s="22" t="s">
        <v>239</v>
      </c>
      <c r="C273" s="89" t="str">
        <f>IF(cluster_wld_domain_chosen="VI Workload Domain",CONCATENATE(prefix_wld_az2_cidr,"11.113"),CONCATENATE(prefix_mgmt_az2_cidr,"11.113"))</f>
        <v>10.14.11.113</v>
      </c>
      <c r="D273" s="265"/>
      <c r="E273" s="132" t="s">
        <v>240</v>
      </c>
    </row>
    <row r="274" spans="2:5" ht="20.05" customHeight="1" x14ac:dyDescent="0.35">
      <c r="B274" s="22" t="s">
        <v>241</v>
      </c>
      <c r="C274" s="89" t="str">
        <f>IF(cluster_wld_domain_chosen="VI Workload Domain",CONCATENATE(prefix_wld_az2_cidr,"11.114"),CONCATENATE(prefix_mgmt_az2_cidr,"11.114"))</f>
        <v>10.14.11.114</v>
      </c>
      <c r="D274" s="265"/>
      <c r="E274" s="132" t="s">
        <v>242</v>
      </c>
    </row>
    <row r="275" spans="2:5" ht="20.05" customHeight="1" x14ac:dyDescent="0.35">
      <c r="B275" s="22" t="s">
        <v>243</v>
      </c>
      <c r="C275" s="89" t="str">
        <f>IF(cluster_wld_domain_chosen="VI Workload Domain",CONCATENATE(prefix_wld_az2_cidr,"11.115"),CONCATENATE(prefix_mgmt_az2_cidr,"11.115"))</f>
        <v>10.14.11.115</v>
      </c>
      <c r="D275" s="265"/>
      <c r="E275" s="132" t="s">
        <v>244</v>
      </c>
    </row>
    <row r="276" spans="2:5" ht="20.05" customHeight="1" x14ac:dyDescent="0.35">
      <c r="B276" s="22" t="s">
        <v>245</v>
      </c>
      <c r="C276" s="89" t="str">
        <f>IF(cluster_wld_domain_chosen="VI Workload Domain",CONCATENATE(prefix_wld_az2_cidr,"11.116"),CONCATENATE(prefix_mgmt_az2_cidr,"11.116"))</f>
        <v>10.14.11.116</v>
      </c>
      <c r="D276" s="265"/>
      <c r="E276" s="132" t="s">
        <v>246</v>
      </c>
    </row>
    <row r="277" spans="2:5" ht="16" customHeight="1" x14ac:dyDescent="0.35">
      <c r="B277" s="120"/>
      <c r="C277" s="35"/>
      <c r="D277" s="35"/>
      <c r="E277" s="35"/>
    </row>
    <row r="278" spans="2:5" ht="34" customHeight="1" x14ac:dyDescent="0.35">
      <c r="B278" s="563" t="s">
        <v>247</v>
      </c>
      <c r="C278" s="564"/>
      <c r="D278" s="564"/>
      <c r="E278" s="565"/>
    </row>
    <row r="279" spans="2:5" ht="20.05" customHeight="1" x14ac:dyDescent="0.35">
      <c r="B279" s="346" t="s">
        <v>17</v>
      </c>
      <c r="C279" s="346" t="s">
        <v>18</v>
      </c>
      <c r="D279" s="346" t="s">
        <v>19</v>
      </c>
      <c r="E279" s="346" t="s">
        <v>20</v>
      </c>
    </row>
    <row r="280" spans="2:5" ht="20.05" customHeight="1" x14ac:dyDescent="0.35">
      <c r="B280" s="4" t="s">
        <v>248</v>
      </c>
      <c r="C280" s="362" t="s">
        <v>249</v>
      </c>
      <c r="D280" s="271" t="s">
        <v>249</v>
      </c>
      <c r="E280" s="4" t="str">
        <f>IF(wld_az2_reuse_vcf_networkpool_chosen="Re-use an existing VCF Network Pool","An exisiting VCF Network Pool will be reused for Host TEP assignment","A new VCF Network Pool will be created")</f>
        <v>A new VCF Network Pool will be created</v>
      </c>
    </row>
    <row r="281" spans="2:5" ht="20.05" customHeight="1" x14ac:dyDescent="0.35">
      <c r="B281" s="22" t="s">
        <v>250</v>
      </c>
      <c r="C281" s="262" t="str">
        <f>IF(cluster_az1_reuse_vcf_networkpool_result="Excluded",IF(cluster_wld_domain_chosen="VI Workload Domain",CONCATENATE(this_instance,"02-w0",wld_domain_number_chosen,"-r01-network-pool-01"),CONCATENATE(this_instance,"02-m01","-r01-network-pool-01")),IF(cluster_wld_domain_chosen="VI Workload Domain",CONCATENATE(this_instance,"02-w0",wld_domain_number_chosen,"-r01-network-pool-01"),CONCATENATE(this_instance,"02-m01","-r01-network-pool-01")))</f>
        <v>sfo02-w01-r01-network-pool-01</v>
      </c>
      <c r="D281" s="271"/>
      <c r="E281" s="161"/>
    </row>
    <row r="282" spans="2:5" ht="20.05" customHeight="1" x14ac:dyDescent="0.35">
      <c r="B282" s="502" t="s">
        <v>251</v>
      </c>
      <c r="C282" s="503"/>
      <c r="D282" s="503"/>
      <c r="E282" s="504"/>
    </row>
    <row r="283" spans="2:5" ht="20.05" customHeight="1" x14ac:dyDescent="0.35">
      <c r="B283" s="22" t="s">
        <v>85</v>
      </c>
      <c r="C283" s="80" t="str">
        <f>IF(cluster_wld_domain_chosen="VI Workload Domain",CONCATENATE(prefix_wld_az2_vlan,"12"),CONCATENATE(prefix_mgmt_az2_vlan,"12"))</f>
        <v>1412</v>
      </c>
      <c r="D283" s="267"/>
      <c r="E283" s="199"/>
    </row>
    <row r="284" spans="2:5" ht="20.05" customHeight="1" x14ac:dyDescent="0.35">
      <c r="B284" s="22" t="s">
        <v>160</v>
      </c>
      <c r="C284" s="80">
        <v>9000</v>
      </c>
      <c r="D284" s="267"/>
      <c r="E284" s="161"/>
    </row>
    <row r="285" spans="2:5" ht="20.05" customHeight="1" x14ac:dyDescent="0.35">
      <c r="B285" s="22" t="s">
        <v>252</v>
      </c>
      <c r="C285" s="80" t="str">
        <f>IF(cluster_wld_domain_chosen="VI Workload Domain",CONCATENATE(prefix_wld_az2_cidr,"12.0"),CONCATENATE(prefix_mgmt_az2_cidr,"12.0"))</f>
        <v>10.14.12.0</v>
      </c>
      <c r="D285" s="267"/>
      <c r="E285" s="161"/>
    </row>
    <row r="286" spans="2:5" ht="20.05" customHeight="1" x14ac:dyDescent="0.35">
      <c r="B286" s="22" t="s">
        <v>253</v>
      </c>
      <c r="C286" s="80" t="s">
        <v>128</v>
      </c>
      <c r="D286" s="267"/>
      <c r="E286" s="161"/>
    </row>
    <row r="287" spans="2:5" ht="20.05" customHeight="1" x14ac:dyDescent="0.35">
      <c r="B287" s="22" t="s">
        <v>254</v>
      </c>
      <c r="C287" s="80" t="str">
        <f>IF(cluster_wld_domain_chosen="VI Workload Domain",CONCATENATE(prefix_wld_az2_cidr,"12.1"),CONCATENATE(prefix_mgmt_az2_cidr,"12.1"))</f>
        <v>10.14.12.1</v>
      </c>
      <c r="D287" s="267"/>
      <c r="E287" s="161"/>
    </row>
    <row r="288" spans="2:5" ht="20.05" customHeight="1" x14ac:dyDescent="0.35">
      <c r="B288" s="22" t="s">
        <v>255</v>
      </c>
      <c r="C288" s="80" t="str">
        <f>IF(cluster_wld_domain_chosen="VI Workload Domain",CONCATENATE(prefix_wld_az2_cidr,"12.101"),CONCATENATE(prefix_mgmt_az2_cidr,"12.101"))</f>
        <v>10.14.12.101</v>
      </c>
      <c r="D288" s="267"/>
      <c r="E288" s="161"/>
    </row>
    <row r="289" spans="2:5" ht="20.05" customHeight="1" x14ac:dyDescent="0.35">
      <c r="B289" s="22" t="s">
        <v>256</v>
      </c>
      <c r="C289" s="80" t="str">
        <f>IF(cluster_wld_domain_chosen="VI Workload Domain",CONCATENATE(prefix_wld_az2_cidr,"12.116"),CONCATENATE(prefix_mgmt_az2_cidr,"12.116"))</f>
        <v>10.14.12.116</v>
      </c>
      <c r="D289" s="267"/>
      <c r="E289" s="161"/>
    </row>
    <row r="290" spans="2:5" ht="20.05" customHeight="1" x14ac:dyDescent="0.35">
      <c r="B290" s="502" t="s">
        <v>257</v>
      </c>
      <c r="C290" s="503"/>
      <c r="D290" s="503"/>
      <c r="E290" s="504"/>
    </row>
    <row r="291" spans="2:5" ht="20.05" customHeight="1" x14ac:dyDescent="0.35">
      <c r="B291" s="22" t="s">
        <v>85</v>
      </c>
      <c r="C291" s="80" t="str">
        <f>IF(cluster_wld_domain_chosen="VI Workload Domain",CONCATENATE(prefix_wld_az2_vlan,"13"),CONCATENATE(prefix_mgmt_az2_vlan,"13"))</f>
        <v>1413</v>
      </c>
      <c r="D291" s="267"/>
      <c r="E291" s="161"/>
    </row>
    <row r="292" spans="2:5" ht="20.05" customHeight="1" x14ac:dyDescent="0.35">
      <c r="B292" s="22" t="s">
        <v>160</v>
      </c>
      <c r="C292" s="80">
        <v>9000</v>
      </c>
      <c r="D292" s="267"/>
      <c r="E292" s="161"/>
    </row>
    <row r="293" spans="2:5" ht="20.05" customHeight="1" x14ac:dyDescent="0.35">
      <c r="B293" s="22" t="s">
        <v>252</v>
      </c>
      <c r="C293" s="80" t="str">
        <f>IF(cluster_wld_domain_chosen="VI Workload Domain",CONCATENATE(prefix_wld_az2_cidr,"13.0"),CONCATENATE(prefix_mgmt_az2_cidr,"13.0"))</f>
        <v>10.14.13.0</v>
      </c>
      <c r="D293" s="267"/>
      <c r="E293" s="161"/>
    </row>
    <row r="294" spans="2:5" ht="20.05" customHeight="1" x14ac:dyDescent="0.35">
      <c r="B294" s="22" t="s">
        <v>253</v>
      </c>
      <c r="C294" s="80" t="s">
        <v>128</v>
      </c>
      <c r="D294" s="267"/>
      <c r="E294" s="161"/>
    </row>
    <row r="295" spans="2:5" ht="20.05" customHeight="1" x14ac:dyDescent="0.35">
      <c r="B295" s="22" t="s">
        <v>254</v>
      </c>
      <c r="C295" s="80" t="str">
        <f>IF(cluster_wld_domain_chosen="VI Workload Domain",CONCATENATE(prefix_wld_az2_cidr,"13.1"),CONCATENATE(prefix_mgmt_az2_cidr,"13.1"))</f>
        <v>10.14.13.1</v>
      </c>
      <c r="D295" s="267"/>
      <c r="E295" s="161"/>
    </row>
    <row r="296" spans="2:5" ht="20.05" customHeight="1" x14ac:dyDescent="0.35">
      <c r="B296" s="22" t="s">
        <v>255</v>
      </c>
      <c r="C296" s="80" t="str">
        <f>IF(cluster_wld_domain_chosen="VI Workload Domain",CONCATENATE(prefix_wld_az2_cidr,"13.101"),CONCATENATE(prefix_mgmt_az2_cidr,"13.101"))</f>
        <v>10.14.13.101</v>
      </c>
      <c r="D296" s="267"/>
      <c r="E296" s="161"/>
    </row>
    <row r="297" spans="2:5" ht="20.05" customHeight="1" x14ac:dyDescent="0.35">
      <c r="B297" s="22" t="s">
        <v>256</v>
      </c>
      <c r="C297" s="80" t="str">
        <f>IF(cluster_wld_domain_chosen="VI Workload Domain",CONCATENATE(prefix_wld_az2_cidr,"13.116"),CONCATENATE(prefix_mgmt_az2_cidr,"13.116"))</f>
        <v>10.14.13.116</v>
      </c>
      <c r="D297" s="267"/>
      <c r="E297" s="161"/>
    </row>
    <row r="298" spans="2:5" ht="20.05" customHeight="1" x14ac:dyDescent="0.35">
      <c r="B298" s="502" t="str">
        <f>IF(cluster_secondary_storage_chosen="Secondary NFS Storage Network","NFS Storage Network","vSAN Storage Client")</f>
        <v>vSAN Storage Client</v>
      </c>
      <c r="C298" s="503"/>
      <c r="D298" s="503"/>
      <c r="E298" s="504"/>
    </row>
    <row r="299" spans="2:5" ht="20.05" customHeight="1" x14ac:dyDescent="0.35">
      <c r="B299" s="22" t="s">
        <v>85</v>
      </c>
      <c r="C299" s="80" t="str">
        <f>IF(cluster_wld_domain_chosen="VI Workload Domain",CONCATENATE(prefix_wld_az2_vlan,"15"),CONCATENATE(prefix_mgmt_az2_vlan,"15"))</f>
        <v>1415</v>
      </c>
      <c r="D299" s="267"/>
      <c r="E299" s="161"/>
    </row>
    <row r="300" spans="2:5" ht="20.05" customHeight="1" x14ac:dyDescent="0.35">
      <c r="B300" s="22" t="s">
        <v>160</v>
      </c>
      <c r="C300" s="80">
        <v>9000</v>
      </c>
      <c r="D300" s="267"/>
      <c r="E300" s="161"/>
    </row>
    <row r="301" spans="2:5" ht="20.05" customHeight="1" x14ac:dyDescent="0.35">
      <c r="B301" s="22" t="s">
        <v>252</v>
      </c>
      <c r="C301" s="80" t="str">
        <f>IF(cluster_wld_domain_chosen="VI Workload Domain",CONCATENATE(prefix_wld_az2_cidr,"15.0"),CONCATENATE(prefix_mgmt_az2_cidr,"15.0"))</f>
        <v>10.14.15.0</v>
      </c>
      <c r="D301" s="267"/>
      <c r="E301" s="161"/>
    </row>
    <row r="302" spans="2:5" ht="20.05" customHeight="1" x14ac:dyDescent="0.35">
      <c r="B302" s="22" t="s">
        <v>253</v>
      </c>
      <c r="C302" s="80" t="s">
        <v>128</v>
      </c>
      <c r="D302" s="267"/>
      <c r="E302" s="161"/>
    </row>
    <row r="303" spans="2:5" ht="20.05" customHeight="1" x14ac:dyDescent="0.35">
      <c r="B303" s="22" t="s">
        <v>254</v>
      </c>
      <c r="C303" s="80" t="str">
        <f>IF(cluster_wld_domain_chosen="VI Workload Domain",CONCATENATE(prefix_wld_az2_cidr,"15.1"),CONCATENATE(prefix_mgmt_az2_cidr,"15.1"))</f>
        <v>10.14.15.1</v>
      </c>
      <c r="D303" s="267"/>
      <c r="E303" s="161"/>
    </row>
    <row r="304" spans="2:5" ht="20.05" customHeight="1" x14ac:dyDescent="0.35">
      <c r="B304" s="22" t="s">
        <v>255</v>
      </c>
      <c r="C304" s="80" t="str">
        <f>IF(cluster_wld_domain_chosen="VI Workload Domain",CONCATENATE(prefix_wld_az2_cidr,"15.101"),CONCATENATE(prefix_mgmt_az2_cidr,"15.101"))</f>
        <v>10.14.15.101</v>
      </c>
      <c r="D304" s="267"/>
      <c r="E304" s="161"/>
    </row>
    <row r="305" spans="2:5" ht="20.05" customHeight="1" x14ac:dyDescent="0.35">
      <c r="B305" s="22" t="s">
        <v>256</v>
      </c>
      <c r="C305" s="80" t="str">
        <f>IF(cluster_wld_domain_chosen="VI Workload Domain",CONCATENATE(prefix_wld_az2_cidr,"15.116"),CONCATENATE(prefix_mgmt_az2_cidr,"15.116"))</f>
        <v>10.14.15.116</v>
      </c>
      <c r="D305" s="267"/>
      <c r="E305" s="161"/>
    </row>
    <row r="306" spans="2:5" ht="20.05" customHeight="1" x14ac:dyDescent="0.35">
      <c r="B306" s="502" t="s">
        <v>805</v>
      </c>
      <c r="C306" s="503"/>
      <c r="D306" s="503"/>
      <c r="E306" s="504"/>
    </row>
    <row r="307" spans="2:5" ht="20.05" customHeight="1" x14ac:dyDescent="0.35">
      <c r="B307" s="22" t="s">
        <v>85</v>
      </c>
      <c r="C307" s="80" t="str">
        <f>IF(cluster_wld_domain_chosen="VI Workload Domain",CONCATENATE(prefix_wld_az2_vlan,"16"),CONCATENATE(prefix_mgmt_az2_vlan,"16"))</f>
        <v>1416</v>
      </c>
      <c r="D307" s="347"/>
      <c r="E307" s="161"/>
    </row>
    <row r="308" spans="2:5" ht="20.05" customHeight="1" x14ac:dyDescent="0.35">
      <c r="B308" s="22" t="s">
        <v>160</v>
      </c>
      <c r="C308" s="80">
        <v>9000</v>
      </c>
      <c r="D308" s="347"/>
      <c r="E308" s="161"/>
    </row>
    <row r="309" spans="2:5" ht="20.05" customHeight="1" x14ac:dyDescent="0.35">
      <c r="B309" s="22" t="s">
        <v>252</v>
      </c>
      <c r="C309" s="80" t="str">
        <f>IF(cluster_wld_domain_chosen="VI Workload Domain",CONCATENATE(prefix_wld_az2_cidr,"16.0"),CONCATENATE(prefix_mgmt_az2_cidr,"16.0"))</f>
        <v>10.14.16.0</v>
      </c>
      <c r="D309" s="347"/>
      <c r="E309" s="161"/>
    </row>
    <row r="310" spans="2:5" ht="20.05" customHeight="1" x14ac:dyDescent="0.35">
      <c r="B310" s="22" t="s">
        <v>253</v>
      </c>
      <c r="C310" s="80" t="s">
        <v>128</v>
      </c>
      <c r="D310" s="347"/>
      <c r="E310" s="161"/>
    </row>
    <row r="311" spans="2:5" ht="20.05" customHeight="1" x14ac:dyDescent="0.35">
      <c r="B311" s="22" t="s">
        <v>254</v>
      </c>
      <c r="C311" s="80" t="str">
        <f>IF(cluster_wld_domain_chosen="VI Workload Domain",CONCATENATE(prefix_wld_az2_cidr,"16.1"),CONCATENATE(prefix_mgmt_az2_cidr,"16.1"))</f>
        <v>10.14.16.1</v>
      </c>
      <c r="D311" s="347"/>
      <c r="E311" s="161"/>
    </row>
    <row r="312" spans="2:5" ht="20.05" customHeight="1" x14ac:dyDescent="0.35">
      <c r="B312" s="22" t="s">
        <v>255</v>
      </c>
      <c r="C312" s="80" t="str">
        <f>IF(cluster_wld_domain_chosen="VI Workload Domain",CONCATENATE(prefix_wld_az2_cidr,"16.101"),CONCATENATE(prefix_mgmt_az2_cidr,"16.101"))</f>
        <v>10.14.16.101</v>
      </c>
      <c r="D312" s="347"/>
      <c r="E312" s="161"/>
    </row>
    <row r="313" spans="2:5" ht="20.05" customHeight="1" x14ac:dyDescent="0.35">
      <c r="B313" s="22" t="s">
        <v>256</v>
      </c>
      <c r="C313" s="80" t="str">
        <f>IF(cluster_wld_domain_chosen="VI Workload Domain",CONCATENATE(prefix_wld_az2_cidr,"16.116"),CONCATENATE(prefix_mgmt_az2_cidr,"16.116"))</f>
        <v>10.14.16.116</v>
      </c>
      <c r="D313" s="347"/>
      <c r="E313" s="161"/>
    </row>
    <row r="314" spans="2:5" ht="16" customHeight="1" x14ac:dyDescent="0.35">
      <c r="B314" s="120"/>
      <c r="C314" s="35"/>
      <c r="D314" s="35"/>
      <c r="E314" s="35"/>
    </row>
    <row r="315" spans="2:5" ht="34" customHeight="1" x14ac:dyDescent="0.35">
      <c r="B315" s="563" t="s">
        <v>1181</v>
      </c>
      <c r="C315" s="564"/>
      <c r="D315" s="564"/>
      <c r="E315" s="565"/>
    </row>
    <row r="316" spans="2:5" ht="20.05" customHeight="1" x14ac:dyDescent="0.35">
      <c r="B316" s="346" t="s">
        <v>17</v>
      </c>
      <c r="C316" s="346" t="s">
        <v>18</v>
      </c>
      <c r="D316" s="346" t="s">
        <v>19</v>
      </c>
      <c r="E316" s="346" t="s">
        <v>20</v>
      </c>
    </row>
    <row r="317" spans="2:5" ht="20.05" customHeight="1" x14ac:dyDescent="0.35">
      <c r="B317" s="22" t="s">
        <v>215</v>
      </c>
      <c r="C317" s="89" t="str">
        <f>IF(cluster_wld_domain_chosen="VI Workload Domain",CONCATENATE(this_instance,"02-w0",wld_domain_number_chosen,"-r01-esx01",".",sample_child_dns_zone),CONCATENATE(this_instance,"02-m01","-r01-esx01",".",sample_child_dns_zone))</f>
        <v>sfo02-w01-r01-esx01.sfo.rainpole.io</v>
      </c>
      <c r="D317" s="267"/>
      <c r="E317" s="161"/>
    </row>
    <row r="318" spans="2:5" ht="20.05" customHeight="1" x14ac:dyDescent="0.35">
      <c r="B318" s="22" t="s">
        <v>217</v>
      </c>
      <c r="C318" s="89" t="str">
        <f>IF(cluster_wld_domain_chosen="VI Workload Domain",CONCATENATE(this_instance,"02-w0",wld_domain_number_chosen,"-r01-esx02",".",sample_child_dns_zone),CONCATENATE(this_instance,"02-m01","-r01-esx02",".",sample_child_dns_zone))</f>
        <v>sfo02-w01-r01-esx02.sfo.rainpole.io</v>
      </c>
      <c r="D318" s="267"/>
      <c r="E318" s="161"/>
    </row>
    <row r="319" spans="2:5" ht="20.05" customHeight="1" x14ac:dyDescent="0.35">
      <c r="B319" s="22" t="s">
        <v>219</v>
      </c>
      <c r="C319" s="89" t="str">
        <f>IF(cluster_wld_domain_chosen="VI Workload Domain",CONCATENATE(this_instance,"02-w0",wld_domain_number_chosen,"-r01-esx03",".",sample_child_dns_zone),CONCATENATE(this_instance,"02-m01","-r01-esx03",".",sample_child_dns_zone))</f>
        <v>sfo02-w01-r01-esx03.sfo.rainpole.io</v>
      </c>
      <c r="D319" s="267"/>
      <c r="E319" s="161"/>
    </row>
    <row r="320" spans="2:5" ht="20.05" customHeight="1" x14ac:dyDescent="0.35">
      <c r="B320" s="22" t="s">
        <v>221</v>
      </c>
      <c r="C320" s="89" t="str">
        <f>IF(cluster_wld_domain_chosen="VI Workload Domain",CONCATENATE(this_instance,"02-w0",wld_domain_number_chosen,"-r01-esx04",".",sample_child_dns_zone),CONCATENATE(this_instance,"02-m01","-r01-esx04",".",sample_child_dns_zone))</f>
        <v>sfo02-w01-r01-esx04.sfo.rainpole.io</v>
      </c>
      <c r="D320" s="267"/>
      <c r="E320" s="161"/>
    </row>
    <row r="321" spans="2:5" ht="20.05" customHeight="1" x14ac:dyDescent="0.35">
      <c r="B321" s="22" t="s">
        <v>223</v>
      </c>
      <c r="C321" s="89" t="str">
        <f>IF(cluster_wld_domain_chosen="VI Workload Domain",CONCATENATE(this_instance,"02-w0",wld_domain_number_chosen,"-r01-esx05",".",sample_child_dns_zone),CONCATENATE(this_instance,"02-m01","-r01-esx05",".",sample_child_dns_zone))</f>
        <v>sfo02-w01-r01-esx05.sfo.rainpole.io</v>
      </c>
      <c r="D321" s="267"/>
      <c r="E321" s="161"/>
    </row>
    <row r="322" spans="2:5" ht="20.05" customHeight="1" x14ac:dyDescent="0.35">
      <c r="B322" s="22" t="s">
        <v>225</v>
      </c>
      <c r="C322" s="89" t="str">
        <f>IF(cluster_wld_domain_chosen="VI Workload Domain",CONCATENATE(this_instance,"02-w0",wld_domain_number_chosen,"-r01-esx06",".",sample_child_dns_zone),CONCATENATE(this_instance,"02-m01","-r01-esx06",".",sample_child_dns_zone))</f>
        <v>sfo02-w01-r01-esx06.sfo.rainpole.io</v>
      </c>
      <c r="D322" s="267"/>
      <c r="E322" s="161"/>
    </row>
    <row r="323" spans="2:5" ht="20.05" customHeight="1" x14ac:dyDescent="0.35">
      <c r="B323" s="22" t="s">
        <v>227</v>
      </c>
      <c r="C323" s="89" t="str">
        <f>IF(cluster_wld_domain_chosen="VI Workload Domain",CONCATENATE(this_instance,"02-w0",wld_domain_number_chosen,"-r01-esx07",".",sample_child_dns_zone),CONCATENATE(this_instance,"02-m01","-r01-esx07",".",sample_child_dns_zone))</f>
        <v>sfo02-w01-r01-esx07.sfo.rainpole.io</v>
      </c>
      <c r="D323" s="267"/>
      <c r="E323" s="161"/>
    </row>
    <row r="324" spans="2:5" ht="20.05" customHeight="1" x14ac:dyDescent="0.35">
      <c r="B324" s="22" t="s">
        <v>229</v>
      </c>
      <c r="C324" s="89" t="str">
        <f>IF(cluster_wld_domain_chosen="VI Workload Domain",CONCATENATE(this_instance,"02-w0",wld_domain_number_chosen,"-r01-esx08",".",sample_child_dns_zone),CONCATENATE(this_instance,"02-m01","-r01-esx08",".",sample_child_dns_zone))</f>
        <v>sfo02-w01-r01-esx08.sfo.rainpole.io</v>
      </c>
      <c r="D324" s="267"/>
      <c r="E324" s="161"/>
    </row>
    <row r="325" spans="2:5" ht="20.05" customHeight="1" x14ac:dyDescent="0.35">
      <c r="B325" s="22" t="s">
        <v>231</v>
      </c>
      <c r="C325" s="89" t="str">
        <f>IF(cluster_wld_domain_chosen="VI Workload Domain",CONCATENATE(this_instance,"02-w0",wld_domain_number_chosen,"-r01-esx09",".",sample_child_dns_zone),CONCATENATE(this_instance,"02-m01","-r01-esx09",".",sample_child_dns_zone))</f>
        <v>sfo02-w01-r01-esx09.sfo.rainpole.io</v>
      </c>
      <c r="D325" s="267"/>
      <c r="E325" s="161"/>
    </row>
    <row r="326" spans="2:5" ht="20.05" customHeight="1" x14ac:dyDescent="0.35">
      <c r="B326" s="22" t="s">
        <v>233</v>
      </c>
      <c r="C326" s="89" t="str">
        <f>IF(cluster_wld_domain_chosen="VI Workload Domain",CONCATENATE(this_instance,"02-w0",wld_domain_number_chosen,"-r01-esx10",".",sample_child_dns_zone),CONCATENATE(this_instance,"02-m01","-r01-esx10",".",sample_child_dns_zone))</f>
        <v>sfo02-w01-r01-esx10.sfo.rainpole.io</v>
      </c>
      <c r="D326" s="267"/>
      <c r="E326" s="161"/>
    </row>
    <row r="327" spans="2:5" ht="20.05" customHeight="1" x14ac:dyDescent="0.35">
      <c r="B327" s="22" t="s">
        <v>235</v>
      </c>
      <c r="C327" s="89" t="str">
        <f>IF(cluster_wld_domain_chosen="VI Workload Domain",CONCATENATE(this_instance,"02-w0",wld_domain_number_chosen,"-r01-esx11",".",sample_child_dns_zone),CONCATENATE(this_instance,"02-m01","-r01-esx11",".",sample_child_dns_zone))</f>
        <v>sfo02-w01-r01-esx11.sfo.rainpole.io</v>
      </c>
      <c r="D327" s="267"/>
      <c r="E327" s="161"/>
    </row>
    <row r="328" spans="2:5" ht="20.05" customHeight="1" x14ac:dyDescent="0.35">
      <c r="B328" s="22" t="s">
        <v>237</v>
      </c>
      <c r="C328" s="89" t="str">
        <f>IF(cluster_wld_domain_chosen="VI Workload Domain",CONCATENATE(this_instance,"02-w0",wld_domain_number_chosen,"-r01-esx12",".",sample_child_dns_zone),CONCATENATE(this_instance,"02-m01","-r01-esx12",".",sample_child_dns_zone))</f>
        <v>sfo02-w01-r01-esx12.sfo.rainpole.io</v>
      </c>
      <c r="D328" s="267"/>
      <c r="E328" s="161"/>
    </row>
    <row r="329" spans="2:5" ht="20.05" customHeight="1" x14ac:dyDescent="0.35">
      <c r="B329" s="22" t="s">
        <v>239</v>
      </c>
      <c r="C329" s="89" t="str">
        <f>IF(cluster_wld_domain_chosen="VI Workload Domain",CONCATENATE(this_instance,"02-w0",wld_domain_number_chosen,"-r01-esx13",".",sample_child_dns_zone),CONCATENATE(this_instance,"02-m01","-r01-esx13",".",sample_child_dns_zone))</f>
        <v>sfo02-w01-r01-esx13.sfo.rainpole.io</v>
      </c>
      <c r="D329" s="267"/>
      <c r="E329" s="161"/>
    </row>
    <row r="330" spans="2:5" ht="20.05" customHeight="1" x14ac:dyDescent="0.35">
      <c r="B330" s="22" t="s">
        <v>241</v>
      </c>
      <c r="C330" s="89" t="str">
        <f>IF(cluster_wld_domain_chosen="VI Workload Domain",CONCATENATE(this_instance,"02-w0",wld_domain_number_chosen,"-r01-esx14",".",sample_child_dns_zone),CONCATENATE(this_instance,"02-m01","-r01-esx14",".",sample_child_dns_zone))</f>
        <v>sfo02-w01-r01-esx14.sfo.rainpole.io</v>
      </c>
      <c r="D330" s="267"/>
      <c r="E330" s="161"/>
    </row>
    <row r="331" spans="2:5" ht="20.05" customHeight="1" x14ac:dyDescent="0.35">
      <c r="B331" s="22" t="s">
        <v>243</v>
      </c>
      <c r="C331" s="89" t="str">
        <f>IF(cluster_wld_domain_chosen="VI Workload Domain",CONCATENATE(this_instance,"02-w0",wld_domain_number_chosen,"-r01-esx15",".",sample_child_dns_zone),CONCATENATE(this_instance,"02-m01","-r01-esx15",".",sample_child_dns_zone))</f>
        <v>sfo02-w01-r01-esx15.sfo.rainpole.io</v>
      </c>
      <c r="D331" s="267"/>
      <c r="E331" s="161"/>
    </row>
    <row r="332" spans="2:5" ht="20.05" customHeight="1" x14ac:dyDescent="0.35">
      <c r="B332" s="22" t="s">
        <v>245</v>
      </c>
      <c r="C332" s="89" t="str">
        <f>IF(cluster_wld_domain_chosen="VI Workload Domain",CONCATENATE(this_instance,"02-w0",wld_domain_number_chosen,"-r01-esx16",".",sample_child_dns_zone),CONCATENATE(this_instance,"02-m01","-r01-esx16",".",sample_child_dns_zone))</f>
        <v>sfo02-w01-r01-esx16.sfo.rainpole.io</v>
      </c>
      <c r="D332" s="267"/>
      <c r="E332" s="161"/>
    </row>
    <row r="333" spans="2:5" ht="20.05" customHeight="1" x14ac:dyDescent="0.35">
      <c r="B333" s="22" t="s">
        <v>264</v>
      </c>
      <c r="C333" s="78" t="s">
        <v>265</v>
      </c>
      <c r="D333" s="337" t="str">
        <f>cluster_principal_storage_chosen</f>
        <v>vSAN-ESA</v>
      </c>
      <c r="E333" s="161"/>
    </row>
    <row r="334" spans="2:5" ht="20.05" customHeight="1" x14ac:dyDescent="0.35">
      <c r="B334" s="22" t="s">
        <v>266</v>
      </c>
      <c r="C334" s="78" t="s">
        <v>267</v>
      </c>
      <c r="D334" s="337" t="str">
        <f>cluster_vsan_type</f>
        <v>vSAN HCI</v>
      </c>
      <c r="E334" s="161"/>
    </row>
    <row r="335" spans="2:5" ht="20.05" customHeight="1" x14ac:dyDescent="0.35">
      <c r="B335" s="22" t="s">
        <v>268</v>
      </c>
      <c r="C335" s="78" t="s">
        <v>159</v>
      </c>
      <c r="D335" s="337" t="str">
        <f>D102</f>
        <v>Selected</v>
      </c>
      <c r="E335" s="161"/>
    </row>
    <row r="336" spans="2:5" ht="20.05" customHeight="1" x14ac:dyDescent="0.35">
      <c r="B336" s="22" t="s">
        <v>250</v>
      </c>
      <c r="C336" s="78" t="str">
        <f>sample_cluster_az2_pool_name</f>
        <v>sfo02-w01-r01-network-pool-01</v>
      </c>
      <c r="D336" s="270" t="str">
        <f>cluster_az2_pool_name</f>
        <v>Value Missing</v>
      </c>
      <c r="E336" s="161"/>
    </row>
    <row r="337" spans="2:5" ht="20.05" customHeight="1" x14ac:dyDescent="0.35">
      <c r="B337" s="22" t="s">
        <v>46</v>
      </c>
      <c r="C337" s="78" t="str">
        <f>sample_cluster_esx_root_username</f>
        <v>root</v>
      </c>
      <c r="D337" s="270" t="str">
        <f>cluster_esx_root_username</f>
        <v>Value Missing</v>
      </c>
      <c r="E337" s="161"/>
    </row>
    <row r="338" spans="2:5" ht="20.05" customHeight="1" x14ac:dyDescent="0.35">
      <c r="B338" s="22" t="s">
        <v>29</v>
      </c>
      <c r="C338" s="78" t="str">
        <f>sample_cluster_esx_root_password</f>
        <v>VMw@re1!</v>
      </c>
      <c r="D338" s="270" t="str">
        <f>cluster_esx_root_password</f>
        <v>Value Missing</v>
      </c>
      <c r="E338" s="161"/>
    </row>
    <row r="339" spans="2:5" ht="16" customHeight="1" x14ac:dyDescent="0.35">
      <c r="B339" s="120"/>
      <c r="C339" s="35"/>
      <c r="D339" s="35"/>
      <c r="E339" s="35"/>
    </row>
    <row r="340" spans="2:5" ht="20.05" customHeight="1" x14ac:dyDescent="0.35">
      <c r="B340" s="502" t="s">
        <v>271</v>
      </c>
      <c r="C340" s="503"/>
      <c r="D340" s="503"/>
      <c r="E340" s="504"/>
    </row>
    <row r="341" spans="2:5" ht="20.05" customHeight="1" x14ac:dyDescent="0.35">
      <c r="B341" s="346" t="s">
        <v>17</v>
      </c>
      <c r="C341" s="346" t="s">
        <v>18</v>
      </c>
      <c r="D341" s="346" t="s">
        <v>19</v>
      </c>
      <c r="E341" s="346" t="s">
        <v>20</v>
      </c>
    </row>
    <row r="342" spans="2:5" ht="20.05" customHeight="1" x14ac:dyDescent="0.35">
      <c r="B342" s="22" t="s">
        <v>85</v>
      </c>
      <c r="C342" s="262" t="str">
        <f>CONCATENATE(prefix_mgmt_witness_vlan,"10")</f>
        <v>2110</v>
      </c>
      <c r="D342" s="265"/>
      <c r="E342" s="161"/>
    </row>
    <row r="343" spans="2:5" ht="20.05" customHeight="1" x14ac:dyDescent="0.35">
      <c r="B343" s="22" t="s">
        <v>187</v>
      </c>
      <c r="C343" s="159" t="str">
        <f>IF(cluster_wld_domain_chosen="VI Workload Domain",CONCATENATE(prefix_other_region_az1_cidr,"10.1"),CONCATENATE(prefix_other_region_az1_cidr,"10.1"))</f>
        <v>10.21.10.1</v>
      </c>
      <c r="D343" s="265"/>
      <c r="E343" s="161"/>
    </row>
    <row r="344" spans="2:5" ht="20.05" customHeight="1" x14ac:dyDescent="0.35">
      <c r="B344" s="22" t="s">
        <v>188</v>
      </c>
      <c r="C344" s="159" t="str">
        <f>IF(cluster_wld_domain_chosen="VI Workload Domain",CONCATENATE(prefix_other_region_az1_cidr,"10.0/24"),CONCATENATE(prefix_other_region_az1_cidr,"10.0/24"))</f>
        <v>10.21.10.0/24</v>
      </c>
      <c r="D344" s="265"/>
      <c r="E344" s="161"/>
    </row>
    <row r="345" spans="2:5" ht="20.05" customHeight="1" x14ac:dyDescent="0.35">
      <c r="B345" s="22" t="s">
        <v>160</v>
      </c>
      <c r="C345" s="262">
        <v>1500</v>
      </c>
      <c r="D345" s="265"/>
      <c r="E345" s="161"/>
    </row>
    <row r="346" spans="2:5" ht="16" customHeight="1" x14ac:dyDescent="0.35">
      <c r="B346" s="120"/>
      <c r="C346" s="35"/>
      <c r="D346" s="35"/>
      <c r="E346" s="35"/>
    </row>
    <row r="347" spans="2:5" ht="34" customHeight="1" x14ac:dyDescent="0.35">
      <c r="B347" s="563" t="s">
        <v>1066</v>
      </c>
      <c r="C347" s="564"/>
      <c r="D347" s="564"/>
      <c r="E347" s="565"/>
    </row>
    <row r="348" spans="2:5" ht="20.05" customHeight="1" x14ac:dyDescent="0.35">
      <c r="B348" s="375"/>
      <c r="C348" s="376"/>
      <c r="D348" s="376"/>
      <c r="E348" s="376"/>
    </row>
    <row r="349" spans="2:5" ht="20.05" customHeight="1" x14ac:dyDescent="0.35">
      <c r="B349" s="346" t="s">
        <v>17</v>
      </c>
      <c r="C349" s="346" t="s">
        <v>18</v>
      </c>
      <c r="D349" s="346" t="s">
        <v>19</v>
      </c>
      <c r="E349" s="346" t="s">
        <v>20</v>
      </c>
    </row>
    <row r="350" spans="2:5" ht="20.05" customHeight="1" x14ac:dyDescent="0.35">
      <c r="B350" s="22" t="s">
        <v>273</v>
      </c>
      <c r="C350" s="126" t="str">
        <f>CONCATENATE(other_instance,"-m01-vc01.",other_instance,".rainpole.io")</f>
        <v>lax-m01-vc01.lax.rainpole.io</v>
      </c>
      <c r="D350" s="265"/>
      <c r="E350" s="161" t="s">
        <v>274</v>
      </c>
    </row>
    <row r="351" spans="2:5" ht="20.05" customHeight="1" x14ac:dyDescent="0.35">
      <c r="B351" s="22" t="s">
        <v>276</v>
      </c>
      <c r="C351" s="126" t="str">
        <f>IF(cluster_wld_domain_chosen="VI Workload Domain",CONCATENATE(this_instance,"-w0",wld_domain_number_chosen,"-cl02-vsw01"),CONCATENATE(this_instance,"-m01","-cl02-vsw01"))</f>
        <v>sfo-w01-cl02-vsw01</v>
      </c>
      <c r="D351" s="265"/>
      <c r="E351" s="161"/>
    </row>
    <row r="352" spans="2:5" ht="20.05" customHeight="1" x14ac:dyDescent="0.35">
      <c r="B352" s="22" t="s">
        <v>277</v>
      </c>
      <c r="C352" s="362" t="str">
        <f>CONCATENATE(other_instance,"-m01-cl01")</f>
        <v>lax-m01-cl01</v>
      </c>
      <c r="D352" s="265"/>
      <c r="E352" s="161"/>
    </row>
    <row r="353" spans="2:5" ht="20.05" customHeight="1" x14ac:dyDescent="0.35">
      <c r="B353" s="22" t="s">
        <v>278</v>
      </c>
      <c r="C353" s="362" t="str">
        <f>CONCATENATE(other_instance,"-fd-mgmt")</f>
        <v>lax-fd-mgmt</v>
      </c>
      <c r="D353" s="265"/>
      <c r="E353" s="161"/>
    </row>
    <row r="354" spans="2:5" ht="20.05" customHeight="1" x14ac:dyDescent="0.35">
      <c r="B354" s="22" t="s">
        <v>279</v>
      </c>
      <c r="C354" s="362" t="str">
        <f>CONCATENATE(other_instance,"-m01-cl01-ds-vsan01")</f>
        <v>lax-m01-cl01-ds-vsan01</v>
      </c>
      <c r="D354" s="265"/>
      <c r="E354" s="161"/>
    </row>
    <row r="355" spans="2:5" ht="20.05" customHeight="1" x14ac:dyDescent="0.35">
      <c r="B355" s="22" t="s">
        <v>280</v>
      </c>
      <c r="C355" s="362" t="str">
        <f>CONCATENATE(other_instance,"01-m01-cl01-vds01-pg-vm-mgmt")</f>
        <v>lax01-m01-cl01-vds01-pg-vm-mgmt</v>
      </c>
      <c r="D355" s="265"/>
      <c r="E355" s="161"/>
    </row>
    <row r="356" spans="2:5" ht="20.05" customHeight="1" x14ac:dyDescent="0.35">
      <c r="B356" s="22" t="s">
        <v>281</v>
      </c>
      <c r="C356" s="362" t="str">
        <f>CONCATENATE(other_instance,"01-m01-cl01-vds01-pg-vm-mgmt")</f>
        <v>lax01-m01-cl01-vds01-pg-vm-mgmt</v>
      </c>
      <c r="D356" s="269" t="str">
        <f>cluster_witness_mgmt_pg</f>
        <v>Value Missing</v>
      </c>
      <c r="E356" s="161"/>
    </row>
    <row r="357" spans="2:5" ht="20.05" customHeight="1" x14ac:dyDescent="0.35">
      <c r="B357" s="22" t="s">
        <v>282</v>
      </c>
      <c r="C357" s="362" t="str">
        <f>sample_cluster_esx_root_password</f>
        <v>VMw@re1!</v>
      </c>
      <c r="D357" s="269" t="str">
        <f>cluster_esx_root_password</f>
        <v>Value Missing</v>
      </c>
      <c r="E357" s="161" t="str">
        <f>IF(cluster_wld_domain_chosen="VI Workload Domain",
IF(mgmt_dpg_reuse_result="Included",CONCATENATE(prefix_other_region_az1_cidr,"10.",(219+(wld_domain_number_chosen+3))),CONCATENATE(prefix_other_region_az1_cidr,"11.",(219+(wld_domain_number_chosen+3)))),
IF(mgmt_dpg_reuse_result="Included",CONCATENATE(prefix_other_region_az1_cidr,"10.",(218+(4))),CONCATENATE(prefix_other_region_az1_cidr,"11.",(218+(4)))))</f>
        <v>10.21.10.223</v>
      </c>
    </row>
    <row r="358" spans="2:5" ht="20.05" customHeight="1" x14ac:dyDescent="0.35">
      <c r="B358" s="22" t="s">
        <v>283</v>
      </c>
      <c r="C358" s="126" t="str">
        <f>IF(cluster_wld_domain_chosen="VI Workload Domain",
IF(mgmt_dpg_reuse_result="Included",CONCATENATE(prefix_other_region_az1_cidr,"10.",(219+(wld_domain_number_chosen+3))),CONCATENATE(prefix_other_region_az1_cidr,"11.",(219+(wld_domain_number_chosen+3)))),
IF(mgmt_dpg_reuse_result="Included",CONCATENATE(prefix_other_region_az1_cidr,"10.",(218+(4))),CONCATENATE(prefix_other_region_az1_cidr,"11.",(218+(4)))))</f>
        <v>10.21.10.223</v>
      </c>
      <c r="D358" s="265"/>
      <c r="E358" s="161" t="s">
        <v>284</v>
      </c>
    </row>
    <row r="359" spans="2:5" ht="20.05" customHeight="1" x14ac:dyDescent="0.35">
      <c r="B359" s="22" t="s">
        <v>285</v>
      </c>
      <c r="C359" s="362" t="str">
        <f>VLOOKUP(INT(RIGHT(sample_wld_witnessaz_mgmt_cidr,LEN(sample_wld_witnessaz_mgmt_cidr)-FIND("/",sample_wld_witnessaz_mgmt_cidr))),table_cidr_to_mask,2,FALSE)</f>
        <v>255.255.255.0</v>
      </c>
      <c r="D359" s="269"/>
      <c r="E359" s="161"/>
    </row>
    <row r="360" spans="2:5" ht="20.05" customHeight="1" x14ac:dyDescent="0.35">
      <c r="B360" s="22" t="s">
        <v>187</v>
      </c>
      <c r="C360" s="362" t="str">
        <f>sample_cluster_witnessaz_mgmt_gateway_ip</f>
        <v>10.21.10.1</v>
      </c>
      <c r="D360" s="269" t="str">
        <f t="array" ref="D360">cluster_witnessaz_mgmt_gateway_ip</f>
        <v>Value Missing</v>
      </c>
      <c r="E360" s="161"/>
    </row>
    <row r="361" spans="2:5" ht="20.05" customHeight="1" x14ac:dyDescent="0.35">
      <c r="B361" s="22" t="s">
        <v>286</v>
      </c>
      <c r="C361" s="362" t="str">
        <f>sample_child_dns_zone</f>
        <v>sfo.rainpole.io</v>
      </c>
      <c r="D361" s="265"/>
      <c r="E361" s="161"/>
    </row>
    <row r="362" spans="2:5" ht="20.05" customHeight="1" x14ac:dyDescent="0.35">
      <c r="B362" s="22" t="s">
        <v>287</v>
      </c>
      <c r="C362" s="362" t="str">
        <f>sample_cluster_witness_hostname</f>
        <v>sfo-w01-cl02-vsw01</v>
      </c>
      <c r="D362" s="269" t="str">
        <f t="array" ref="D362">cluster_witness_hostname</f>
        <v>Value Missing</v>
      </c>
      <c r="E362" s="161"/>
    </row>
    <row r="363" spans="2:5" ht="20.05" customHeight="1" x14ac:dyDescent="0.35">
      <c r="B363" s="22" t="s">
        <v>288</v>
      </c>
      <c r="C363" s="362" t="str">
        <f>IF(mgmt_dpg_reuse_result="Included",CONCATENATE(prefix_other_region_az1_cidr,"10.4"),CONCATENATE(prefix_other_region_az1_cidr,"11.4"))</f>
        <v>10.21.10.4</v>
      </c>
      <c r="D363" s="265"/>
      <c r="E363" s="161" t="s">
        <v>289</v>
      </c>
    </row>
    <row r="364" spans="2:5" ht="20.05" customHeight="1" x14ac:dyDescent="0.35">
      <c r="B364" s="22" t="s">
        <v>290</v>
      </c>
      <c r="C364" s="362" t="str">
        <f>IF(mgmt_dpg_reuse_result="Included",CONCATENATE(prefix_other_region_az1_cidr,"10.5"),CONCATENATE(prefix_other_region_az1_cidr,"11.5"))</f>
        <v>10.21.10.5</v>
      </c>
      <c r="D364" s="265"/>
      <c r="E364" s="161" t="s">
        <v>291</v>
      </c>
    </row>
    <row r="365" spans="2:5" ht="20.05" customHeight="1" x14ac:dyDescent="0.35">
      <c r="B365" s="22" t="s">
        <v>292</v>
      </c>
      <c r="C365" s="362" t="str">
        <f>CONCATENATE("ntp0.",other_instance,".rainpole.io")</f>
        <v>ntp0.lax.rainpole.io</v>
      </c>
      <c r="D365" s="265"/>
      <c r="E365" s="161"/>
    </row>
    <row r="366" spans="2:5" ht="20.05" customHeight="1" x14ac:dyDescent="0.35">
      <c r="B366" s="22" t="s">
        <v>293</v>
      </c>
      <c r="C366" s="362" t="str">
        <f>CONCATENATE("ntp1.",other_instance,".rainpole.io")</f>
        <v>ntp1.lax.rainpole.io</v>
      </c>
      <c r="D366" s="265"/>
      <c r="E366" s="161"/>
    </row>
    <row r="367" spans="2:5" ht="20.05" customHeight="1" x14ac:dyDescent="0.35">
      <c r="B367" s="566" t="s">
        <v>294</v>
      </c>
      <c r="C367" s="567"/>
      <c r="D367" s="567"/>
      <c r="E367" s="568"/>
    </row>
    <row r="368" spans="2:5" ht="20.05" customHeight="1" x14ac:dyDescent="0.35">
      <c r="B368" s="346" t="s">
        <v>17</v>
      </c>
      <c r="C368" s="346" t="s">
        <v>18</v>
      </c>
      <c r="D368" s="346" t="s">
        <v>19</v>
      </c>
      <c r="E368" s="346" t="s">
        <v>20</v>
      </c>
    </row>
    <row r="369" spans="2:5" ht="20.05" customHeight="1" x14ac:dyDescent="0.35">
      <c r="B369" s="22" t="s">
        <v>273</v>
      </c>
      <c r="C369" s="362" t="str">
        <f>IF(cluster_wld_domain_chosen="VI Workload Domain",CONCATENATE(this_instance,"-w0",wld_domain_number_chosen,"-vc01",this_instance,".rainpole.io"),CONCATENATE(this_instance,"-m01-vc01.",this_instance,".rainpole.io"))</f>
        <v>sfo-w01-vc01sfo.rainpole.io</v>
      </c>
      <c r="D369" s="264"/>
      <c r="E369" s="22"/>
    </row>
    <row r="370" spans="2:5" ht="20.05" customHeight="1" x14ac:dyDescent="0.35">
      <c r="B370" s="22" t="s">
        <v>295</v>
      </c>
      <c r="C370" s="362" t="str">
        <f>IF(cluster_wld_domain_chosen="VI Workload Domain",CONCATENATE(this_instance,"-w0",wld_domain_number_chosen,"-dc"),sample_mgmt_datacenter)</f>
        <v>sfo-w01-dc</v>
      </c>
      <c r="D370" s="264"/>
      <c r="E370" s="22"/>
    </row>
    <row r="371" spans="2:5" ht="20.05" customHeight="1" x14ac:dyDescent="0.35">
      <c r="B371" s="22" t="s">
        <v>38</v>
      </c>
      <c r="C371" s="362" t="str">
        <f>IF(cluster_wld_domain_chosen="VI Workload Domain",CONCATENATE(sample_cluster_witness_hostname,".",sample_child_dns_zone),CONCATENATE(sample_cluster_witness_hostname,".",sample_child_dns_zone))</f>
        <v>sfo-w01-cl02-vsw01.sfo.rainpole.io</v>
      </c>
      <c r="D371" s="264"/>
      <c r="E371" s="22"/>
    </row>
    <row r="372" spans="2:5" ht="20.05" customHeight="1" x14ac:dyDescent="0.35">
      <c r="B372" s="22" t="s">
        <v>296</v>
      </c>
      <c r="C372" s="362" t="str">
        <f>sample_cluster_esx_root_password</f>
        <v>VMw@re1!</v>
      </c>
      <c r="D372" s="268" t="str">
        <f>cluster_esx_root_password</f>
        <v>Value Missing</v>
      </c>
      <c r="E372" s="22"/>
    </row>
    <row r="373" spans="2:5" ht="20.05" customHeight="1" x14ac:dyDescent="0.35">
      <c r="B373" s="566" t="s">
        <v>297</v>
      </c>
      <c r="C373" s="567"/>
      <c r="D373" s="567"/>
      <c r="E373" s="568"/>
    </row>
    <row r="374" spans="2:5" ht="20.05" customHeight="1" x14ac:dyDescent="0.35">
      <c r="B374" s="346" t="s">
        <v>17</v>
      </c>
      <c r="C374" s="346" t="s">
        <v>18</v>
      </c>
      <c r="D374" s="346" t="s">
        <v>19</v>
      </c>
      <c r="E374" s="346" t="s">
        <v>20</v>
      </c>
    </row>
    <row r="375" spans="2:5" ht="20.05" customHeight="1" x14ac:dyDescent="0.35">
      <c r="B375" s="22" t="s">
        <v>273</v>
      </c>
      <c r="C375" s="362" t="str">
        <f>sample_cluster_vc_fqdn</f>
        <v>sfo-w01-vc01sfo.rainpole.io</v>
      </c>
      <c r="D375" s="268" t="str">
        <f>cluster_vc_fqdn</f>
        <v>Value Missing</v>
      </c>
      <c r="E375" s="22"/>
    </row>
    <row r="376" spans="2:5" ht="20.05" customHeight="1" x14ac:dyDescent="0.35">
      <c r="B376" s="22" t="s">
        <v>298</v>
      </c>
      <c r="C376" s="159" t="str">
        <f>sample_cluster_witness_hostname</f>
        <v>sfo-w01-cl02-vsw01</v>
      </c>
      <c r="D376" s="268" t="str">
        <f t="array" ref="D376">cluster_witness_hostname</f>
        <v>Value Missing</v>
      </c>
      <c r="E376" s="22"/>
    </row>
    <row r="377" spans="2:5" ht="20.05" customHeight="1" x14ac:dyDescent="0.35">
      <c r="B377" s="22" t="s">
        <v>299</v>
      </c>
      <c r="C377" s="159" t="str">
        <f>CONCATENATE(sample_cluster_witness_ntp1_server," ",sample_cluster_witness_ntp2_server)</f>
        <v>ntp0.lax.rainpole.io ntp1.lax.rainpole.io</v>
      </c>
      <c r="D377" s="268" t="str">
        <f t="array" ref="D377">CONCATENATE(cluster_witness_ntp1_server," ",cluster_witness_ntp2_server)</f>
        <v>Value Missing Value Missing</v>
      </c>
      <c r="E377" s="193"/>
    </row>
    <row r="378" spans="2:5" ht="20.05" customHeight="1" x14ac:dyDescent="0.35">
      <c r="B378" s="566" t="s">
        <v>300</v>
      </c>
      <c r="C378" s="567"/>
      <c r="D378" s="567"/>
      <c r="E378" s="568"/>
    </row>
    <row r="379" spans="2:5" ht="20.05" customHeight="1" x14ac:dyDescent="0.35">
      <c r="B379" s="346" t="s">
        <v>17</v>
      </c>
      <c r="C379" s="346" t="s">
        <v>18</v>
      </c>
      <c r="D379" s="346" t="s">
        <v>19</v>
      </c>
      <c r="E379" s="346" t="s">
        <v>20</v>
      </c>
    </row>
    <row r="380" spans="2:5" ht="20.05" customHeight="1" x14ac:dyDescent="0.35">
      <c r="B380" s="22" t="s">
        <v>273</v>
      </c>
      <c r="C380" s="362" t="str">
        <f>sample_cluster_vc_fqdn</f>
        <v>sfo-w01-vc01sfo.rainpole.io</v>
      </c>
      <c r="D380" s="268" t="str">
        <f>cluster_vc_fqdn</f>
        <v>Value Missing</v>
      </c>
      <c r="E380" s="22"/>
    </row>
    <row r="381" spans="2:5" ht="20.05" customHeight="1" x14ac:dyDescent="0.35">
      <c r="B381" s="22" t="s">
        <v>301</v>
      </c>
      <c r="C381" s="159" t="str">
        <f>IF(cluster_wld_domain_chosen="VI Workload Domain",CONCATENATE(this_instance,"-w0",wld_domain_number_chosen,"-dc"),sample_mgmt_datacenter)</f>
        <v>sfo-w01-dc</v>
      </c>
      <c r="D381" s="268" t="str">
        <f t="array" ref="D381">cluster_datacenter</f>
        <v>Value Missing</v>
      </c>
      <c r="E381" s="22"/>
    </row>
    <row r="382" spans="2:5" ht="20.05" customHeight="1" x14ac:dyDescent="0.35">
      <c r="B382" s="22" t="s">
        <v>302</v>
      </c>
      <c r="C382" s="159" t="str">
        <f>sample_cluster_witness_hostname</f>
        <v>sfo-w01-cl02-vsw01</v>
      </c>
      <c r="D382" s="268" t="str">
        <f>cluster_witness_hostname</f>
        <v>Value Missing</v>
      </c>
      <c r="E382" s="22"/>
    </row>
    <row r="383" spans="2:5" ht="20.05" customHeight="1" x14ac:dyDescent="0.35">
      <c r="B383" s="569"/>
      <c r="C383" s="569"/>
      <c r="D383" s="569"/>
      <c r="E383" s="569"/>
    </row>
    <row r="384" spans="2:5" ht="34" customHeight="1" x14ac:dyDescent="0.35">
      <c r="B384" s="563" t="s">
        <v>303</v>
      </c>
      <c r="C384" s="564"/>
      <c r="D384" s="564"/>
      <c r="E384" s="565"/>
    </row>
    <row r="385" spans="2:5" ht="20.05" customHeight="1" x14ac:dyDescent="0.35">
      <c r="B385" s="375"/>
      <c r="C385" s="376"/>
      <c r="D385" s="376"/>
      <c r="E385" s="376"/>
    </row>
    <row r="386" spans="2:5" ht="20.05" customHeight="1" x14ac:dyDescent="0.35">
      <c r="B386" s="346" t="s">
        <v>17</v>
      </c>
      <c r="C386" s="346" t="s">
        <v>18</v>
      </c>
      <c r="D386" s="346" t="s">
        <v>19</v>
      </c>
      <c r="E386" s="346" t="s">
        <v>20</v>
      </c>
    </row>
    <row r="387" spans="2:5" ht="20.05" customHeight="1" x14ac:dyDescent="0.35">
      <c r="B387" s="22" t="str">
        <f t="array" ref="B387:B402">cluster_az2_host_fqdns</f>
        <v>Value Missing</v>
      </c>
      <c r="C387" s="159" t="s">
        <v>305</v>
      </c>
      <c r="D387" s="264"/>
      <c r="E387" s="320" t="s">
        <v>306</v>
      </c>
    </row>
    <row r="388" spans="2:5" ht="20.05" customHeight="1" x14ac:dyDescent="0.35">
      <c r="B388" s="22" t="str">
        <v>Value Missing</v>
      </c>
      <c r="C388" s="159" t="s">
        <v>307</v>
      </c>
      <c r="D388" s="264"/>
      <c r="E388" s="320" t="s">
        <v>308</v>
      </c>
    </row>
    <row r="389" spans="2:5" ht="20.05" customHeight="1" x14ac:dyDescent="0.35">
      <c r="B389" s="22" t="str">
        <v>Value Missing</v>
      </c>
      <c r="C389" s="159" t="s">
        <v>309</v>
      </c>
      <c r="D389" s="264"/>
      <c r="E389" s="320" t="s">
        <v>310</v>
      </c>
    </row>
    <row r="390" spans="2:5" ht="20.05" customHeight="1" x14ac:dyDescent="0.35">
      <c r="B390" s="22" t="str">
        <v>Value Missing</v>
      </c>
      <c r="C390" s="159" t="s">
        <v>311</v>
      </c>
      <c r="D390" s="264"/>
      <c r="E390" s="320" t="s">
        <v>312</v>
      </c>
    </row>
    <row r="391" spans="2:5" ht="20.05" customHeight="1" x14ac:dyDescent="0.35">
      <c r="B391" s="22" t="str">
        <v>Value Missing</v>
      </c>
      <c r="C391" s="159" t="s">
        <v>313</v>
      </c>
      <c r="D391" s="264"/>
      <c r="E391" s="320" t="s">
        <v>314</v>
      </c>
    </row>
    <row r="392" spans="2:5" ht="20.05" customHeight="1" x14ac:dyDescent="0.35">
      <c r="B392" s="22" t="str">
        <v>Value Missing</v>
      </c>
      <c r="C392" s="159" t="s">
        <v>315</v>
      </c>
      <c r="D392" s="264"/>
      <c r="E392" s="320" t="s">
        <v>316</v>
      </c>
    </row>
    <row r="393" spans="2:5" ht="20.05" customHeight="1" x14ac:dyDescent="0.35">
      <c r="B393" s="22" t="str">
        <v>Value Missing</v>
      </c>
      <c r="C393" s="159" t="s">
        <v>317</v>
      </c>
      <c r="D393" s="264"/>
      <c r="E393" s="320" t="s">
        <v>318</v>
      </c>
    </row>
    <row r="394" spans="2:5" ht="20.05" customHeight="1" x14ac:dyDescent="0.35">
      <c r="B394" s="22" t="str">
        <v>Value Missing</v>
      </c>
      <c r="C394" s="159" t="s">
        <v>319</v>
      </c>
      <c r="D394" s="264"/>
      <c r="E394" s="320" t="s">
        <v>320</v>
      </c>
    </row>
    <row r="395" spans="2:5" ht="20.05" customHeight="1" x14ac:dyDescent="0.35">
      <c r="B395" s="22" t="str">
        <v>Value Missing</v>
      </c>
      <c r="C395" s="159" t="s">
        <v>321</v>
      </c>
      <c r="D395" s="264"/>
      <c r="E395" s="320" t="s">
        <v>322</v>
      </c>
    </row>
    <row r="396" spans="2:5" ht="20.05" customHeight="1" x14ac:dyDescent="0.35">
      <c r="B396" s="22" t="str">
        <v>Value Missing</v>
      </c>
      <c r="C396" s="159" t="s">
        <v>323</v>
      </c>
      <c r="D396" s="264"/>
      <c r="E396" s="320" t="s">
        <v>324</v>
      </c>
    </row>
    <row r="397" spans="2:5" ht="20.05" customHeight="1" x14ac:dyDescent="0.35">
      <c r="B397" s="22" t="str">
        <v>Value Missing</v>
      </c>
      <c r="C397" s="159" t="s">
        <v>325</v>
      </c>
      <c r="D397" s="264"/>
      <c r="E397" s="320" t="s">
        <v>326</v>
      </c>
    </row>
    <row r="398" spans="2:5" ht="20.05" customHeight="1" x14ac:dyDescent="0.35">
      <c r="B398" s="22" t="str">
        <v>Value Missing</v>
      </c>
      <c r="C398" s="159" t="s">
        <v>327</v>
      </c>
      <c r="D398" s="264"/>
      <c r="E398" s="320" t="s">
        <v>328</v>
      </c>
    </row>
    <row r="399" spans="2:5" ht="20.05" customHeight="1" x14ac:dyDescent="0.35">
      <c r="B399" s="22" t="str">
        <v>Value Missing</v>
      </c>
      <c r="C399" s="159" t="s">
        <v>329</v>
      </c>
      <c r="D399" s="264"/>
      <c r="E399" s="320" t="s">
        <v>330</v>
      </c>
    </row>
    <row r="400" spans="2:5" ht="20.05" customHeight="1" x14ac:dyDescent="0.35">
      <c r="B400" s="22" t="str">
        <v>Value Missing</v>
      </c>
      <c r="C400" s="159" t="s">
        <v>331</v>
      </c>
      <c r="D400" s="264"/>
      <c r="E400" s="320" t="s">
        <v>332</v>
      </c>
    </row>
    <row r="401" spans="2:5" ht="20.05" customHeight="1" x14ac:dyDescent="0.35">
      <c r="B401" s="22" t="str">
        <v>Value Missing</v>
      </c>
      <c r="C401" s="159" t="s">
        <v>333</v>
      </c>
      <c r="D401" s="264"/>
      <c r="E401" s="320" t="s">
        <v>334</v>
      </c>
    </row>
    <row r="402" spans="2:5" ht="20.05" customHeight="1" x14ac:dyDescent="0.35">
      <c r="B402" s="22" t="str">
        <v>Value Missing</v>
      </c>
      <c r="C402" s="159" t="s">
        <v>335</v>
      </c>
      <c r="D402" s="264"/>
      <c r="E402" s="320" t="s">
        <v>336</v>
      </c>
    </row>
    <row r="403" spans="2:5" ht="20.05" customHeight="1" x14ac:dyDescent="0.35">
      <c r="B403" s="22" t="s">
        <v>1182</v>
      </c>
      <c r="C403" s="159" t="s">
        <v>1183</v>
      </c>
      <c r="D403" s="265" t="s">
        <v>1183</v>
      </c>
      <c r="E403" s="321" t="str">
        <f>IF(AND((cluster_principal_storage_chosen="vSAN Compute Cluster"),(cluster_stretched_cluster_result="Included")),"If there is a defined disparity in connectivity between the Availability Zone use asymmetric","Inputs Masked out based deploy Deployment Options selected - Only required for vSAN Stretched Compute Clusters")</f>
        <v>Inputs Masked out based deploy Deployment Options selected - Only required for vSAN Stretched Compute Clusters</v>
      </c>
    </row>
    <row r="404" spans="2:5" ht="20.05" customHeight="1" x14ac:dyDescent="0.35">
      <c r="B404" s="22" t="s">
        <v>1184</v>
      </c>
      <c r="C404" s="159" t="s">
        <v>1185</v>
      </c>
      <c r="D404" s="265" t="s">
        <v>1185</v>
      </c>
      <c r="E404" s="321" t="str">
        <f>IF(AND((cluster_principal_storage_chosen="vSAN Compute Cluster"),(cluster_stretched_cluster_result="Included")),"Configuring site coupling will help maintain data affinity from an AZ perspectibe between the compute cluster and the storage cluster fault domains","Inputs Masked out based deploy Deployment Options selected - Only required for vSAN Stretched Compute Clusters")</f>
        <v>Inputs Masked out based deploy Deployment Options selected - Only required for vSAN Stretched Compute Clusters</v>
      </c>
    </row>
    <row r="405" spans="2:5" ht="20.05" customHeight="1" x14ac:dyDescent="0.35">
      <c r="B405" s="22" t="s">
        <v>337</v>
      </c>
      <c r="C405" s="159" t="str">
        <f>IF(cluster_wld_domain_chosen="VI Workload Domain",CONCATENATE(this_instance,"02-",sample_cluster_name,"-r01-network-profile"),CONCATENATE(this_instance,"02-",sample_cluster_name,"-r01-network-profile"))</f>
        <v>sfo02-sfo-w01-cl02-r01-network-profile</v>
      </c>
      <c r="D405" s="265"/>
      <c r="E405" s="161"/>
    </row>
    <row r="406" spans="2:5" ht="20.05" customHeight="1" x14ac:dyDescent="0.35">
      <c r="B406" s="4" t="s">
        <v>338</v>
      </c>
      <c r="C406" s="362" t="s">
        <v>339</v>
      </c>
      <c r="D406" s="265" t="s">
        <v>339</v>
      </c>
      <c r="E406" s="337"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407" spans="2:5" ht="20.05" customHeight="1" x14ac:dyDescent="0.35">
      <c r="B407" s="22" t="s">
        <v>340</v>
      </c>
      <c r="C407" s="159" t="str">
        <f>IF(cluster_wld_domain_chosen="VI Workload Domain",CONCATENATE(this_instance,"02-w0",wld_domain_number_chosen,"-r01-ip-pool01-host"),CONCATENATE(this_instance,"02-m01","-r01-ip-pool01-host"))</f>
        <v>sfo02-w01-r01-ip-pool01-host</v>
      </c>
      <c r="D407" s="265"/>
      <c r="E407" s="161"/>
    </row>
    <row r="408" spans="2:5" ht="20.05" customHeight="1" x14ac:dyDescent="0.35">
      <c r="B408" s="22" t="s">
        <v>341</v>
      </c>
      <c r="C408" s="159" t="str">
        <f>IF(cluster_wld_domain_chosen="VI Workload Domain",CONCATENATE(this_instance,"02-w0",wld_domain_number_chosen,"-r01-uplink-profile-01"),CONCATENATE(this_instance,"02-m01","-r01-uplink-profile-01"))</f>
        <v>sfo02-w01-r01-uplink-profile-01</v>
      </c>
      <c r="D408" s="265"/>
      <c r="E408" s="161"/>
    </row>
    <row r="409" spans="2:5" ht="20.05" customHeight="1" x14ac:dyDescent="0.35">
      <c r="B409" s="17" t="s">
        <v>342</v>
      </c>
      <c r="C409" s="262" t="str">
        <f>IF(cluster_wld_domain_chosen="VI Workload Domain",CONCATENATE(prefix_wld_az2_vlan,"14"),CONCATENATE(prefix_mgmt_az2_vlan,"14"))</f>
        <v>1414</v>
      </c>
      <c r="D409" s="265"/>
      <c r="E409" s="161"/>
    </row>
    <row r="410" spans="2:5" ht="20.05" customHeight="1" x14ac:dyDescent="0.35">
      <c r="B410" s="4" t="s">
        <v>343</v>
      </c>
      <c r="C410" s="262" t="str">
        <f>IF(cluster_wld_domain_chosen="VI Workload Domain",CONCATENATE(prefix_wld_az2_cidr,"14.0/24"),CONCATENATE(prefix_mgmt_az2_cidr,"14.0/24"))</f>
        <v>10.14.14.0/24</v>
      </c>
      <c r="D410" s="266"/>
      <c r="E410" s="161"/>
    </row>
    <row r="411" spans="2:5" ht="20.05" customHeight="1" x14ac:dyDescent="0.35">
      <c r="B411" s="4" t="s">
        <v>344</v>
      </c>
      <c r="C411" s="262" t="str">
        <f>IF(cluster_wld_domain_chosen="VI Workload Domain",CONCATENATE(prefix_wld_az2_cidr,"14.1"),CONCATENATE(prefix_mgmt_az2_cidr,"14.1"))</f>
        <v>10.14.14.1</v>
      </c>
      <c r="D411" s="267"/>
      <c r="E411" s="161"/>
    </row>
    <row r="412" spans="2:5" ht="20.05" customHeight="1" x14ac:dyDescent="0.35">
      <c r="B412" s="4" t="s">
        <v>345</v>
      </c>
      <c r="C412" s="262">
        <v>9000</v>
      </c>
      <c r="D412" s="267"/>
      <c r="E412" s="161"/>
    </row>
    <row r="413" spans="2:5" ht="20.05" customHeight="1" x14ac:dyDescent="0.35">
      <c r="B413" s="22" t="s">
        <v>255</v>
      </c>
      <c r="C413" s="262" t="str">
        <f>IF(cluster_wld_domain_chosen="VI Workload Domain",CONCATENATE(prefix_wld_az2_cidr,"14.101"),CONCATENATE(prefix_mgmt_az2_cidr,"14.101"))</f>
        <v>10.14.14.101</v>
      </c>
      <c r="D413" s="267"/>
      <c r="E413" s="161"/>
    </row>
    <row r="414" spans="2:5" ht="20.05" customHeight="1" x14ac:dyDescent="0.35">
      <c r="B414" s="22" t="s">
        <v>256</v>
      </c>
      <c r="C414" s="262" t="str">
        <f>IF(cluster_wld_domain_chosen="VI Workload Domain",CONCATENATE(prefix_wld_az2_cidr,"14.132"),CONCATENATE(prefix_mgmt_az2_cidr,"14.132"))</f>
        <v>10.14.14.132</v>
      </c>
      <c r="D414" s="267"/>
      <c r="E414" s="161"/>
    </row>
    <row r="415" spans="2:5" ht="20.05" customHeight="1" x14ac:dyDescent="0.35">
      <c r="B415" s="22" t="s">
        <v>1082</v>
      </c>
      <c r="C415" s="362" t="str">
        <f>sample_cluster_witness_fqdn</f>
        <v>sfo-w01-cl02-vsw01.sfo.rainpole.io</v>
      </c>
      <c r="D415" s="268" t="str">
        <f>cluster_witness_fqdn</f>
        <v>Value Missing</v>
      </c>
      <c r="E415" s="193"/>
    </row>
    <row r="416" spans="2:5" ht="20.05" customHeight="1" x14ac:dyDescent="0.35">
      <c r="B416" s="22" t="s">
        <v>350</v>
      </c>
      <c r="C416" s="362" t="str">
        <f>sample_cluster_witnessaz_mgmt_cidr</f>
        <v>10.21.10.0/24</v>
      </c>
      <c r="D416" s="268" t="str">
        <f>cluster_witnessaz_mgmt_cidr</f>
        <v>Value Missing</v>
      </c>
      <c r="E416" s="193"/>
    </row>
    <row r="417" spans="2:5" ht="20.05" customHeight="1" x14ac:dyDescent="0.35">
      <c r="B417" s="22" t="s">
        <v>348</v>
      </c>
      <c r="C417" s="362" t="str">
        <f>sample_cluster_witness_ip</f>
        <v>10.21.10.223</v>
      </c>
      <c r="D417" s="269" t="str">
        <f>cluster_witness_ip</f>
        <v>Value Missing</v>
      </c>
      <c r="E417" s="161"/>
    </row>
    <row r="418" spans="2:5" ht="20.05" customHeight="1" x14ac:dyDescent="0.35">
      <c r="B418" s="22" t="s">
        <v>351</v>
      </c>
      <c r="C418" s="159" t="s">
        <v>352</v>
      </c>
      <c r="D418" s="265"/>
      <c r="E418" s="161" t="s">
        <v>353</v>
      </c>
    </row>
    <row r="419" spans="2:5" ht="20.05" customHeight="1" x14ac:dyDescent="0.35">
      <c r="B419" s="569"/>
      <c r="C419" s="569"/>
      <c r="D419" s="569"/>
      <c r="E419" s="569"/>
    </row>
    <row r="420" spans="2:5" ht="34" customHeight="1" x14ac:dyDescent="0.35">
      <c r="B420" s="563" t="s">
        <v>354</v>
      </c>
      <c r="C420" s="564"/>
      <c r="D420" s="564"/>
      <c r="E420" s="565"/>
    </row>
    <row r="421" spans="2:5" ht="20.05" customHeight="1" x14ac:dyDescent="0.35">
      <c r="B421" s="566" t="s">
        <v>355</v>
      </c>
      <c r="C421" s="567"/>
      <c r="D421" s="567"/>
      <c r="E421" s="568"/>
    </row>
    <row r="422" spans="2:5" ht="20.05" customHeight="1" x14ac:dyDescent="0.35">
      <c r="B422" s="346" t="s">
        <v>17</v>
      </c>
      <c r="C422" s="346" t="s">
        <v>18</v>
      </c>
      <c r="D422" s="346" t="s">
        <v>19</v>
      </c>
      <c r="E422" s="346" t="s">
        <v>20</v>
      </c>
    </row>
    <row r="423" spans="2:5" ht="20.05" customHeight="1" x14ac:dyDescent="0.35">
      <c r="B423" s="22" t="s">
        <v>356</v>
      </c>
      <c r="C423" s="159" t="str">
        <f>IF(cluster_wld_domain_chosen="VI Workload Domain",CONCATENATE(this_instance,"-w0",wld_domain_number_chosen,"-nsx01",".",sample_child_dns_zone),CONCATENATE(this_instance,"-m01-nsx01",".",sample_child_dns_zone))</f>
        <v>sfo-w01-nsx01.sfo.rainpole.io</v>
      </c>
      <c r="D423" s="265"/>
      <c r="E423" s="263"/>
    </row>
    <row r="424" spans="2:5" ht="20.05" customHeight="1" x14ac:dyDescent="0.35">
      <c r="B424" s="566" t="s">
        <v>357</v>
      </c>
      <c r="C424" s="567"/>
      <c r="D424" s="567"/>
      <c r="E424" s="568"/>
    </row>
    <row r="425" spans="2:5" ht="20.05" customHeight="1" x14ac:dyDescent="0.35">
      <c r="B425" s="346" t="s">
        <v>17</v>
      </c>
      <c r="C425" s="346" t="s">
        <v>18</v>
      </c>
      <c r="D425" s="346" t="s">
        <v>19</v>
      </c>
      <c r="E425" s="346" t="s">
        <v>20</v>
      </c>
    </row>
    <row r="426" spans="2:5" ht="20.05" customHeight="1" x14ac:dyDescent="0.35">
      <c r="B426" s="22" t="s">
        <v>356</v>
      </c>
      <c r="C426" s="159" t="str">
        <f>sample_cluster_nsxt_vip_fqdn</f>
        <v>sfo-w01-nsx01.sfo.rainpole.io</v>
      </c>
      <c r="D426" s="268" t="str">
        <f t="array" ref="D426">cluster_nsxt_vip_fqdn</f>
        <v>Value Missing</v>
      </c>
      <c r="E426" s="22"/>
    </row>
    <row r="427" spans="2:5" ht="20.05" customHeight="1" x14ac:dyDescent="0.35">
      <c r="B427" s="22" t="s">
        <v>358</v>
      </c>
      <c r="C427" s="159" t="str">
        <f>IF(cluster_wld_domain_chosen="VI Workload Domain",IF(mgmt_nsxt_federation_result="Included","65202","65102"),IF(mgmt_nsxt_federation_result="Excluded","65101","65201"))</f>
        <v>65102</v>
      </c>
      <c r="D427" s="264"/>
      <c r="E427" s="22"/>
    </row>
    <row r="428" spans="2:5" ht="20.05" customHeight="1" x14ac:dyDescent="0.35">
      <c r="B428" s="566" t="s">
        <v>359</v>
      </c>
      <c r="C428" s="567"/>
      <c r="D428" s="567"/>
      <c r="E428" s="568"/>
    </row>
    <row r="429" spans="2:5" ht="20.05" customHeight="1" x14ac:dyDescent="0.35">
      <c r="B429" s="346" t="s">
        <v>17</v>
      </c>
      <c r="C429" s="346" t="s">
        <v>18</v>
      </c>
      <c r="D429" s="346" t="s">
        <v>19</v>
      </c>
      <c r="E429" s="346" t="s">
        <v>20</v>
      </c>
    </row>
    <row r="430" spans="2:5" ht="20.05" customHeight="1" x14ac:dyDescent="0.35">
      <c r="B430" s="22" t="s">
        <v>356</v>
      </c>
      <c r="C430" s="255" t="str">
        <f>sample_cluster_nsxt_vip_fqdn</f>
        <v>sfo-w01-nsx01.sfo.rainpole.io</v>
      </c>
      <c r="D430" s="268" t="str">
        <f t="array" ref="D430">cluster_nsxt_vip_fqdn</f>
        <v>Value Missing</v>
      </c>
      <c r="E430" s="193"/>
    </row>
    <row r="431" spans="2:5" ht="20.05" customHeight="1" x14ac:dyDescent="0.35">
      <c r="B431" s="22" t="s">
        <v>360</v>
      </c>
      <c r="C431" s="159" t="str">
        <f>IF(cluster_wld_domain_chosen="VI Workload Domain",CONCATENATE(prefix_mgmt_az1_cidr,"17.11"),CONCATENATE(prefix_wld_az1_cidr,"17.11"))</f>
        <v>10.11.17.11</v>
      </c>
      <c r="D431" s="265"/>
      <c r="E431" s="161" t="s">
        <v>168</v>
      </c>
    </row>
    <row r="432" spans="2:5" ht="20.05" customHeight="1" x14ac:dyDescent="0.35">
      <c r="B432" s="22" t="s">
        <v>361</v>
      </c>
      <c r="C432" s="159" t="str">
        <f>IF(cluster_wld_domain_chosen="VI Workload Domain",CONCATENATE(asn_start,asn_instance,asn_mgmt_az2,1),CONCATENATE(asn_start,asn_instance,asn_wld_az2,1))</f>
        <v>65121</v>
      </c>
      <c r="D432" s="265"/>
      <c r="E432" s="161" t="s">
        <v>169</v>
      </c>
    </row>
    <row r="433" spans="2:5" ht="20.05" customHeight="1" x14ac:dyDescent="0.35">
      <c r="B433" s="22" t="s">
        <v>362</v>
      </c>
      <c r="C433" s="159" t="str">
        <f>IF(cluster_wld_domain_chosen="VI Workload Domain",CONCATENATE(prefix_mgmt_az1_cidr,"17.4/24"),CONCATENATE(prefix_wld_az1_cidr,"17.4/24"))</f>
        <v>10.11.17.4/24</v>
      </c>
      <c r="D433" s="264"/>
      <c r="E433" s="193"/>
    </row>
    <row r="434" spans="2:5" ht="20.05" customHeight="1" x14ac:dyDescent="0.35">
      <c r="B434" s="22" t="s">
        <v>363</v>
      </c>
      <c r="C434" s="159" t="str">
        <f>IF(cluster_wld_domain_chosen="VI Workload Domain",CONCATENATE(prefix_mgmt_az1_cidr,"17.5/24"),CONCATENATE(prefix_wld_az1_cidr,"17.5/24"))</f>
        <v>10.11.17.5/24</v>
      </c>
      <c r="D434" s="264"/>
      <c r="E434" s="193"/>
    </row>
    <row r="435" spans="2:5" ht="20.05" customHeight="1" x14ac:dyDescent="0.35">
      <c r="B435" s="22" t="s">
        <v>364</v>
      </c>
      <c r="C435" s="159" t="s">
        <v>30</v>
      </c>
      <c r="D435" s="265"/>
      <c r="E435" s="161" t="s">
        <v>170</v>
      </c>
    </row>
    <row r="436" spans="2:5" ht="20.05" customHeight="1" x14ac:dyDescent="0.35">
      <c r="B436" s="22" t="s">
        <v>365</v>
      </c>
      <c r="C436" s="159" t="str">
        <f>IF(cluster_wld_domain_chosen="VI Workload Domain",CONCATENATE(prefix_mgmt_az1_cidr,"18.11"),CONCATENATE(prefix_wld_az1_cidr,"18.11"))</f>
        <v>10.11.18.11</v>
      </c>
      <c r="D436" s="265"/>
      <c r="E436" s="161" t="s">
        <v>171</v>
      </c>
    </row>
    <row r="437" spans="2:5" ht="20.05" customHeight="1" x14ac:dyDescent="0.35">
      <c r="B437" s="22" t="s">
        <v>362</v>
      </c>
      <c r="C437" s="159" t="str">
        <f>IF(cluster_wld_domain_chosen="VI Workload Domain",CONCATENATE(prefix_mgmt_az1_cidr,"18.4/24"),CONCATENATE(prefix_wld_az1_cidr,"18.4/24"))</f>
        <v>10.11.18.4/24</v>
      </c>
      <c r="D437" s="264"/>
      <c r="E437" s="193"/>
    </row>
    <row r="438" spans="2:5" ht="20.05" customHeight="1" x14ac:dyDescent="0.35">
      <c r="B438" s="22" t="s">
        <v>363</v>
      </c>
      <c r="C438" s="159" t="str">
        <f>IF(cluster_wld_domain_chosen="VI Workload Domain",CONCATENATE(prefix_mgmt_az1_cidr,"18.5/24"),CONCATENATE(prefix_wld_az1_cidr,"18.5/24"))</f>
        <v>10.11.18.5/24</v>
      </c>
      <c r="D438" s="264"/>
      <c r="E438" s="193"/>
    </row>
    <row r="439" spans="2:5" ht="20.05" customHeight="1" x14ac:dyDescent="0.35">
      <c r="B439" s="22" t="s">
        <v>366</v>
      </c>
      <c r="C439" s="159" t="str">
        <f>IF(cluster_wld_domain_chosen="VI Workload Domain",CONCATENATE(asn_start,asn_instance,asn_mgmt_az2,1),CONCATENATE(asn_start,asn_instance,asn_wld_az2,1))</f>
        <v>65121</v>
      </c>
      <c r="D439" s="265"/>
      <c r="E439" s="161" t="s">
        <v>172</v>
      </c>
    </row>
    <row r="440" spans="2:5" ht="20.05" customHeight="1" x14ac:dyDescent="0.35">
      <c r="B440" s="22" t="s">
        <v>364</v>
      </c>
      <c r="C440" s="159" t="s">
        <v>30</v>
      </c>
      <c r="D440" s="265"/>
      <c r="E440" s="161" t="s">
        <v>173</v>
      </c>
    </row>
    <row r="441" spans="2:5" x14ac:dyDescent="0.35">
      <c r="B441" s="120"/>
      <c r="C441" s="35"/>
      <c r="D441" s="35"/>
      <c r="E441" s="35"/>
    </row>
  </sheetData>
  <sheetProtection algorithmName="SHA-512" hashValue="fBNdnyk6kU6HYbfQxHaHmnA+PU2FSKSttvxBVXT6st3OwgfWFfuKz8Tw+ABVsc3k2YgRIyuV2Bda9QQYCY2Utw==" saltValue="fOZ0H+7vTec8DfH7gKYDnw==" spinCount="100000" sheet="1" selectLockedCells="1"/>
  <mergeCells count="53">
    <mergeCell ref="B73:E73"/>
    <mergeCell ref="B306:E306"/>
    <mergeCell ref="B229:E229"/>
    <mergeCell ref="B177:E177"/>
    <mergeCell ref="B139:E139"/>
    <mergeCell ref="B138:E138"/>
    <mergeCell ref="B82:E82"/>
    <mergeCell ref="B241:E241"/>
    <mergeCell ref="B107:E107"/>
    <mergeCell ref="B109:E109"/>
    <mergeCell ref="B110:E110"/>
    <mergeCell ref="B124:E124"/>
    <mergeCell ref="B125:E125"/>
    <mergeCell ref="B188:E188"/>
    <mergeCell ref="B114:E114"/>
    <mergeCell ref="B115:E115"/>
    <mergeCell ref="B2:E2"/>
    <mergeCell ref="B3:E3"/>
    <mergeCell ref="B21:E21"/>
    <mergeCell ref="B23:E23"/>
    <mergeCell ref="B28:E28"/>
    <mergeCell ref="B46:E46"/>
    <mergeCell ref="B49:E49"/>
    <mergeCell ref="B57:E57"/>
    <mergeCell ref="B65:E65"/>
    <mergeCell ref="B16:E16"/>
    <mergeCell ref="B18:E18"/>
    <mergeCell ref="B119:E119"/>
    <mergeCell ref="B120:E120"/>
    <mergeCell ref="B158:E158"/>
    <mergeCell ref="B159:E159"/>
    <mergeCell ref="B428:E428"/>
    <mergeCell ref="B251:E251"/>
    <mergeCell ref="B253:E253"/>
    <mergeCell ref="B255:E255"/>
    <mergeCell ref="B260:E260"/>
    <mergeCell ref="B278:E278"/>
    <mergeCell ref="B282:E282"/>
    <mergeCell ref="B290:E290"/>
    <mergeCell ref="B298:E298"/>
    <mergeCell ref="B315:E315"/>
    <mergeCell ref="B340:E340"/>
    <mergeCell ref="B347:E347"/>
    <mergeCell ref="B224:E224"/>
    <mergeCell ref="B384:E384"/>
    <mergeCell ref="B421:E421"/>
    <mergeCell ref="B424:E424"/>
    <mergeCell ref="B378:E378"/>
    <mergeCell ref="B383:E383"/>
    <mergeCell ref="B419:E419"/>
    <mergeCell ref="B420:E420"/>
    <mergeCell ref="B373:E373"/>
    <mergeCell ref="B367:E367"/>
  </mergeCells>
  <conditionalFormatting sqref="B8 D8:E8 B11 D11:E11">
    <cfRule type="expression" dxfId="1497" priority="29">
      <formula>$E$8="Cause: Multi Rack Configuration is only supported with vSAN as Principal Storage or vSAN Compute Clusters"</formula>
    </cfRule>
  </conditionalFormatting>
  <conditionalFormatting sqref="B8:B14 D8:D14">
    <cfRule type="expression" dxfId="1496" priority="30">
      <formula>vcf_granular_option_chosen&lt;&gt;"Create Cluster"</formula>
    </cfRule>
  </conditionalFormatting>
  <conditionalFormatting sqref="B9 D9">
    <cfRule type="expression" dxfId="1495" priority="150">
      <formula>(cluster_compute_hosts_per_rack_chosen="Exclude")</formula>
    </cfRule>
    <cfRule type="expression" dxfId="1494" priority="151">
      <formula>(vcf_version_result="Excluded")</formula>
    </cfRule>
    <cfRule type="expression" dxfId="1493" priority="153">
      <formula>(vcf_version_chosen&lt;&gt;"Exclude")</formula>
    </cfRule>
  </conditionalFormatting>
  <conditionalFormatting sqref="B9">
    <cfRule type="expression" dxfId="1492" priority="87" stopIfTrue="1">
      <formula>AND((vcf_granular_option_chosen="Create Cluster"),(cluster_compute_hosts_per_rack_chosen="Exclude"))</formula>
    </cfRule>
  </conditionalFormatting>
  <conditionalFormatting sqref="B10 D10">
    <cfRule type="expression" dxfId="1491" priority="131" stopIfTrue="1">
      <formula>(vcf_version_result="Excluded")</formula>
    </cfRule>
    <cfRule type="expression" dxfId="1490" priority="92">
      <formula>cluster_multi_rack_count_chosen="Exclude"</formula>
    </cfRule>
    <cfRule type="expression" dxfId="1489" priority="146">
      <formula>(vcf_version_chosen&lt;&gt;"Exclude")</formula>
    </cfRule>
  </conditionalFormatting>
  <conditionalFormatting sqref="B10 D10:E10">
    <cfRule type="expression" dxfId="1488" priority="85">
      <formula>AND((cluster_chosen="Deploy a Single-Rack / Multi-Rack Layer 2 Cluster"),(cluster_multi_rack_count_chosen&lt;&gt;"Exclude"))</formula>
    </cfRule>
  </conditionalFormatting>
  <conditionalFormatting sqref="B10">
    <cfRule type="expression" dxfId="1487" priority="82">
      <formula>AND((cluster_chosen="Deploy a Multi-Rack Layer 3 Cluster"),(cluster_multi_rack_count_chosen="Exclude"))</formula>
    </cfRule>
  </conditionalFormatting>
  <conditionalFormatting sqref="B11 D11">
    <cfRule type="expression" dxfId="1486" priority="84">
      <formula>cluster_principal_storage_result="Excluded"</formula>
    </cfRule>
  </conditionalFormatting>
  <conditionalFormatting sqref="B11 D11:E11">
    <cfRule type="expression" dxfId="1485" priority="159">
      <formula>" =AND((cluster_chosen=""Deploy a Multi-Rack Layer 3 Cluster""),AND((cluster_principal_storage_chosen&lt;&gt;""vSAN-ESA""),(cluster_principal_storage_chosen&lt;&gt;""vSAN-OSA""),(cluster_principal_storage_chosen&lt;&gt;""vSAN Compute Cluster"")))"</formula>
    </cfRule>
  </conditionalFormatting>
  <conditionalFormatting sqref="B12">
    <cfRule type="expression" dxfId="1484" priority="215" stopIfTrue="1">
      <formula>cluster_secondary_storage_chosen="Exclude"</formula>
    </cfRule>
  </conditionalFormatting>
  <conditionalFormatting sqref="B12:B14">
    <cfRule type="expression" dxfId="1483" priority="214">
      <formula>cluster_secondary_storage_chosen&lt;&gt;"Exclude"</formula>
    </cfRule>
  </conditionalFormatting>
  <conditionalFormatting sqref="B13 D13">
    <cfRule type="expression" dxfId="1482" priority="73">
      <formula>cluster_az1_reuse_vcf_networkpool_result="Excluded"</formula>
    </cfRule>
  </conditionalFormatting>
  <conditionalFormatting sqref="B14 D14">
    <cfRule type="expression" dxfId="1481" priority="74" stopIfTrue="1">
      <formula>cluster_stretched_cluster_result="Excluded"</formula>
    </cfRule>
  </conditionalFormatting>
  <conditionalFormatting sqref="B14 D14:E14">
    <cfRule type="expression" dxfId="1480" priority="83">
      <formula>$E$14="Cause: Stretched Cluster is not supported with Multi Rack Layer 3 Cluster"</formula>
    </cfRule>
  </conditionalFormatting>
  <conditionalFormatting sqref="B12:E12">
    <cfRule type="expression" dxfId="1479" priority="171">
      <formula>AND((cluster_secondary_storage_chosen&lt;&gt;"Exclude"),(cluster_secondary_storage_result="Excluded"))</formula>
    </cfRule>
  </conditionalFormatting>
  <conditionalFormatting sqref="D8 B8">
    <cfRule type="expression" dxfId="1478" priority="165">
      <formula>cluster_chosen="Exclude"</formula>
    </cfRule>
  </conditionalFormatting>
  <conditionalFormatting sqref="D12 B12">
    <cfRule type="expression" dxfId="1477" priority="164">
      <formula>cluster_secondary_storage_chosen="Exclude"</formula>
    </cfRule>
  </conditionalFormatting>
  <conditionalFormatting sqref="D12">
    <cfRule type="expression" dxfId="1476" priority="219">
      <formula>AND((cluster_secondary_storage_result&lt;&gt;"Exclude"),(cluster_secondary_storage_result="Included"))</formula>
    </cfRule>
    <cfRule type="expression" dxfId="1475" priority="157" stopIfTrue="1">
      <formula>cluster_secondary_storage_chosen="Exclude"</formula>
    </cfRule>
    <cfRule type="expression" dxfId="1474" priority="212">
      <formula>cluster_secondary_storage_chosen&lt;&gt;"Exclude"</formula>
    </cfRule>
  </conditionalFormatting>
  <conditionalFormatting sqref="D12:D14">
    <cfRule type="expression" dxfId="1473" priority="197">
      <formula>(vcf_version_result="Excluded")</formula>
    </cfRule>
  </conditionalFormatting>
  <conditionalFormatting sqref="D13 B13">
    <cfRule type="expression" dxfId="1472" priority="213">
      <formula>cluster_az1_reuse_vcf_networkpool_chosen="Include"</formula>
    </cfRule>
  </conditionalFormatting>
  <conditionalFormatting sqref="D19 D24:D27 D29:D44 D48 D50:D56 D58:D64 D66:D72 D74:D80 D84:D105 D112 D117 D122 D127:D136 D141:D156 D161:D162 D167:D198 D200:D203 D205:D208 D210:D213 D215:D218 D220:D223 D225:D228 D230:D240 D242:D249 D256:D259 D261:D276 D280:D281 D283:D289 D291:D297 D299:D305 D307:D313 D317:D338 D342:D345 D350:D366 D369:D372 D375:D377 D380:D382 D387:D418 D423 D426:D427 D430:D440">
    <cfRule type="notContainsBlanks" dxfId="1470" priority="412">
      <formula>LEN(TRIM(D19))&gt;0</formula>
    </cfRule>
  </conditionalFormatting>
  <conditionalFormatting sqref="D19">
    <cfRule type="expression" dxfId="1469" priority="144">
      <formula>cluster_result="Excluded"</formula>
    </cfRule>
  </conditionalFormatting>
  <conditionalFormatting sqref="D30:D31">
    <cfRule type="expression" dxfId="1468" priority="75">
      <formula>AND((cluster_chosen="Deploy a Multi-Rack Layer 3 Cluster"),(cluster_compute_hosts_per_rack_chosen&lt;2))</formula>
    </cfRule>
  </conditionalFormatting>
  <conditionalFormatting sqref="D31">
    <cfRule type="expression" dxfId="1467" priority="9">
      <formula>cluster_compute_hosts_per_rack_chosen&lt;3</formula>
    </cfRule>
  </conditionalFormatting>
  <conditionalFormatting sqref="D32">
    <cfRule type="expression" dxfId="1466" priority="127">
      <formula>cluster_compute_hosts_per_rack_chosen&lt;4</formula>
    </cfRule>
  </conditionalFormatting>
  <conditionalFormatting sqref="D33">
    <cfRule type="expression" dxfId="1465" priority="128">
      <formula>cluster_compute_hosts_per_rack_chosen&lt;5</formula>
    </cfRule>
  </conditionalFormatting>
  <conditionalFormatting sqref="D34">
    <cfRule type="expression" dxfId="1464" priority="133">
      <formula>cluster_compute_hosts_per_rack_chosen&lt;6</formula>
    </cfRule>
  </conditionalFormatting>
  <conditionalFormatting sqref="D35">
    <cfRule type="expression" dxfId="1463" priority="134">
      <formula>cluster_compute_hosts_per_rack_chosen&lt;7</formula>
    </cfRule>
  </conditionalFormatting>
  <conditionalFormatting sqref="D36">
    <cfRule type="expression" dxfId="1462" priority="135">
      <formula>cluster_compute_hosts_per_rack_chosen&lt;8</formula>
    </cfRule>
  </conditionalFormatting>
  <conditionalFormatting sqref="D37">
    <cfRule type="expression" dxfId="1461" priority="136">
      <formula>cluster_compute_hosts_per_rack_chosen&lt;9</formula>
    </cfRule>
  </conditionalFormatting>
  <conditionalFormatting sqref="D38">
    <cfRule type="expression" dxfId="1460" priority="137">
      <formula>cluster_compute_hosts_per_rack_chosen&lt;10</formula>
    </cfRule>
  </conditionalFormatting>
  <conditionalFormatting sqref="D39">
    <cfRule type="expression" dxfId="1459" priority="138">
      <formula>cluster_compute_hosts_per_rack_chosen&lt;11</formula>
    </cfRule>
  </conditionalFormatting>
  <conditionalFormatting sqref="D40">
    <cfRule type="expression" dxfId="1458" priority="139">
      <formula>cluster_compute_hosts_per_rack_chosen&lt;12</formula>
    </cfRule>
  </conditionalFormatting>
  <conditionalFormatting sqref="D41">
    <cfRule type="expression" dxfId="1457" priority="140">
      <formula>cluster_compute_hosts_per_rack_chosen&lt;13</formula>
    </cfRule>
  </conditionalFormatting>
  <conditionalFormatting sqref="D42">
    <cfRule type="expression" dxfId="1456" priority="141">
      <formula>cluster_compute_hosts_per_rack_chosen&lt;14</formula>
    </cfRule>
  </conditionalFormatting>
  <conditionalFormatting sqref="D43">
    <cfRule type="expression" dxfId="1455" priority="142">
      <formula>cluster_compute_hosts_per_rack_chosen&lt;15</formula>
    </cfRule>
  </conditionalFormatting>
  <conditionalFormatting sqref="D44">
    <cfRule type="expression" dxfId="1454" priority="143">
      <formula>cluster_compute_hosts_per_rack_chosen&lt;16</formula>
    </cfRule>
  </conditionalFormatting>
  <conditionalFormatting sqref="D50:D56 D58:D64 D66:D72 D167:D198 D200:D203 D205:D208 D210:D213 D215:D218 D242:D249 D220:D223 D24:D27 D29:D44 D48 D84:D105 D112 D117 D122 D127:D136 D141:D156 D161:D162 D225:D228 D230:D240">
    <cfRule type="expression" dxfId="1453" priority="47">
      <formula>cluster_result="Excluded"</formula>
    </cfRule>
  </conditionalFormatting>
  <conditionalFormatting sqref="D57">
    <cfRule type="expression" dxfId="1452" priority="384">
      <formula>input_mgmt_principal_storage_chosen="VMFS on Fibre Channel (FC)"</formula>
    </cfRule>
    <cfRule type="expression" dxfId="1451" priority="385">
      <formula>mgmt_domain_existing_vcenter_chosen="Selected"</formula>
    </cfRule>
    <cfRule type="containsBlanks" dxfId="1449" priority="387">
      <formula>LEN(TRIM(D57))=0</formula>
    </cfRule>
    <cfRule type="notContainsBlanks" dxfId="1448" priority="388">
      <formula>LEN(TRIM(D57))&gt;0</formula>
    </cfRule>
  </conditionalFormatting>
  <conditionalFormatting sqref="D58:D64">
    <cfRule type="expression" dxfId="1447" priority="45">
      <formula>AND((cluster_principal_storage_chosen&lt;&gt;"vSAN-ESA"),(cluster_principal_storage_chosen&lt;&gt;"vSAN-OSA"),(cluster_principal_storage_chosen&lt;&gt;"vSAN Compute Cluster"))</formula>
    </cfRule>
  </conditionalFormatting>
  <conditionalFormatting sqref="D66:D72">
    <cfRule type="expression" dxfId="1446" priority="198">
      <formula>cluster_secondary_storage_result="Excluded"</formula>
    </cfRule>
  </conditionalFormatting>
  <conditionalFormatting sqref="D74:D80 D50:D56 D58:D64 D66:D72">
    <cfRule type="expression" dxfId="1445" priority="40">
      <formula>cluster_az1_reuse_vcf_networkpool_chosen="Re-use an existing VCF Network Pool"</formula>
    </cfRule>
  </conditionalFormatting>
  <conditionalFormatting sqref="D74:D80">
    <cfRule type="expression" dxfId="1444" priority="39">
      <formula>cluster_principal_storage_chosen&lt;&gt;"vSAN Storage Cluster"</formula>
    </cfRule>
  </conditionalFormatting>
  <conditionalFormatting sqref="D86">
    <cfRule type="expression" dxfId="1443" priority="8">
      <formula>cluster_compute_hosts_per_rack_chosen&lt;3</formula>
    </cfRule>
  </conditionalFormatting>
  <conditionalFormatting sqref="D87">
    <cfRule type="expression" dxfId="1442" priority="107">
      <formula>cluster_compute_hosts_per_rack_chosen&lt;4</formula>
    </cfRule>
  </conditionalFormatting>
  <conditionalFormatting sqref="D88">
    <cfRule type="expression" dxfId="1441" priority="108">
      <formula>cluster_compute_hosts_per_rack_chosen&lt;5</formula>
    </cfRule>
  </conditionalFormatting>
  <conditionalFormatting sqref="D89">
    <cfRule type="expression" dxfId="1440" priority="115">
      <formula>cluster_compute_hosts_per_rack_chosen&lt;6</formula>
    </cfRule>
  </conditionalFormatting>
  <conditionalFormatting sqref="D90">
    <cfRule type="expression" dxfId="1439" priority="116">
      <formula>cluster_compute_hosts_per_rack_chosen&lt;7</formula>
    </cfRule>
  </conditionalFormatting>
  <conditionalFormatting sqref="D91">
    <cfRule type="expression" dxfId="1438" priority="117">
      <formula>cluster_compute_hosts_per_rack_chosen&lt;8</formula>
    </cfRule>
  </conditionalFormatting>
  <conditionalFormatting sqref="D92">
    <cfRule type="expression" dxfId="1437" priority="118">
      <formula>cluster_compute_hosts_per_rack_chosen&lt;9</formula>
    </cfRule>
  </conditionalFormatting>
  <conditionalFormatting sqref="D93">
    <cfRule type="expression" dxfId="1436" priority="119">
      <formula>cluster_compute_hosts_per_rack_chosen&lt;10</formula>
    </cfRule>
  </conditionalFormatting>
  <conditionalFormatting sqref="D94">
    <cfRule type="expression" dxfId="1435" priority="120">
      <formula>cluster_compute_hosts_per_rack_chosen&lt;11</formula>
    </cfRule>
  </conditionalFormatting>
  <conditionalFormatting sqref="D95">
    <cfRule type="expression" dxfId="1434" priority="121">
      <formula>cluster_compute_hosts_per_rack_chosen&lt;12</formula>
    </cfRule>
  </conditionalFormatting>
  <conditionalFormatting sqref="D96">
    <cfRule type="expression" dxfId="1433" priority="122">
      <formula>cluster_compute_hosts_per_rack_chosen&lt;13</formula>
    </cfRule>
  </conditionalFormatting>
  <conditionalFormatting sqref="D97">
    <cfRule type="expression" dxfId="1432" priority="123">
      <formula>cluster_compute_hosts_per_rack_chosen&lt;14</formula>
    </cfRule>
  </conditionalFormatting>
  <conditionalFormatting sqref="D98">
    <cfRule type="expression" dxfId="1431" priority="124">
      <formula>cluster_compute_hosts_per_rack_chosen&lt;15</formula>
    </cfRule>
  </conditionalFormatting>
  <conditionalFormatting sqref="D99">
    <cfRule type="expression" dxfId="1430" priority="125">
      <formula>cluster_compute_hosts_per_rack_chosen&lt;16</formula>
    </cfRule>
  </conditionalFormatting>
  <conditionalFormatting sqref="D101">
    <cfRule type="expression" dxfId="1429" priority="26">
      <formula>cluster_principal_storage_chosen="vSAN Storage Cluster"</formula>
    </cfRule>
  </conditionalFormatting>
  <conditionalFormatting sqref="D101:D102 D127 D129:D132">
    <cfRule type="expression" dxfId="1428" priority="192">
      <formula>AND((cluster_principal_storage_chosen&lt;&gt;"vSAN-OSA"),(cluster_principal_storage_chosen&lt;&gt;"vSAN-ESA"),(cluster_principal_storage_chosen&lt;&gt;"vSAN Storage Cluster"),(cluster_principal_storage_chosen&lt;&gt;"Compute Cluster"))</formula>
    </cfRule>
  </conditionalFormatting>
  <conditionalFormatting sqref="D105">
    <cfRule type="expression" dxfId="1427" priority="179">
      <formula>mgmt_domain_deployment_type_chosen="VMware vSphere Foundation"</formula>
    </cfRule>
  </conditionalFormatting>
  <conditionalFormatting sqref="D128">
    <cfRule type="expression" dxfId="1426" priority="27">
      <formula>cluster_principal_storage_chosen&lt;&gt;"vSAN Compute Cluster"</formula>
    </cfRule>
  </conditionalFormatting>
  <conditionalFormatting sqref="D130">
    <cfRule type="expression" dxfId="1425" priority="174">
      <formula>cluster_principal_storage_chosen="vSAN-OSA"</formula>
    </cfRule>
    <cfRule type="expression" dxfId="1424" priority="172">
      <formula>cluster_secondary_storage_chosen&lt;&gt;"vSAN Storage Client Network"</formula>
    </cfRule>
  </conditionalFormatting>
  <conditionalFormatting sqref="D131:D132">
    <cfRule type="expression" dxfId="1423" priority="175">
      <formula>cluster_principal_storage_chosen="vSAN-ESA"</formula>
    </cfRule>
  </conditionalFormatting>
  <conditionalFormatting sqref="D133">
    <cfRule type="expression" dxfId="1422" priority="166">
      <formula>cluster_principal_storage_chosen&lt;&gt;"VMFS on Fibre Channel (FC)"</formula>
    </cfRule>
  </conditionalFormatting>
  <conditionalFormatting sqref="D134:D136">
    <cfRule type="expression" dxfId="1421" priority="145">
      <formula>cluster_principal_storage_chosen&lt;&gt;"NFSv3"</formula>
    </cfRule>
  </conditionalFormatting>
  <conditionalFormatting sqref="D143">
    <cfRule type="expression" dxfId="1420" priority="7">
      <formula>cluster_compute_hosts_per_rack_chosen&lt;3</formula>
    </cfRule>
  </conditionalFormatting>
  <conditionalFormatting sqref="D144">
    <cfRule type="expression" dxfId="1419" priority="76">
      <formula>cluster_compute_hosts_per_rack_chosen&lt;4</formula>
    </cfRule>
  </conditionalFormatting>
  <conditionalFormatting sqref="D145">
    <cfRule type="expression" dxfId="1418" priority="93">
      <formula>cluster_compute_hosts_per_rack_chosen&lt;5</formula>
    </cfRule>
  </conditionalFormatting>
  <conditionalFormatting sqref="D146">
    <cfRule type="expression" dxfId="1417" priority="96">
      <formula>cluster_compute_hosts_per_rack_chosen&lt;6</formula>
    </cfRule>
  </conditionalFormatting>
  <conditionalFormatting sqref="D147">
    <cfRule type="expression" dxfId="1416" priority="97">
      <formula>cluster_compute_hosts_per_rack_chosen&lt;7</formula>
    </cfRule>
  </conditionalFormatting>
  <conditionalFormatting sqref="D148">
    <cfRule type="expression" dxfId="1415" priority="98">
      <formula>cluster_compute_hosts_per_rack_chosen&lt;8</formula>
    </cfRule>
  </conditionalFormatting>
  <conditionalFormatting sqref="D149">
    <cfRule type="expression" dxfId="1414" priority="99">
      <formula>cluster_compute_hosts_per_rack_chosen&lt;9</formula>
    </cfRule>
  </conditionalFormatting>
  <conditionalFormatting sqref="D150">
    <cfRule type="expression" dxfId="1413" priority="100">
      <formula>cluster_compute_hosts_per_rack_chosen&lt;10</formula>
    </cfRule>
  </conditionalFormatting>
  <conditionalFormatting sqref="D151">
    <cfRule type="expression" dxfId="1412" priority="101">
      <formula>cluster_compute_hosts_per_rack_chosen&lt;11</formula>
    </cfRule>
  </conditionalFormatting>
  <conditionalFormatting sqref="D152">
    <cfRule type="expression" dxfId="1411" priority="102">
      <formula>cluster_compute_hosts_per_rack_chosen&lt;12</formula>
    </cfRule>
  </conditionalFormatting>
  <conditionalFormatting sqref="D153">
    <cfRule type="expression" dxfId="1410" priority="103">
      <formula>cluster_compute_hosts_per_rack_chosen&lt;13</formula>
    </cfRule>
  </conditionalFormatting>
  <conditionalFormatting sqref="D154">
    <cfRule type="expression" dxfId="1409" priority="104">
      <formula>cluster_compute_hosts_per_rack_chosen&lt;14</formula>
    </cfRule>
  </conditionalFormatting>
  <conditionalFormatting sqref="D155">
    <cfRule type="expression" dxfId="1408" priority="105">
      <formula>cluster_compute_hosts_per_rack_chosen&lt;15</formula>
    </cfRule>
  </conditionalFormatting>
  <conditionalFormatting sqref="D156">
    <cfRule type="expression" dxfId="1407" priority="106">
      <formula>cluster_compute_hosts_per_rack_chosen&lt;16</formula>
    </cfRule>
  </conditionalFormatting>
  <conditionalFormatting sqref="D167:D198 D225:D228 D230:D240 D242:D249 D200:D203 D215:D218 D66:D72 D84:D105 D127:D136 D220:D223 D19 D29:D44 D141:D156 D24:D27 D48 D50:D56 D58:D64 D112 D117 D122 D161:D162 D205:D208 D210:D213 D291:D297 D74:D80 D283:D289 D299:D305 D307:D313 D256:D259 D261:D276 D280:D281 D317:D338 D342:D345 D350:D366 D369:D372 D375:D377 D380:D382 D387:D418 D423 D426:D427 D430:D440">
    <cfRule type="containsBlanks" dxfId="1406" priority="315">
      <formula>LEN(TRIM(D19))=0</formula>
    </cfRule>
  </conditionalFormatting>
  <conditionalFormatting sqref="D168:D175 D201:D203 D206:D208 D211:D213 D216:D218 D242:D249 D221:D223 D225:D228 D230 D232:D240">
    <cfRule type="expression" dxfId="1405" priority="34">
      <formula>cluster_cl01_vds_copy_profile_chosen="Unselected"</formula>
    </cfRule>
  </conditionalFormatting>
  <conditionalFormatting sqref="D170:D173">
    <cfRule type="expression" dxfId="1404" priority="21">
      <formula>cluster_vds01_link_type_chosen="VDS Uplinks"</formula>
    </cfRule>
  </conditionalFormatting>
  <conditionalFormatting sqref="D175:D198 D167:D173">
    <cfRule type="expression" dxfId="1403" priority="314">
      <formula>wld_cl01_vds_profile_chosen="custom"</formula>
    </cfRule>
  </conditionalFormatting>
  <conditionalFormatting sqref="D177">
    <cfRule type="expression" dxfId="1402" priority="280">
      <formula>mgmt_host_overlay_addressing_chosen&lt;&gt;"IP Pool"</formula>
    </cfRule>
    <cfRule type="containsBlanks" dxfId="1401" priority="282">
      <formula>LEN(TRIM(D177))=0</formula>
    </cfRule>
    <cfRule type="notContainsBlanks" dxfId="1400" priority="281" stopIfTrue="1">
      <formula>LEN(TRIM(D177))&gt;0</formula>
    </cfRule>
  </conditionalFormatting>
  <conditionalFormatting sqref="D178:D187">
    <cfRule type="expression" dxfId="1399" priority="313">
      <formula>cluster_vds_profile_chosen="Default"</formula>
    </cfRule>
    <cfRule type="expression" dxfId="1398" priority="312" stopIfTrue="1">
      <formula>cluster_vds_profile_chosen="Custom"</formula>
    </cfRule>
  </conditionalFormatting>
  <conditionalFormatting sqref="D181:D184">
    <cfRule type="expression" dxfId="1397" priority="20">
      <formula>cluster_vds02_link_type_chosen="VDS Uplinks"</formula>
    </cfRule>
  </conditionalFormatting>
  <conditionalFormatting sqref="D189:D198">
    <cfRule type="expression" dxfId="1396" priority="126">
      <formula>cluster_vds_profile_chosen="Custom"</formula>
    </cfRule>
    <cfRule type="expression" dxfId="1395" priority="51">
      <formula>cluster_vds_profile_chosen ="vSAN Max Storage Traffic Separation"</formula>
    </cfRule>
    <cfRule type="expression" dxfId="1394" priority="308">
      <formula>cluster_vds_profile_chosen="Default"</formula>
    </cfRule>
    <cfRule type="expression" dxfId="1393" priority="307">
      <formula>cluster_vds_profile_chosen="Storage Traffic Separation"</formula>
    </cfRule>
    <cfRule type="expression" dxfId="1392" priority="176">
      <formula>cluster_vds_profile_chosen="NSX Traffic Separation"</formula>
    </cfRule>
  </conditionalFormatting>
  <conditionalFormatting sqref="D192:D195">
    <cfRule type="expression" dxfId="1391" priority="19">
      <formula>cluster_vds03_link_type_chosen="VDS Uplinks"</formula>
    </cfRule>
  </conditionalFormatting>
  <conditionalFormatting sqref="D200">
    <cfRule type="expression" dxfId="1390" priority="283">
      <formula>wld_cl01_vds_profile_chosen="custom"</formula>
    </cfRule>
  </conditionalFormatting>
  <conditionalFormatting sqref="D201:D203 D206:D208 D211:D213">
    <cfRule type="expression" dxfId="1389" priority="18">
      <formula>cluster_vds01_link_type_chosen="VDS Lag"</formula>
    </cfRule>
  </conditionalFormatting>
  <conditionalFormatting sqref="D215">
    <cfRule type="expression" dxfId="1388" priority="209">
      <formula>wld_cl01_vds_profile_chosen="custom"</formula>
    </cfRule>
  </conditionalFormatting>
  <conditionalFormatting sqref="D216:D218">
    <cfRule type="expression" dxfId="1387" priority="4">
      <formula>AND((cluster_vds_profile_chosen="vvSAN Max Storage Traffic Separation"),(cluster_vds02_link_type_chosen="VDS Lag"))</formula>
    </cfRule>
    <cfRule type="expression" dxfId="1386" priority="5">
      <formula>AND((cluster_vds_profile_chosen="vSAN Max Storage Traffic and NSX Traffic Separation"),(cluster_vds02_link_type_chosen="VDS Lag"))</formula>
    </cfRule>
    <cfRule type="expression" dxfId="1385" priority="17">
      <formula>AND((cluster_vds_profile_chosen="Storage Traffic Separation"),(cluster_vds02_link_type_chosen="VDS Lag"))</formula>
    </cfRule>
    <cfRule type="expression" dxfId="1384" priority="16">
      <formula>AND((cluster_vds_profile_chosen="Storage Traffic and NSX Traffic Separation"),(cluster_vds02_link_type_chosen="VDS Lag"))</formula>
    </cfRule>
    <cfRule type="expression" dxfId="1383" priority="15">
      <formula>AND((cluster_vds_profile_chosen="NSX Traffic Separation"),(cluster_vds01_link_type_chosen="VDS Lag"))</formula>
    </cfRule>
    <cfRule type="expression" dxfId="1382" priority="14">
      <formula>AND((cluster_vds_profile_chosen="Default"),(cluster_vds01_link_type_chosen="VDS Lag"))</formula>
    </cfRule>
  </conditionalFormatting>
  <conditionalFormatting sqref="D220">
    <cfRule type="expression" dxfId="1381" priority="190">
      <formula>wld_cl01_vds_profile_chosen="custom"</formula>
    </cfRule>
  </conditionalFormatting>
  <conditionalFormatting sqref="D220:D223">
    <cfRule type="expression" dxfId="1380" priority="6">
      <formula>cluster_secondary_storage_chosen="Exclude"</formula>
    </cfRule>
  </conditionalFormatting>
  <conditionalFormatting sqref="D221:D223">
    <cfRule type="expression" dxfId="1379" priority="3">
      <formula>cluster_vds01_link_type_chosen="VDS Lag"</formula>
    </cfRule>
  </conditionalFormatting>
  <conditionalFormatting sqref="D226">
    <cfRule type="expression" dxfId="1378" priority="298">
      <formula>cluster_nsx_default_operation_mode_chosen="Selected"</formula>
    </cfRule>
  </conditionalFormatting>
  <conditionalFormatting sqref="D230">
    <cfRule type="expression" dxfId="1377" priority="205">
      <formula>$D$162="Unselected"</formula>
    </cfRule>
  </conditionalFormatting>
  <conditionalFormatting sqref="D230:D239">
    <cfRule type="expression" dxfId="1376" priority="35">
      <formula>cluster_nsx_overlay_transport_zone_chosen="Unselected"</formula>
    </cfRule>
  </conditionalFormatting>
  <conditionalFormatting sqref="D233:D240 D242:D245">
    <cfRule type="expression" dxfId="1375" priority="177">
      <formula>cluster_host_overlay_addressing_chosen="DHCP"</formula>
    </cfRule>
  </conditionalFormatting>
  <conditionalFormatting sqref="D234 D246">
    <cfRule type="expression" dxfId="1374" priority="288">
      <formula>wld_host_overlay_addressing_chosen="DHCP"</formula>
    </cfRule>
  </conditionalFormatting>
  <conditionalFormatting sqref="D235:D240 D242:D245">
    <cfRule type="expression" dxfId="1373" priority="178">
      <formula>input_cluster_az1_host_overlay_new_pool_chosen="Re-use an existing Pool"</formula>
    </cfRule>
  </conditionalFormatting>
  <conditionalFormatting sqref="D240">
    <cfRule type="expression" dxfId="1372" priority="36">
      <formula>cluster_nsx_vlan_transport_zone_chosen="Unselected"</formula>
    </cfRule>
  </conditionalFormatting>
  <conditionalFormatting sqref="D247:D249">
    <cfRule type="expression" dxfId="1371" priority="11">
      <formula>AND((cluster_vds_profile_chosen="NSX Traffic Separation"),(cluster_vds02_link_type_chosen="VDS Lag"))</formula>
    </cfRule>
    <cfRule type="expression" dxfId="1370" priority="10">
      <formula>AND((cluster_vds_profile_chosen="Default"),(cluster_vds01_link_type_chosen="VDS Lag"))</formula>
    </cfRule>
    <cfRule type="expression" dxfId="1369" priority="13">
      <formula>AND((cluster_vds_profile_chosen="Storage Traffic Separation"),(cluster_vds01_link_type_chosen="VDS Lag"))</formula>
    </cfRule>
    <cfRule type="expression" dxfId="1368" priority="12">
      <formula>AND((cluster_vds_profile_chosen="Storage Traffic and NSX Traffic Separation"),(cluster_vds03_link_type_chosen="VDS Lag"))</formula>
    </cfRule>
    <cfRule type="expression" dxfId="1367" priority="1">
      <formula>AND((cluster_vds_profile_chosen="vSAN MAx Storage Traffic and NSX Traffic Separation"),(cluster_vds03_link_type_chosen="VDS Lag"))</formula>
    </cfRule>
    <cfRule type="expression" dxfId="1366" priority="2">
      <formula>AND((cluster_vds_profile_chosen="vSAN Max Storage Traffic Separation"),(cluster_vds01_link_type_chosen="VDS Lag"))</formula>
    </cfRule>
  </conditionalFormatting>
  <conditionalFormatting sqref="D256:D259 D261:D276 D280:D281 D283:D289 D291:D297 D299:D305 D307:D313 D317:D338 D342:D345 D350:D366 D369:D372 D375:D377 D380:D382 D387:D418 D423 D426:D427 D430:D440">
    <cfRule type="expression" dxfId="1365" priority="32">
      <formula>cluster_stretched_cluster_result="Excluded"</formula>
    </cfRule>
  </conditionalFormatting>
  <conditionalFormatting sqref="D283:D289 D291:D297 D299:D305 D307:D313">
    <cfRule type="expression" dxfId="1364" priority="38">
      <formula>cluster_az2_reuse_vcf_networkpool_chosen="Re-use an existing VCF Network Pool"</formula>
    </cfRule>
  </conditionalFormatting>
  <conditionalFormatting sqref="D291:D297">
    <cfRule type="expression" dxfId="1363" priority="44">
      <formula>AND((cluster_principal_storage_chosen&lt;&gt;"vSAN-ESA"),(cluster_principal_storage_chosen&lt;&gt;"vSAN-OSA"))</formula>
    </cfRule>
  </conditionalFormatting>
  <conditionalFormatting sqref="D307:D313">
    <cfRule type="expression" dxfId="1362" priority="37">
      <formula>cluster_principal_storage_chosen&lt;&gt;"vSAN Storage Cluster"</formula>
    </cfRule>
  </conditionalFormatting>
  <conditionalFormatting sqref="D403:D404">
    <cfRule type="expression" dxfId="1361" priority="23">
      <formula>OR((cluster_principal_storage_chosen&lt;&gt;"vSAN Compute Cluster"),(cluster_stretched_cluster_result&lt;&gt;"Included"))</formula>
    </cfRule>
  </conditionalFormatting>
  <conditionalFormatting sqref="D8:E8 B8">
    <cfRule type="expression" dxfId="1360" priority="160">
      <formula>$E$8="Cluster Deployment not selected on VCF &amp; VVF Planning Tab"</formula>
    </cfRule>
  </conditionalFormatting>
  <conditionalFormatting sqref="D8:E8">
    <cfRule type="expression" dxfId="1358" priority="31">
      <formula>$E$9="Required: Minimum Number of hosts must be selected"</formula>
    </cfRule>
  </conditionalFormatting>
  <conditionalFormatting sqref="D8:E9">
    <cfRule type="expression" dxfId="1357" priority="89">
      <formula>AND((cluster_compute_hosts_per_rack_chosen&lt;&gt;"Exclude"),(cluster_compute_hosts_per_rack_result="Excluded"))</formula>
    </cfRule>
  </conditionalFormatting>
  <conditionalFormatting sqref="D9:E10 B9:B10">
    <cfRule type="expression" dxfId="1356" priority="90">
      <formula>$E$9="Cause: Max number of Hosts per Cluster is 64."</formula>
    </cfRule>
  </conditionalFormatting>
  <conditionalFormatting sqref="E9">
    <cfRule type="expression" dxfId="1355" priority="152">
      <formula>vcf_version_result="Excluded"</formula>
    </cfRule>
  </conditionalFormatting>
  <conditionalFormatting sqref="E84:E99">
    <cfRule type="expression" dxfId="1354" priority="375">
      <formula>OR((wld_vlcm_model_result="Excluded"),(wld_vlcm_model_chosen="Baselines"))</formula>
    </cfRule>
  </conditionalFormatting>
  <dataValidations count="23">
    <dataValidation type="list" allowBlank="1" showInputMessage="1" showErrorMessage="1" sqref="D162 D132 D225 D227:D228" xr:uid="{3811AEB6-F2F0-EE48-9D3A-9674E5CA5224}">
      <formula1>"Selected,Unselected"</formula1>
    </dataValidation>
    <dataValidation type="list" allowBlank="1" showInputMessage="1" showErrorMessage="1" sqref="D131" xr:uid="{BF297065-A292-B94A-8A8D-34226032FCA6}">
      <formula1>storage_ftt</formula1>
    </dataValidation>
    <dataValidation type="list" allowBlank="1" showInputMessage="1" showErrorMessage="1" sqref="D202:D203 D207:D208 D212:D213 D217:D218 D222:D223" xr:uid="{DF9E634B-54CF-D84F-8B60-2A55CCED2116}">
      <formula1>"Active,Standby,Unused"</formula1>
    </dataValidation>
    <dataValidation type="list" allowBlank="1" showInputMessage="1" showErrorMessage="1" sqref="D201 D206 D211 D216 D221" xr:uid="{F2874E36-B5C6-5143-9B7D-C25981DE9BE7}">
      <formula1>"Route based on IP hash,Route based on source MAC hash,Route based on the source of the port ID,Use explicit failover order,Route Based on Physical NIC Load"</formula1>
    </dataValidation>
    <dataValidation type="list" allowBlank="1" showInputMessage="1" showErrorMessage="1" sqref="D247" xr:uid="{97DD5E61-671B-A049-BABD-72E1AD2758C2}">
      <formula1>"Load Balance Source,Failover Order,Load Balance Source MAC Address"</formula1>
    </dataValidation>
    <dataValidation type="list" allowBlank="1" showInputMessage="1" showErrorMessage="1" sqref="D226" xr:uid="{AF996C1F-71DF-274E-B2EF-8F204BB2F48C}">
      <formula1>"Standard,Enhanced Datapath Standard,Enhanced Datapath Dedicated"</formula1>
    </dataValidation>
    <dataValidation type="list" allowBlank="1" showInputMessage="1" showErrorMessage="1" sqref="D161" xr:uid="{2CFDEF2F-DDBC-254F-967A-6062966CD374}">
      <formula1>IF(cluster_secondary_storage_chosen="vSAN Storage Client Network",wld_cl01_vds_vsanmax_preconfigured_profiles,wld_cl01_vds_standard_preconfigured_profiles)</formula1>
    </dataValidation>
    <dataValidation type="list" allowBlank="1" showInputMessage="1" showErrorMessage="1" sqref="D232" xr:uid="{DE08ACB9-7989-E84E-8CB7-9C2BEFD1BB77}">
      <formula1>"DHCP,Static IP Pool"</formula1>
    </dataValidation>
    <dataValidation type="list" allowBlank="1" showInputMessage="1" showErrorMessage="1" sqref="B11" xr:uid="{7E4FA57C-784B-2B4B-AAEE-3D7F6BD7D784}">
      <formula1>table_vcf_version9x_cluster_storage_type</formula1>
    </dataValidation>
    <dataValidation type="list" allowBlank="1" showInputMessage="1" showErrorMessage="1" sqref="B12" xr:uid="{EBACAC01-9461-6146-A4D5-77C44D0F2D82}">
      <formula1>" Exclude,Secondary NFS Storage Network,vSAN Storage Client Network"</formula1>
    </dataValidation>
    <dataValidation type="list" allowBlank="1" showInputMessage="1" showErrorMessage="1" sqref="D233 D406" xr:uid="{B04A3CC5-A2AE-4149-B12B-B0EADD6BDF18}">
      <formula1>"Re-use an existing Pool,Create New Static IP Pool"</formula1>
    </dataValidation>
    <dataValidation type="list" allowBlank="1" showInputMessage="1" showErrorMessage="1" sqref="B14" xr:uid="{CB9AF8FC-75BF-B840-BAE1-8A478D3BAAB6}">
      <formula1>"Include,Exclude"</formula1>
    </dataValidation>
    <dataValidation type="list" allowBlank="1" showInputMessage="1" showErrorMessage="1" sqref="B8" xr:uid="{46402162-C398-744F-9813-2AEA8D0ED7E9}">
      <formula1>"Deploy a Single-Rack / Multi-Rack Layer 2 Cluster,Deploy a Multi-Rack Layer 3 Cluster"</formula1>
    </dataValidation>
    <dataValidation type="list" allowBlank="1" showInputMessage="1" showErrorMessage="1" sqref="B9" xr:uid="{6C8E78C8-E63B-BF4A-9E34-3590D0BB6FBE}">
      <formula1>"Exclude,1,2,3,4,5,6,7,8,9,10,11,12,13,14,15,16"</formula1>
    </dataValidation>
    <dataValidation type="list" allowBlank="1" showInputMessage="1" showErrorMessage="1" sqref="B10" xr:uid="{85FD78EA-8E70-3D4B-BC8C-F0F99D97D3EA}">
      <formula1>"Exclude,3,4,5,6,7"</formula1>
    </dataValidation>
    <dataValidation type="list" allowBlank="1" showInputMessage="1" showErrorMessage="1" sqref="B13 D280" xr:uid="{DB84F846-6867-3446-BB4D-65E6B02D5030}">
      <formula1>"Re-use an existing VCF Network Pool,Create a new VCF Network Pool"</formula1>
    </dataValidation>
    <dataValidation type="list" allowBlank="1" showInputMessage="1" showErrorMessage="1" sqref="D53 D61 D69 D286 D302 D294 D359 D77 D310" xr:uid="{27C3E5C4-FDD5-4748-A7D4-1787DC967E79}">
      <formula1>table_masks</formula1>
    </dataValidation>
    <dataValidation type="list" allowBlank="1" showInputMessage="1" showErrorMessage="1" sqref="D403" xr:uid="{75586F99-D106-CA46-B6D3-76D630620FEC}">
      <formula1>"Symmetric,Asymmetric"</formula1>
    </dataValidation>
    <dataValidation type="list" allowBlank="1" showInputMessage="1" showErrorMessage="1" sqref="D404" xr:uid="{623059D5-F95F-9640-BE3C-BB2D1B9E0644}">
      <formula1>"Primary,Secondary"</formula1>
    </dataValidation>
    <dataValidation type="list" allowBlank="1" showInputMessage="1" showErrorMessage="1" sqref="D169 D180 D191" xr:uid="{4E3965A0-3BF1-4E48-9CD1-E18FCB6D7359}">
      <formula1>"VDS Uplinks, VDS LAG"</formula1>
    </dataValidation>
    <dataValidation type="list" allowBlank="1" showInputMessage="1" showErrorMessage="1" sqref="D171 D182 D193" xr:uid="{6BE82285-977C-E949-A1FB-1C741920DEB2}">
      <formula1>"Active,Passive"</formula1>
    </dataValidation>
    <dataValidation type="list" allowBlank="1" showInputMessage="1" showErrorMessage="1" sqref="D172 D183 D194" xr:uid="{74FC30BA-D432-E841-AB37-5A965F16383C}">
      <formula1>lag_load_balancing</formula1>
    </dataValidation>
    <dataValidation type="list" allowBlank="1" showInputMessage="1" showErrorMessage="1" sqref="D173 D184 D195" xr:uid="{E9D0A69D-091F-E94F-857E-0748FAB5E088}">
      <formula1>"Slow,Fast"</formula1>
    </dataValidation>
  </dataValidations>
  <pageMargins left="0.7" right="0.7" top="0.75" bottom="0.75" header="0.3" footer="0.3"/>
  <pageSetup paperSize="9" orientation="portrait" horizontalDpi="0" verticalDpi="0"/>
  <ignoredErrors>
    <ignoredError sqref="D131"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318" operator="containsText" id="{9A0BD65F-A1E4-AF45-9A88-63E1EA94DF01}">
            <xm:f>NOT(ISERROR(SEARCH("Value Missing",D19)))</xm:f>
            <xm:f>"Value Missing"</xm:f>
            <x14:dxf>
              <font>
                <color theme="1"/>
              </font>
              <fill>
                <patternFill>
                  <bgColor rgb="FFFFBE29"/>
                </patternFill>
              </fill>
            </x14:dxf>
          </x14:cfRule>
          <xm:sqref>D19 D24:D27 D29:D44 D48 D50:D56 D58:D64 D66:D72 D74:D80 D84:D105 D112 D117 D122 D127:D136 D141:D156 D161:D162 D167:D198 D200:D203 D205:D208 D210:D213 D215:D218 D220:D223 D225:D228 D230:D240 D242:D249 D256:D259 D261:D276 D280:D281 D283:D289 D291:D297 D299:D305 D307:D313 D317:D338 D342:D345 D350:D366 D369:D372 D375:D377 D380:D382 D387:D418 D423 D426:D427 D430:D440</xm:sqref>
        </x14:conditionalFormatting>
        <x14:conditionalFormatting xmlns:xm="http://schemas.microsoft.com/office/excel/2006/main">
          <x14:cfRule type="containsText" priority="386" stopIfTrue="1" operator="containsText" id="{0A385B47-D6E5-CB44-AB9F-5502ADAEE367}">
            <xm:f>NOT(ISERROR(SEARCH("Value Missing",D57)))</xm:f>
            <xm:f>"Value Missing"</xm:f>
            <x14:dxf>
              <font>
                <color rgb="FF0E223A"/>
              </font>
              <fill>
                <patternFill>
                  <bgColor rgb="FFFFBE29"/>
                </patternFill>
              </fill>
            </x14:dxf>
          </x14:cfRule>
          <xm:sqref>D57</xm:sqref>
        </x14:conditionalFormatting>
        <x14:conditionalFormatting xmlns:xm="http://schemas.microsoft.com/office/excel/2006/main">
          <x14:cfRule type="containsText" priority="161" operator="containsText" id="{4E80F383-D640-334E-973C-BAC697783004}">
            <xm:f>NOT(ISERROR(SEARCH("A new layer 3 cluster will be added to the chosen Workloaded Domain - Additional Racks Tab must also be filled out",D8)))</xm:f>
            <xm:f>"A new layer 3 cluster will be added to the chosen Workloaded Domain - Additional Racks Tab must also be filled out"</xm:f>
            <x14:dxf>
              <font>
                <color theme="1"/>
              </font>
              <fill>
                <patternFill>
                  <bgColor rgb="FFFFBE29"/>
                </patternFill>
              </fill>
            </x14:dxf>
          </x14:cfRule>
          <xm:sqref>D8:E8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49971-0C8D-2D4A-8DB1-228218BCE545}">
  <dimension ref="B1:C37"/>
  <sheetViews>
    <sheetView workbookViewId="0">
      <selection activeCell="G26" sqref="G26"/>
    </sheetView>
  </sheetViews>
  <sheetFormatPr defaultColWidth="11" defaultRowHeight="15.9" x14ac:dyDescent="0.45"/>
  <cols>
    <col min="2" max="2" width="45.85546875" bestFit="1" customWidth="1"/>
    <col min="3" max="3" width="43.640625" bestFit="1" customWidth="1"/>
  </cols>
  <sheetData>
    <row r="1" spans="2:3" x14ac:dyDescent="0.45">
      <c r="B1" t="s">
        <v>1186</v>
      </c>
      <c r="C1" t="s">
        <v>1187</v>
      </c>
    </row>
    <row r="2" spans="2:3" x14ac:dyDescent="0.45">
      <c r="B2" s="8" t="s">
        <v>1188</v>
      </c>
      <c r="C2" s="8" t="s">
        <v>1189</v>
      </c>
    </row>
    <row r="3" spans="2:3" x14ac:dyDescent="0.45">
      <c r="B3" s="8" t="s">
        <v>1190</v>
      </c>
      <c r="C3" s="8" t="s">
        <v>1191</v>
      </c>
    </row>
    <row r="4" spans="2:3" x14ac:dyDescent="0.45">
      <c r="B4" s="8" t="s">
        <v>1192</v>
      </c>
      <c r="C4" s="8" t="s">
        <v>1193</v>
      </c>
    </row>
    <row r="5" spans="2:3" x14ac:dyDescent="0.45">
      <c r="B5" s="8" t="s">
        <v>1194</v>
      </c>
      <c r="C5" s="8" t="s">
        <v>1195</v>
      </c>
    </row>
    <row r="6" spans="2:3" x14ac:dyDescent="0.45">
      <c r="B6" s="8" t="s">
        <v>1196</v>
      </c>
      <c r="C6" s="8" t="s">
        <v>1197</v>
      </c>
    </row>
    <row r="7" spans="2:3" x14ac:dyDescent="0.45">
      <c r="B7" s="8" t="s">
        <v>1198</v>
      </c>
      <c r="C7" s="8" t="s">
        <v>1199</v>
      </c>
    </row>
    <row r="8" spans="2:3" x14ac:dyDescent="0.45">
      <c r="B8" s="8" t="s">
        <v>1200</v>
      </c>
      <c r="C8" s="8" t="s">
        <v>1201</v>
      </c>
    </row>
    <row r="9" spans="2:3" x14ac:dyDescent="0.45">
      <c r="B9" s="8" t="s">
        <v>1202</v>
      </c>
      <c r="C9" s="8" t="s">
        <v>1203</v>
      </c>
    </row>
    <row r="10" spans="2:3" x14ac:dyDescent="0.45">
      <c r="B10" s="8" t="s">
        <v>1204</v>
      </c>
      <c r="C10" s="8" t="s">
        <v>1205</v>
      </c>
    </row>
    <row r="11" spans="2:3" x14ac:dyDescent="0.45">
      <c r="B11" s="8" t="s">
        <v>1206</v>
      </c>
      <c r="C11" s="8" t="s">
        <v>1207</v>
      </c>
    </row>
    <row r="12" spans="2:3" x14ac:dyDescent="0.45">
      <c r="B12" s="8" t="s">
        <v>1206</v>
      </c>
      <c r="C12" s="8" t="s">
        <v>1208</v>
      </c>
    </row>
    <row r="13" spans="2:3" x14ac:dyDescent="0.45">
      <c r="B13" s="8" t="s">
        <v>1209</v>
      </c>
      <c r="C13" s="8" t="s">
        <v>1210</v>
      </c>
    </row>
    <row r="14" spans="2:3" x14ac:dyDescent="0.45">
      <c r="B14" s="8" t="s">
        <v>1211</v>
      </c>
      <c r="C14" s="8" t="s">
        <v>1212</v>
      </c>
    </row>
    <row r="15" spans="2:3" x14ac:dyDescent="0.45">
      <c r="B15" s="8" t="s">
        <v>1213</v>
      </c>
      <c r="C15" s="8" t="s">
        <v>1190</v>
      </c>
    </row>
    <row r="16" spans="2:3" x14ac:dyDescent="0.45">
      <c r="B16" s="8" t="s">
        <v>1214</v>
      </c>
      <c r="C16" s="8" t="s">
        <v>1196</v>
      </c>
    </row>
    <row r="17" spans="2:3" x14ac:dyDescent="0.45">
      <c r="B17" s="8" t="s">
        <v>1215</v>
      </c>
      <c r="C17" s="8" t="s">
        <v>1216</v>
      </c>
    </row>
    <row r="18" spans="2:3" x14ac:dyDescent="0.45">
      <c r="B18" s="8" t="s">
        <v>1217</v>
      </c>
      <c r="C18" s="8" t="s">
        <v>1218</v>
      </c>
    </row>
    <row r="19" spans="2:3" x14ac:dyDescent="0.45">
      <c r="B19" s="8" t="s">
        <v>1219</v>
      </c>
      <c r="C19" s="8" t="s">
        <v>1220</v>
      </c>
    </row>
    <row r="20" spans="2:3" x14ac:dyDescent="0.45">
      <c r="B20" s="8" t="s">
        <v>1221</v>
      </c>
      <c r="C20" s="8" t="s">
        <v>1222</v>
      </c>
    </row>
    <row r="21" spans="2:3" x14ac:dyDescent="0.45">
      <c r="B21" s="8" t="s">
        <v>1223</v>
      </c>
      <c r="C21" s="8" t="s">
        <v>1224</v>
      </c>
    </row>
    <row r="22" spans="2:3" x14ac:dyDescent="0.45">
      <c r="B22" s="8" t="s">
        <v>1225</v>
      </c>
      <c r="C22" s="8" t="s">
        <v>1226</v>
      </c>
    </row>
    <row r="23" spans="2:3" x14ac:dyDescent="0.45">
      <c r="B23" s="8" t="s">
        <v>1227</v>
      </c>
      <c r="C23" s="8" t="s">
        <v>1228</v>
      </c>
    </row>
    <row r="24" spans="2:3" x14ac:dyDescent="0.45">
      <c r="B24" s="8" t="s">
        <v>1229</v>
      </c>
      <c r="C24" s="8" t="s">
        <v>1230</v>
      </c>
    </row>
    <row r="25" spans="2:3" x14ac:dyDescent="0.45">
      <c r="B25" s="8" t="s">
        <v>1231</v>
      </c>
      <c r="C25" s="8" t="s">
        <v>1232</v>
      </c>
    </row>
    <row r="26" spans="2:3" x14ac:dyDescent="0.45">
      <c r="B26" s="8" t="s">
        <v>1233</v>
      </c>
      <c r="C26" s="8" t="s">
        <v>1234</v>
      </c>
    </row>
    <row r="27" spans="2:3" x14ac:dyDescent="0.45">
      <c r="B27" s="8" t="s">
        <v>1235</v>
      </c>
      <c r="C27" s="8" t="s">
        <v>1236</v>
      </c>
    </row>
    <row r="28" spans="2:3" x14ac:dyDescent="0.45">
      <c r="B28" s="8" t="s">
        <v>1237</v>
      </c>
      <c r="C28" s="8" t="s">
        <v>1238</v>
      </c>
    </row>
    <row r="29" spans="2:3" x14ac:dyDescent="0.45">
      <c r="B29" s="8" t="s">
        <v>1239</v>
      </c>
      <c r="C29" s="8" t="s">
        <v>1240</v>
      </c>
    </row>
    <row r="30" spans="2:3" x14ac:dyDescent="0.45">
      <c r="B30" s="8" t="s">
        <v>1241</v>
      </c>
      <c r="C30" s="8" t="s">
        <v>1242</v>
      </c>
    </row>
    <row r="31" spans="2:3" x14ac:dyDescent="0.45">
      <c r="B31" s="8" t="s">
        <v>1243</v>
      </c>
      <c r="C31" s="8" t="s">
        <v>1244</v>
      </c>
    </row>
    <row r="32" spans="2:3" x14ac:dyDescent="0.45">
      <c r="B32" s="8" t="s">
        <v>1245</v>
      </c>
      <c r="C32" s="8" t="s">
        <v>1246</v>
      </c>
    </row>
    <row r="33" spans="2:3" x14ac:dyDescent="0.45">
      <c r="B33" s="8" t="s">
        <v>1247</v>
      </c>
      <c r="C33" s="8" t="s">
        <v>1248</v>
      </c>
    </row>
    <row r="34" spans="2:3" x14ac:dyDescent="0.45">
      <c r="B34" s="8" t="s">
        <v>1249</v>
      </c>
      <c r="C34" s="8" t="s">
        <v>1250</v>
      </c>
    </row>
    <row r="35" spans="2:3" x14ac:dyDescent="0.45">
      <c r="B35" s="8" t="s">
        <v>1251</v>
      </c>
      <c r="C35" s="8" t="s">
        <v>1252</v>
      </c>
    </row>
    <row r="36" spans="2:3" x14ac:dyDescent="0.45">
      <c r="B36" s="8" t="s">
        <v>1253</v>
      </c>
      <c r="C36" s="8" t="s">
        <v>1254</v>
      </c>
    </row>
    <row r="37" spans="2:3" x14ac:dyDescent="0.45">
      <c r="C37" s="8"/>
    </row>
  </sheetData>
  <sheetProtection algorithmName="SHA-512" hashValue="+POi1nIYNSQJgW8yqheLzKMPbnhSh3Jmldv8UstyL7NB0SNE2vPZA2iFLpEruRGA+c8ifLqHsds9/YYaPcIKwQ==" saltValue="KmNR9KUeqOMtQZ/zYsmVgQ==" spinCount="100000" sheet="1" objects="1" scenarios="1"/>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4E573-5D55-1F41-89DB-9AB72D7C1F17}">
  <sheetPr codeName="Sheet28"/>
  <dimension ref="A1:AK493"/>
  <sheetViews>
    <sheetView showGridLines="0" zoomScaleNormal="100" workbookViewId="0">
      <pane ySplit="4" topLeftCell="A5" activePane="bottomLeft" state="frozen"/>
      <selection pane="bottomLeft" activeCell="K368" sqref="K368"/>
    </sheetView>
  </sheetViews>
  <sheetFormatPr defaultColWidth="11" defaultRowHeight="20.05" customHeight="1" x14ac:dyDescent="0.35"/>
  <cols>
    <col min="1" max="1" width="2.85546875" style="8" customWidth="1"/>
    <col min="2" max="2" width="72.140625" style="8" bestFit="1" customWidth="1"/>
    <col min="3" max="3" width="33.85546875" style="8" bestFit="1" customWidth="1"/>
    <col min="4" max="4" width="2.85546875" style="8" customWidth="1"/>
    <col min="5" max="5" width="55.640625" style="8" bestFit="1" customWidth="1"/>
    <col min="6" max="6" width="40" style="8" bestFit="1" customWidth="1"/>
    <col min="7" max="7" width="2.85546875" style="8" customWidth="1"/>
    <col min="8" max="8" width="55.640625" style="8" bestFit="1" customWidth="1"/>
    <col min="9" max="9" width="40.85546875" style="8" bestFit="1" customWidth="1"/>
    <col min="10" max="10" width="2.85546875" style="8" customWidth="1"/>
    <col min="11" max="11" width="54.640625" style="8" bestFit="1" customWidth="1"/>
    <col min="12" max="12" width="49.640625" style="8" bestFit="1" customWidth="1"/>
    <col min="13" max="13" width="2.85546875" style="8" customWidth="1"/>
    <col min="14" max="14" width="54.640625" style="8" bestFit="1" customWidth="1"/>
    <col min="15" max="15" width="49.640625" style="8" bestFit="1" customWidth="1"/>
    <col min="16" max="16" width="4.35546875" style="8" customWidth="1"/>
    <col min="17" max="17" width="54.640625" style="8" bestFit="1" customWidth="1"/>
    <col min="18" max="18" width="49.640625" style="8" bestFit="1" customWidth="1"/>
    <col min="19" max="19" width="4" style="8" customWidth="1"/>
    <col min="20" max="20" width="54.640625" style="8" bestFit="1" customWidth="1"/>
    <col min="21" max="21" width="49.640625" style="8" bestFit="1" customWidth="1"/>
    <col min="22" max="22" width="3.5" style="8" customWidth="1"/>
    <col min="23" max="23" width="54.640625" style="8" bestFit="1" customWidth="1"/>
    <col min="24" max="24" width="49.640625" style="8" bestFit="1" customWidth="1"/>
    <col min="25" max="25" width="2.640625" style="8" customWidth="1"/>
    <col min="26" max="26" width="54.640625" style="8" bestFit="1" customWidth="1"/>
    <col min="27" max="27" width="49.640625" style="8" bestFit="1" customWidth="1"/>
    <col min="28" max="28" width="2.85546875" style="8" customWidth="1"/>
    <col min="29" max="29" width="54.640625" style="8" bestFit="1" customWidth="1"/>
    <col min="30" max="30" width="49.640625" style="8" bestFit="1" customWidth="1"/>
    <col min="31" max="31" width="2.85546875" style="8" customWidth="1"/>
    <col min="32" max="32" width="2.35546875" style="8" customWidth="1"/>
    <col min="33" max="33" width="51.640625" style="8" bestFit="1" customWidth="1"/>
    <col min="34" max="34" width="50.85546875" style="8" customWidth="1"/>
    <col min="35" max="35" width="40.85546875" style="8" customWidth="1"/>
    <col min="36" max="37" width="2.85546875" style="8" customWidth="1"/>
    <col min="38" max="45" width="11" style="8" customWidth="1"/>
    <col min="46" max="16384" width="11" style="8"/>
  </cols>
  <sheetData>
    <row r="1" spans="1:34" s="2" customFormat="1" ht="16" customHeight="1" x14ac:dyDescent="0.45">
      <c r="A1" s="1"/>
      <c r="B1" s="1"/>
      <c r="C1" s="1"/>
      <c r="D1" s="1"/>
      <c r="E1" s="1"/>
      <c r="F1" s="1"/>
      <c r="G1" s="1"/>
      <c r="H1" s="1"/>
      <c r="I1" s="1"/>
      <c r="J1" s="1"/>
    </row>
    <row r="2" spans="1:34" s="2" customFormat="1" ht="54" customHeight="1" x14ac:dyDescent="0.45">
      <c r="E2" s="575" t="s">
        <v>1255</v>
      </c>
      <c r="F2" s="575"/>
      <c r="G2" s="575"/>
      <c r="H2" s="575"/>
      <c r="I2" s="575"/>
      <c r="J2" s="575"/>
      <c r="K2" s="575"/>
      <c r="L2" s="575"/>
      <c r="M2" s="575"/>
    </row>
    <row r="3" spans="1:34" s="2" customFormat="1" ht="20.05" customHeight="1" x14ac:dyDescent="0.45">
      <c r="E3" s="419" t="s">
        <v>1256</v>
      </c>
      <c r="F3" s="419"/>
      <c r="G3" s="419"/>
      <c r="H3" s="419"/>
      <c r="I3" s="419"/>
      <c r="J3" s="419"/>
      <c r="K3" s="419"/>
      <c r="L3" s="419"/>
      <c r="M3" s="419"/>
    </row>
    <row r="4" spans="1:34" s="2" customFormat="1" ht="15" x14ac:dyDescent="0.45">
      <c r="M4" s="10"/>
    </row>
    <row r="5" spans="1:34" s="2" customFormat="1" ht="15" x14ac:dyDescent="0.45">
      <c r="M5" s="10"/>
    </row>
    <row r="6" spans="1:34" s="2" customFormat="1" ht="20.05" customHeight="1" x14ac:dyDescent="0.45">
      <c r="B6" s="573" t="s">
        <v>1257</v>
      </c>
      <c r="C6" s="574"/>
      <c r="E6" s="573" t="s">
        <v>1258</v>
      </c>
      <c r="F6" s="574"/>
      <c r="H6" s="382" t="s">
        <v>1259</v>
      </c>
      <c r="I6" s="383"/>
      <c r="K6" s="382" t="s">
        <v>1260</v>
      </c>
      <c r="L6" s="383"/>
      <c r="N6" s="382" t="s">
        <v>1261</v>
      </c>
      <c r="O6" s="383"/>
      <c r="Q6" s="379" t="s">
        <v>1262</v>
      </c>
      <c r="R6" s="381"/>
      <c r="T6" s="379" t="s">
        <v>1263</v>
      </c>
      <c r="U6" s="381"/>
      <c r="W6" s="379" t="s">
        <v>1264</v>
      </c>
      <c r="X6" s="381"/>
      <c r="Z6" s="379" t="s">
        <v>1265</v>
      </c>
      <c r="AA6" s="381"/>
      <c r="AB6" s="7"/>
      <c r="AC6" s="379" t="s">
        <v>1266</v>
      </c>
      <c r="AD6" s="381"/>
      <c r="AG6" s="576" t="s">
        <v>1267</v>
      </c>
      <c r="AH6" s="578"/>
    </row>
    <row r="7" spans="1:34" s="2" customFormat="1" ht="20.05" customHeight="1" x14ac:dyDescent="0.45">
      <c r="B7" s="11" t="s">
        <v>261</v>
      </c>
      <c r="C7" s="12" t="s">
        <v>1268</v>
      </c>
      <c r="E7" s="11" t="s">
        <v>261</v>
      </c>
      <c r="F7" s="12" t="s">
        <v>1269</v>
      </c>
      <c r="H7" s="11" t="s">
        <v>261</v>
      </c>
      <c r="I7" s="12" t="s">
        <v>1269</v>
      </c>
      <c r="K7" s="11" t="s">
        <v>261</v>
      </c>
      <c r="L7" s="12" t="s">
        <v>1269</v>
      </c>
      <c r="N7" s="11" t="s">
        <v>261</v>
      </c>
      <c r="O7" s="12" t="s">
        <v>1269</v>
      </c>
      <c r="Q7" s="13" t="s">
        <v>261</v>
      </c>
      <c r="R7" s="14" t="s">
        <v>1269</v>
      </c>
      <c r="S7" s="15"/>
      <c r="T7" s="13" t="s">
        <v>261</v>
      </c>
      <c r="U7" s="14" t="s">
        <v>1269</v>
      </c>
      <c r="V7" s="15"/>
      <c r="W7" s="13" t="s">
        <v>261</v>
      </c>
      <c r="X7" s="14" t="s">
        <v>1269</v>
      </c>
      <c r="Y7" s="15"/>
      <c r="Z7" s="13" t="s">
        <v>261</v>
      </c>
      <c r="AA7" s="14" t="s">
        <v>1269</v>
      </c>
      <c r="AB7" s="15"/>
      <c r="AC7" s="13" t="s">
        <v>261</v>
      </c>
      <c r="AD7" s="14" t="s">
        <v>1269</v>
      </c>
      <c r="AG7" s="16" t="s">
        <v>1270</v>
      </c>
      <c r="AH7" s="337">
        <f>IF(AND(this_instance="sfo",wld_domain_number_chosen=1),13,IF(AND(this_instance="sfo",wld_domain_number_chosen=2),15,IF(AND(this_instance="sfo",wld_domain_number_chosen=3),17,IF(AND(this_instance="lax",wld_domain_number_chosen=1),23,IF(AND(this_instance="lax",wld_domain_number_chosen=2),25,IF(AND(this_instance="lax",wld_domain_number_chosen=3),27))))))</f>
        <v>13</v>
      </c>
    </row>
    <row r="8" spans="1:34" s="2" customFormat="1" ht="20.05" customHeight="1" x14ac:dyDescent="0.45">
      <c r="B8" s="4" t="s">
        <v>1271</v>
      </c>
      <c r="C8" s="337" t="str">
        <f>mgmt_offline_depot_chosen</f>
        <v>Online</v>
      </c>
      <c r="E8" s="4" t="s">
        <v>1272</v>
      </c>
      <c r="F8" s="337" t="str">
        <f>IF(ISBLANK('Deploy Management Domain'!L154),"Value Missing",'Deploy Management Domain'!L154)</f>
        <v>Value Missing</v>
      </c>
      <c r="H8" s="4" t="s">
        <v>1272</v>
      </c>
      <c r="I8" s="337" t="str">
        <f>IF(ISBLANK(input_wld_az1_mgmt_vm_vlan),"Value Missing",input_wld_az1_mgmt_vm_vlan)</f>
        <v>Value Missing</v>
      </c>
      <c r="K8" s="4" t="s">
        <v>1272</v>
      </c>
      <c r="L8" s="337" t="str">
        <f>IF(ISBLANK(input_wld_az1_rack2_mgmt_vm_vlan),"Value Missing",input_wld_az1_rack2_mgmt_vm_vlan)</f>
        <v>Value Missing</v>
      </c>
      <c r="N8" s="4" t="s">
        <v>1272</v>
      </c>
      <c r="O8" s="337" t="str">
        <f>IF(ISBLANK(input_wld_az1_rack3_mgmt_vm_vlan),"Value Missing",input_wld_az1_rack3_mgmt_vm_vlan)</f>
        <v>Value Missing</v>
      </c>
      <c r="Q8" s="4" t="s">
        <v>1272</v>
      </c>
      <c r="R8" s="337" t="str">
        <f>IF(ISBLANK(input_wld_az1_rack4_mgmt_vm_vlan),"Value Missing",input_wld_az1_rack4_mgmt_vm_vlan)</f>
        <v>Value Missing</v>
      </c>
      <c r="T8" s="4" t="s">
        <v>1272</v>
      </c>
      <c r="U8" s="337" t="str">
        <f>IF(ISBLANK(input_wld_az1_rack5_mgmt_vm_vlan),"Value Missing",input_wld_az1_rack5_mgmt_vm_vlan)</f>
        <v>Value Missing</v>
      </c>
      <c r="W8" s="4" t="s">
        <v>1272</v>
      </c>
      <c r="X8" s="337" t="str">
        <f>IF(ISBLANK(input_wld_az1_rack6_mgmt_vm_vlan),"Value Missing",input_wld_az1_rack6_mgmt_vm_vlan)</f>
        <v>Value Missing</v>
      </c>
      <c r="Z8" s="4" t="s">
        <v>1272</v>
      </c>
      <c r="AA8" s="337" t="str">
        <f>IF(ISBLANK(input_wld_az1_rack7_mgmt_vm_vlan),"Value Missing",input_wld_az1_rack7_mgmt_vm_vlan)</f>
        <v>Value Missing</v>
      </c>
      <c r="AC8" s="4" t="s">
        <v>1272</v>
      </c>
      <c r="AD8" s="337" t="str">
        <f>IF(ISBLANK(input_wld_az1_rack8_mgmt_vm_vlan),"Value Missing",input_wld_az1_rack8_mgmt_vm_vlan)</f>
        <v>Value Missing</v>
      </c>
      <c r="AG8" s="16" t="s">
        <v>1273</v>
      </c>
      <c r="AH8" s="337">
        <f>IF(AND(this_instance="sfo",wld_domain_number_chosen=1),14,IF(AND(this_instance="sfo",wld_domain_number_chosen=2),16,IF(AND(this_instance="sfo",wld_domain_number_chosen=3),18,IF(AND(this_instance="lax",wld_domain_number_chosen=1),24,IF(AND(this_instance="lax",wld_domain_number_chosen=2),26,IF(AND(this_instance="lax",wld_domain_number_chosen=3),28))))))</f>
        <v>14</v>
      </c>
    </row>
    <row r="9" spans="1:34" s="2" customFormat="1" ht="20.05" customHeight="1" x14ac:dyDescent="0.45">
      <c r="B9" s="4" t="s">
        <v>302</v>
      </c>
      <c r="C9" s="337" t="str">
        <f>mgmt_offline_depot_fqdn</f>
        <v>Value Missing</v>
      </c>
      <c r="E9" s="4" t="s">
        <v>1274</v>
      </c>
      <c r="F9" s="337" t="str">
        <f>IF(ISBLANK(input_mgmt_az1_mgmt_vlan),"Value Missing",input_mgmt_az1_mgmt_vlan)</f>
        <v>Value Missing</v>
      </c>
      <c r="H9" s="4" t="s">
        <v>1274</v>
      </c>
      <c r="I9" s="337" t="str">
        <f>IF(ISBLANK(input_wld_az1_mgmt_vlan),"Value Missing",input_wld_az1_mgmt_vlan)</f>
        <v>Value Missing</v>
      </c>
      <c r="K9" s="4" t="s">
        <v>1274</v>
      </c>
      <c r="L9" s="337" t="str">
        <f>IF(ISBLANK(input_wld_az1_rack2_mgmt_vlan),"Value Missing",input_wld_az1_rack2_mgmt_vlan)</f>
        <v>Value Missing</v>
      </c>
      <c r="N9" s="4" t="s">
        <v>1274</v>
      </c>
      <c r="O9" s="337" t="str">
        <f>IF(ISBLANK(input_wld_az1_rack3_mgmt_vlan),"Value Missing",input_wld_az1_rack3_mgmt_vlan)</f>
        <v>Value Missing</v>
      </c>
      <c r="Q9" s="4" t="s">
        <v>1274</v>
      </c>
      <c r="R9" s="337" t="str">
        <f>IF(ISBLANK(input_wld_az1_rack4_mgmt_vlan),"Value Missing",input_wld_az1_rack4_mgmt_vlan)</f>
        <v>Value Missing</v>
      </c>
      <c r="T9" s="4" t="s">
        <v>1274</v>
      </c>
      <c r="U9" s="337" t="str">
        <f>IF(ISBLANK(input_wld_az1_rack5_mgmt_vlan),"Value Missing",input_wld_az1_rack5_mgmt_vlan)</f>
        <v>Value Missing</v>
      </c>
      <c r="W9" s="4" t="s">
        <v>1274</v>
      </c>
      <c r="X9" s="337" t="str">
        <f>IF(ISBLANK(input_wld_az1_rack6_mgmt_vlan),"Value Missing",input_wld_az1_rack6_mgmt_vlan)</f>
        <v>Value Missing</v>
      </c>
      <c r="Z9" s="4" t="s">
        <v>1274</v>
      </c>
      <c r="AA9" s="337" t="str">
        <f>IF(ISBLANK(input_wld_az1_rack7_mgmt_vlan),"Value Missing",input_wld_az1_rack7_mgmt_vlan)</f>
        <v>Value Missing</v>
      </c>
      <c r="AC9" s="4" t="s">
        <v>1274</v>
      </c>
      <c r="AD9" s="337" t="str">
        <f>IF(ISBLANK(input_wld_az1_rack8_mgmt_vlan),"Value Missing",input_wld_az1_rack8_mgmt_vlan)</f>
        <v>Value Missing</v>
      </c>
      <c r="AG9" s="16" t="s">
        <v>1275</v>
      </c>
      <c r="AH9" s="337" t="str">
        <f>CONCATENATE("10.",prefix_wld_az1_rack_vlan,".")</f>
        <v>10.13.</v>
      </c>
    </row>
    <row r="10" spans="1:34" s="2" customFormat="1" ht="20.05" customHeight="1" x14ac:dyDescent="0.45">
      <c r="B10" s="4" t="s">
        <v>24</v>
      </c>
      <c r="C10" s="337" t="str">
        <f>mgmt_offline_depot_port</f>
        <v>Value Missing</v>
      </c>
      <c r="E10" s="4" t="s">
        <v>251</v>
      </c>
      <c r="F10" s="337" t="str">
        <f>IF(ISBLANK(input_mgmt_az1_vmotion_vlan),"Value Missing",input_mgmt_az1_vmotion_vlan)</f>
        <v>Value Missing</v>
      </c>
      <c r="H10" s="4" t="s">
        <v>251</v>
      </c>
      <c r="I10" s="337" t="str">
        <f>IF(ISBLANK(input_wld_az1_vmotion_vlan),"Value Missing",input_wld_az1_vmotion_vlan)</f>
        <v>Value Missing</v>
      </c>
      <c r="K10" s="4" t="s">
        <v>251</v>
      </c>
      <c r="L10" s="337" t="str">
        <f>IF(ISBLANK(input_wld_az1_rack2_vmotion_vlan),"Value Missing",input_wld_az1_rack2_vmotion_vlan)</f>
        <v>Value Missing</v>
      </c>
      <c r="N10" s="4" t="s">
        <v>251</v>
      </c>
      <c r="O10" s="337" t="str">
        <f>IF(ISBLANK(input_wld_az1_rack3_vmotion_vlan),"Value Missing",input_wld_az1_rack3_vmotion_vlan)</f>
        <v>Value Missing</v>
      </c>
      <c r="Q10" s="4" t="s">
        <v>251</v>
      </c>
      <c r="R10" s="337" t="str">
        <f>IF(ISBLANK(input_wld_az1_rack4_vmotion_vlan),"Value Missing",input_wld_az1_rack4_vmotion_vlan)</f>
        <v>Value Missing</v>
      </c>
      <c r="T10" s="4" t="s">
        <v>251</v>
      </c>
      <c r="U10" s="337" t="str">
        <f>IF(ISBLANK(input_wld_az1_rack5_vmotion_vlan),"Value Missing",input_wld_az1_rack5_vmotion_vlan)</f>
        <v>Value Missing</v>
      </c>
      <c r="W10" s="4" t="s">
        <v>251</v>
      </c>
      <c r="X10" s="337" t="str">
        <f>IF(ISBLANK(input_wld_az1_rack6_vmotion_vlan),"Value Missing",input_wld_az1_rack6_vmotion_vlan)</f>
        <v>Value Missing</v>
      </c>
      <c r="Z10" s="4" t="s">
        <v>251</v>
      </c>
      <c r="AA10" s="337" t="str">
        <f>IF(ISBLANK(input_wld_az1_rack7_vmotion_vlan),"Value Missing",input_wld_az1_rack7_vmotion_vlan)</f>
        <v>Value Missing</v>
      </c>
      <c r="AC10" s="4" t="s">
        <v>251</v>
      </c>
      <c r="AD10" s="337" t="str">
        <f>IF(ISBLANK(input_wld_az1_rack8_vmotion_vlan),"Value Missing",input_wld_az1_rack8_vmotion_vlan)</f>
        <v>Value Missing</v>
      </c>
      <c r="AG10" s="16" t="s">
        <v>1276</v>
      </c>
      <c r="AH10" s="337" t="str">
        <f>CONCATENATE("10.",prefix_wld_az2_rack_vlan)</f>
        <v>10.14</v>
      </c>
    </row>
    <row r="11" spans="1:34" s="2" customFormat="1" ht="20.05" customHeight="1" x14ac:dyDescent="0.35">
      <c r="B11" s="4" t="s">
        <v>29</v>
      </c>
      <c r="C11" s="337" t="str">
        <f>svc_my_vmware_password</f>
        <v>Value Missing</v>
      </c>
      <c r="E11" s="17" t="str">
        <f>CONCATENATE("Principal Storage Network ",wld_principal_storage_chosen)</f>
        <v>Principal Storage Network vSAN-ESA</v>
      </c>
      <c r="F11" s="337" t="str">
        <f>IF(ISBLANK(input_mgmt_az1_vsan_vlan),"Value Missing",input_mgmt_az1_vsan_vlan)</f>
        <v>Value Missing</v>
      </c>
      <c r="H11" s="17" t="s">
        <v>257</v>
      </c>
      <c r="I11" s="337" t="str">
        <f>IF(ISBLANK(input_wld_az1_principal_storage_vlan),"Value Missing",input_wld_az1_principal_storage_vlan)</f>
        <v>Value Missing</v>
      </c>
      <c r="K11" s="17" t="str">
        <f>CONCATENATE("Principal Storage Network ",wld_principal_storage_chosen)</f>
        <v>Principal Storage Network vSAN-ESA</v>
      </c>
      <c r="L11" s="337" t="str">
        <f>IF(ISBLANK(input_wld_az1_rack2_principal_storage_vlan),"Value Missing",input_wld_az1_rack2_principal_storage_vlan)</f>
        <v>Value Missing</v>
      </c>
      <c r="N11" s="17" t="str">
        <f>CONCATENATE("Principal Storage Network ",wld_principal_storage_chosen)</f>
        <v>Principal Storage Network vSAN-ESA</v>
      </c>
      <c r="O11" s="337" t="str">
        <f>IF(ISBLANK(input_wld_az1_rack3_principal_storage_vlan),"Value Missing",input_wld_az1_rack3_principal_storage_vlan)</f>
        <v>Value Missing</v>
      </c>
      <c r="Q11" s="17" t="str">
        <f>CONCATENATE("Principal Storage Network ",wld_principal_storage_chosen)</f>
        <v>Principal Storage Network vSAN-ESA</v>
      </c>
      <c r="R11" s="337" t="str">
        <f>IF(ISBLANK(input_wld_az1_rack4_principal_storage_vlan),"Value Missing",input_wld_az1_rack4_principal_storage_vlan)</f>
        <v>Value Missing</v>
      </c>
      <c r="T11" s="17" t="str">
        <f>CONCATENATE("Principal Storage Network ",wld_principal_storage_chosen)</f>
        <v>Principal Storage Network vSAN-ESA</v>
      </c>
      <c r="U11" s="337" t="str">
        <f>IF(ISBLANK(input_wld_az1_rack5_principal_storage_vlan),"Value Missing",input_wld_az1_rack5_principal_storage_vlan)</f>
        <v>Value Missing</v>
      </c>
      <c r="W11" s="17" t="str">
        <f>CONCATENATE("Principal Storage Network ",wld_principal_storage_chosen)</f>
        <v>Principal Storage Network vSAN-ESA</v>
      </c>
      <c r="X11" s="337" t="str">
        <f>IF(ISBLANK(input_wld_az1_rack6_principal_storage_vlan),"Value Missing",input_wld_az1_rack6_principal_storage_vlan)</f>
        <v>Value Missing</v>
      </c>
      <c r="Z11" s="17" t="str">
        <f>CONCATENATE("Principal Storage Network ",wld_principal_storage_chosen)</f>
        <v>Principal Storage Network vSAN-ESA</v>
      </c>
      <c r="AA11" s="337" t="str">
        <f>IF(ISBLANK(input_wld_az1_rack7_principal_storage_vlan),"Value Missing",input_wld_az1_rack7_principal_storage_vlan)</f>
        <v>Value Missing</v>
      </c>
      <c r="AC11" s="17" t="str">
        <f>CONCATENATE("Principal Storage Network ",wld_principal_storage_chosen)</f>
        <v>Principal Storage Network vSAN-ESA</v>
      </c>
      <c r="AD11" s="337" t="str">
        <f>IF(ISBLANK(input_wld_az1_rack8_principal_storage_vlan),"Value Missing",input_wld_az1_rack8_principal_storage_vlan)</f>
        <v>Value Missing</v>
      </c>
      <c r="AG11" s="8"/>
    </row>
    <row r="12" spans="1:34" s="2" customFormat="1" ht="20.05" customHeight="1" x14ac:dyDescent="0.45">
      <c r="B12" s="4" t="s">
        <v>1277</v>
      </c>
      <c r="C12" s="337" t="str">
        <f>mgmt_offline_depot_chosen</f>
        <v>Online</v>
      </c>
      <c r="E12" s="4" t="s">
        <v>1278</v>
      </c>
      <c r="F12" s="337" t="str">
        <f>IF(ISBLANK(input_mgmt_az1_host_overlay_vlan),"Value Missing",input_mgmt_az1_host_overlay_vlan)</f>
        <v>Value Missing</v>
      </c>
      <c r="H12" s="4" t="s">
        <v>1278</v>
      </c>
      <c r="I12" s="337" t="str">
        <f>IF(ISBLANK(input_wld_az1_host_overlay_vlan),"Value Missing",input_wld_az1_host_overlay_vlan)</f>
        <v>Value Missing</v>
      </c>
      <c r="K12" s="4" t="s">
        <v>1278</v>
      </c>
      <c r="L12" s="337" t="str">
        <f>IF(ISBLANK(input_wld_az1_rack2_host_overlay_vlan),"Value Missing",input_wld_az1_rack2_host_overlay_vlan)</f>
        <v>Value Missing</v>
      </c>
      <c r="N12" s="4" t="s">
        <v>1278</v>
      </c>
      <c r="O12" s="337" t="str">
        <f>IF(ISBLANK(input_wld_az1_rack3_host_overlay_vlan),"Value Missing",input_wld_az1_rack3_host_overlay_vlan)</f>
        <v>Value Missing</v>
      </c>
      <c r="Q12" s="4" t="s">
        <v>1278</v>
      </c>
      <c r="R12" s="337" t="str">
        <f>IF(ISBLANK(input_wld_az1_rack4_host_overlay_vlan),"Value Missing",input_wld_az1_rack4_host_overlay_vlan)</f>
        <v>Value Missing</v>
      </c>
      <c r="T12" s="4" t="s">
        <v>1278</v>
      </c>
      <c r="U12" s="337" t="str">
        <f>IF(ISBLANK(input_wld_az1_rack5_host_overlay_vlan),"Value Missing",input_wld_az1_rack5_host_overlay_vlan)</f>
        <v>Value Missing</v>
      </c>
      <c r="W12" s="4" t="s">
        <v>1278</v>
      </c>
      <c r="X12" s="337" t="str">
        <f>IF(ISBLANK(input_wld_az1_rack6_host_overlay_vlan),"Value Missing",input_wld_az1_rack6_host_overlay_vlan)</f>
        <v>Value Missing</v>
      </c>
      <c r="Z12" s="4" t="s">
        <v>1278</v>
      </c>
      <c r="AA12" s="337" t="str">
        <f>IF(ISBLANK(input_wld_az1_rack7_host_overlay_vlan),"Value Missing",input_wld_az1_rack7_host_overlay_vlan)</f>
        <v>Value Missing</v>
      </c>
      <c r="AC12" s="4" t="s">
        <v>1278</v>
      </c>
      <c r="AD12" s="337" t="str">
        <f>IF(ISBLANK(input_wld_az1_rack8_host_overlay_vlan),"Value Missing",input_wld_az1_rack8_host_overlay_vlan)</f>
        <v>Value Missing</v>
      </c>
    </row>
    <row r="13" spans="1:34" s="2" customFormat="1" ht="20.05" customHeight="1" x14ac:dyDescent="0.45">
      <c r="B13" s="4" t="s">
        <v>1279</v>
      </c>
      <c r="C13" s="337" t="str">
        <f>mgmt_internet_proxy_type_chosen</f>
        <v>HTTPS</v>
      </c>
      <c r="E13" s="18" t="s">
        <v>1280</v>
      </c>
      <c r="F13" s="337" t="str">
        <f>IF(ISBLANK(input_mgmt_az1_secondary_storage_vlan),"Value Missing",input_mgmt_az1_secondary_storage_vlan)</f>
        <v>Value Missing</v>
      </c>
      <c r="H13" s="4" t="s">
        <v>1280</v>
      </c>
      <c r="I13" s="337" t="str">
        <f>IF(ISBLANK(input_wld_az1_secondary_storage_vlan),"Value Missing",input_wld_az1_secondary_storage_vlan)</f>
        <v>Value Missing</v>
      </c>
      <c r="K13" s="4" t="s">
        <v>1280</v>
      </c>
      <c r="L13" s="337" t="str">
        <f>IF(ISBLANK(input_wld_az1_rack2_secondary_storage_vlan),"Value Missing",input_wld_az1_rack2_secondary_storage_vlan)</f>
        <v>Value Missing</v>
      </c>
      <c r="N13" s="4" t="s">
        <v>1280</v>
      </c>
      <c r="O13" s="337" t="str">
        <f>IF(ISBLANK(input_wld_az1_rack3_secondary_storage_vlan),"Value Missing",input_wld_az1_rack3_secondary_storage_vlan)</f>
        <v>Value Missing</v>
      </c>
      <c r="Q13" s="4" t="s">
        <v>1280</v>
      </c>
      <c r="R13" s="337" t="str">
        <f>IF(ISBLANK(input_wld_az1_rack4_secondary_storage_vlan),"Value Missing",input_wld_az1_rack4_secondary_storage_vlan)</f>
        <v>Value Missing</v>
      </c>
      <c r="T13" s="4" t="s">
        <v>1280</v>
      </c>
      <c r="U13" s="337" t="str">
        <f>IF(ISBLANK(input_wld_az1_rack5_secondary_storage_vlan),"Value Missing",input_wld_az1_rack5_secondary_storage_vlan)</f>
        <v>Value Missing</v>
      </c>
      <c r="W13" s="4" t="s">
        <v>1280</v>
      </c>
      <c r="X13" s="337" t="str">
        <f>IF(ISBLANK(input_wld_az1_rack6_secondary_storage_vlan),"Value Missing",input_wld_az1_rack6_secondary_storage_vlan)</f>
        <v>Value Missing</v>
      </c>
      <c r="Z13" s="4" t="s">
        <v>1280</v>
      </c>
      <c r="AA13" s="337" t="str">
        <f>IF(ISBLANK(input_wld_az1_rack7_secondary_storage_vlan),"Value Missing",input_wld_az1_rack7_secondary_storage_vlan)</f>
        <v>Value Missing</v>
      </c>
      <c r="AC13" s="4" t="s">
        <v>1280</v>
      </c>
      <c r="AD13" s="337" t="str">
        <f>IF(ISBLANK(input_wld_az1_rack8_secondary_storage_vlan),"Value Missing",input_wld_az1_rack8_secondary_storage_vlan)</f>
        <v>Value Missing</v>
      </c>
    </row>
    <row r="14" spans="1:34" s="2" customFormat="1" ht="20.05" customHeight="1" x14ac:dyDescent="0.45">
      <c r="B14" s="4" t="s">
        <v>1281</v>
      </c>
      <c r="C14" s="2" t="str">
        <f>mgmt_internet_proxy_chosen</f>
        <v>Unselected</v>
      </c>
      <c r="E14" s="18"/>
      <c r="F14" s="337"/>
      <c r="H14" s="4" t="s">
        <v>805</v>
      </c>
      <c r="I14" s="337" t="str">
        <f>IF(ISBLANK(input_wld_az1_storage_cluster_vlan),"Value Missing",input_wld_az1_storage_cluster_vlan)</f>
        <v>Value Missing</v>
      </c>
      <c r="K14" s="22" t="s">
        <v>805</v>
      </c>
      <c r="L14" s="337"/>
      <c r="N14" s="22" t="s">
        <v>805</v>
      </c>
      <c r="O14" s="337"/>
      <c r="Q14" s="22" t="s">
        <v>805</v>
      </c>
      <c r="R14" s="337"/>
      <c r="T14" s="22" t="s">
        <v>805</v>
      </c>
      <c r="U14" s="337"/>
      <c r="W14" s="22" t="s">
        <v>805</v>
      </c>
      <c r="X14" s="337"/>
      <c r="Z14" s="22" t="s">
        <v>805</v>
      </c>
      <c r="AA14" s="337"/>
      <c r="AC14" s="22" t="s">
        <v>805</v>
      </c>
      <c r="AD14" s="337"/>
    </row>
    <row r="15" spans="1:34" s="2" customFormat="1" ht="20.05" customHeight="1" x14ac:dyDescent="0.45">
      <c r="B15" s="4" t="s">
        <v>1282</v>
      </c>
      <c r="C15" s="337" t="str">
        <f>IF(ISBLANK(input_mgmt_internet_proxy_address),"Value Missing",input_mgmt_internet_proxy_address)</f>
        <v>Value Missing</v>
      </c>
      <c r="E15" s="4" t="s">
        <v>1283</v>
      </c>
      <c r="F15" s="337" t="str">
        <f>IF(ISBLANK(input_mgmt_az1_uplink01_vlan),"Value Missing",input_mgmt_az1_uplink01_vlan)</f>
        <v>Value Missing</v>
      </c>
      <c r="H15" s="4" t="s">
        <v>1283</v>
      </c>
      <c r="I15" s="337" t="str">
        <f>IF(ISBLANK(input_wld_az1_uplink01_vlan),"Value Missing",input_wld_az1_uplink01_vlan)</f>
        <v>Value Missing</v>
      </c>
      <c r="K15" s="4" t="s">
        <v>1283</v>
      </c>
      <c r="L15" s="337" t="str">
        <f>IF(ISBLANK(input_wld_az1_rack2_uplink01_vlan),"Value Missing",input_wld_az1_rack2_uplink01_vlan)</f>
        <v>Value Missing</v>
      </c>
      <c r="N15" s="4" t="s">
        <v>1283</v>
      </c>
      <c r="O15" s="337" t="str">
        <f>IF(ISBLANK(input_wld_az1_rack3_uplink01_vlan),"Value Missing",input_wld_az1_rack3_uplink01_vlan)</f>
        <v>Value Missing</v>
      </c>
      <c r="Q15" s="4" t="s">
        <v>1283</v>
      </c>
      <c r="R15" s="337" t="str">
        <f>IF(ISBLANK(input_wld_az1_rack4_uplink01_vlan),"Value Missing",input_wld_az1_rack4_uplink01_vlan)</f>
        <v>Value Missing</v>
      </c>
      <c r="T15" s="4" t="s">
        <v>1283</v>
      </c>
      <c r="U15" s="337" t="str">
        <f>IF(ISBLANK(input_wld_az1_rack5_uplink01_vlan),"Value Missing",input_wld_az1_rack5_uplink01_vlan)</f>
        <v>Value Missing</v>
      </c>
      <c r="W15" s="4" t="s">
        <v>1283</v>
      </c>
      <c r="X15" s="337" t="str">
        <f>IF(ISBLANK(input_wld_az1_rack6_uplink01_vlan),"Value Missing",input_wld_az1_rack6_uplink01_vlan)</f>
        <v>Value Missing</v>
      </c>
      <c r="Z15" s="4" t="s">
        <v>1283</v>
      </c>
      <c r="AA15" s="326" t="str">
        <f>IF(ISBLANK(input_wld_az1_rack7_uplink01_vlan),"Value Missing",input_wld_az1_rack7_uplink01_vlan)</f>
        <v>Value Missing</v>
      </c>
      <c r="AC15" s="4" t="s">
        <v>1283</v>
      </c>
      <c r="AD15" s="337" t="str">
        <f>IF(ISBLANK(input_wld_az1_rack8_uplink01_vlan),"Value Missing",input_wld_az1_rack8_uplink01_vlan)</f>
        <v>Value Missing</v>
      </c>
    </row>
    <row r="16" spans="1:34" s="2" customFormat="1" ht="20.05" customHeight="1" x14ac:dyDescent="0.45">
      <c r="B16" s="4" t="s">
        <v>1284</v>
      </c>
      <c r="C16" s="337" t="str">
        <f>mgmt_internet_proxy_port</f>
        <v>Value Missing</v>
      </c>
      <c r="E16" s="4" t="s">
        <v>1285</v>
      </c>
      <c r="F16" s="337" t="str">
        <f>IF(ISBLANK(input_mgmt_az1_uplink02_vlan),"Value Missing",input_mgmt_az1_uplink02_vlan)</f>
        <v>Value Missing</v>
      </c>
      <c r="H16" s="4" t="s">
        <v>1285</v>
      </c>
      <c r="I16" s="337" t="str">
        <f>IF(ISBLANK(input_wld_az1_uplink02_vlan),"Value Missing",input_wld_az1_uplink02_vlan)</f>
        <v>Value Missing</v>
      </c>
      <c r="K16" s="4" t="s">
        <v>1285</v>
      </c>
      <c r="L16" s="337" t="str">
        <f>IF(ISBLANK(input_wld_az1_rack2_uplink02_vlan),"Value Missing",input_wld_az1_rack2_uplink02_vlan)</f>
        <v>Value Missing</v>
      </c>
      <c r="N16" s="4" t="s">
        <v>1285</v>
      </c>
      <c r="O16" s="337" t="str">
        <f>IF(ISBLANK(input_wld_az1_rack3_uplink02_vlan),"Value Missing",input_wld_az1_rack3_uplink02_vlan)</f>
        <v>Value Missing</v>
      </c>
      <c r="Q16" s="4" t="s">
        <v>1285</v>
      </c>
      <c r="R16" s="337" t="str">
        <f>IF(ISBLANK(input_wld_az1_rack4_uplink02_vlan),"Value Missing",input_wld_az1_rack4_uplink02_vlan)</f>
        <v>Value Missing</v>
      </c>
      <c r="T16" s="4" t="s">
        <v>1285</v>
      </c>
      <c r="U16" s="337" t="str">
        <f>IF(ISBLANK(input_wld_az1_rack5_uplink02_vlan),"Value Missing",input_wld_az1_rack5_uplink02_vlan)</f>
        <v>Value Missing</v>
      </c>
      <c r="W16" s="4" t="s">
        <v>1285</v>
      </c>
      <c r="X16" s="337" t="str">
        <f>IF(ISBLANK(input_wld_az1_rack6_uplink02_vlan),"Value Missing",input_wld_az1_rack6_uplink02_vlan)</f>
        <v>Value Missing</v>
      </c>
      <c r="Z16" s="4" t="s">
        <v>1285</v>
      </c>
      <c r="AA16" s="337" t="str">
        <f>IF(ISBLANK(input_wld_az1_rack7_uplink02_vlan),"Value Missing",input_wld_az1_rack7_uplink02_vlan)</f>
        <v>Value Missing</v>
      </c>
      <c r="AC16" s="4" t="s">
        <v>1285</v>
      </c>
      <c r="AD16" s="337" t="str">
        <f>IF(ISBLANK(input_wld_az1_rack8_uplink02_vlan),"Value Missing",input_wld_az1_rack8_uplink02_vlan)</f>
        <v>Value Missing</v>
      </c>
    </row>
    <row r="17" spans="2:34" s="2" customFormat="1" ht="20.05" customHeight="1" x14ac:dyDescent="0.45">
      <c r="B17" s="4" t="s">
        <v>1286</v>
      </c>
      <c r="C17" s="2" t="str">
        <f>mgmt_internet_proxy_auth_chosen</f>
        <v>Unselected</v>
      </c>
      <c r="E17" s="4" t="s">
        <v>1287</v>
      </c>
      <c r="F17" s="337" t="str">
        <f>IF(ISBLANK(input_mgmt_az1_edge_overlay_vlan),"Value Missing",input_mgmt_az1_edge_overlay_vlan)</f>
        <v>Value Missing</v>
      </c>
      <c r="H17" s="4" t="s">
        <v>1287</v>
      </c>
      <c r="I17" s="337" t="str">
        <f>IF(ISBLANK(input_wld_az1_edge_overlay_vlan),"Value Missing",input_wld_az1_edge_overlay_vlan)</f>
        <v>Value Missing</v>
      </c>
      <c r="K17" s="4" t="s">
        <v>1287</v>
      </c>
      <c r="L17" s="337" t="str">
        <f>IF(ISBLANK(input_wld_az1_rack2_edge_overlay_vlan),"Value Missing",input_wld_az1_rack2_edge_overlay_vlan)</f>
        <v>Value Missing</v>
      </c>
      <c r="N17" s="4" t="s">
        <v>1287</v>
      </c>
      <c r="O17" s="337" t="str">
        <f>IF(ISBLANK(input_wld_az1_rack3_edge_overlay_vlan),"Value Missing",input_wld_az1_rack3_edge_overlay_vlan)</f>
        <v>Value Missing</v>
      </c>
      <c r="Q17" s="4" t="s">
        <v>1287</v>
      </c>
      <c r="R17" s="337" t="str">
        <f>IF(ISBLANK(input_wld_az1_rack4_edge_overlay_vlan),"Value Missing",input_wld_az1_rack4_edge_overlay_vlan)</f>
        <v>Value Missing</v>
      </c>
      <c r="T17" s="4" t="s">
        <v>1287</v>
      </c>
      <c r="U17" s="337" t="str">
        <f>IF(ISBLANK(input_wld_az1_rack5_edge_overlay_vlan),"Value Missing",input_wld_az1_rack5_edge_overlay_vlan)</f>
        <v>Value Missing</v>
      </c>
      <c r="W17" s="4" t="s">
        <v>1287</v>
      </c>
      <c r="X17" s="337" t="str">
        <f>IF(ISBLANK(input_wld_az1_rack6_edge_overlay_vlan),"Value Missing",input_wld_az1_rack6_edge_overlay_vlan)</f>
        <v>Value Missing</v>
      </c>
      <c r="Z17" s="4" t="s">
        <v>1287</v>
      </c>
      <c r="AA17" s="337" t="str">
        <f>IF(ISBLANK(input_wld_az1_rack7_edge_overlay_vlan),"Value Missing",input_wld_az1_rack7_edge_overlay_vlan)</f>
        <v>Value Missing</v>
      </c>
      <c r="AC17" s="4" t="s">
        <v>1287</v>
      </c>
      <c r="AD17" s="337" t="str">
        <f>IF(ISBLANK(input_wld_az1_rack8_edge_overlay_vlan),"Value Missing",input_wld_az1_rack8_edge_overlay_vlan)</f>
        <v>Value Missing</v>
      </c>
      <c r="AG17" s="576" t="s">
        <v>1288</v>
      </c>
      <c r="AH17" s="577">
        <v>65</v>
      </c>
    </row>
    <row r="18" spans="2:34" s="2" customFormat="1" ht="20.05" customHeight="1" x14ac:dyDescent="0.45">
      <c r="B18" s="4" t="s">
        <v>27</v>
      </c>
      <c r="C18" s="337" t="str">
        <f>IF(ISBLANK(input_mgmt_internet_proxy_email),"Value Missing",input_mgmt_internet_proxy_email)</f>
        <v>Value Missing</v>
      </c>
      <c r="E18" s="4" t="s">
        <v>1289</v>
      </c>
      <c r="F18" s="337" t="str">
        <f>IF(ISBLANK(input_mgmt_az1_rtep_overlay_vlan),"Value Missing",input_mgmt_az1_rtep_overlay_vlan)</f>
        <v>Value Missing</v>
      </c>
      <c r="H18" s="4" t="s">
        <v>1289</v>
      </c>
      <c r="I18" s="337" t="str">
        <f>IF(ISBLANK(input_wld_az1_rtep_overlay_vlan),"Value Missing",input_wld_az1_rtep_overlay_vlan)</f>
        <v>Value Missing</v>
      </c>
      <c r="K18" s="4" t="s">
        <v>1289</v>
      </c>
      <c r="L18" s="337"/>
      <c r="N18" s="4" t="s">
        <v>1289</v>
      </c>
      <c r="O18" s="337"/>
      <c r="Q18" s="4" t="s">
        <v>1289</v>
      </c>
      <c r="R18" s="337"/>
      <c r="T18" s="4" t="s">
        <v>1289</v>
      </c>
      <c r="U18" s="337"/>
      <c r="W18" s="4" t="s">
        <v>1289</v>
      </c>
      <c r="X18" s="337"/>
      <c r="Z18" s="4" t="s">
        <v>1289</v>
      </c>
      <c r="AA18" s="337"/>
      <c r="AC18" s="4" t="s">
        <v>1289</v>
      </c>
      <c r="AD18" s="337"/>
      <c r="AG18" s="337" t="s">
        <v>1290</v>
      </c>
      <c r="AH18" s="337">
        <f>IF(this_instance="sfo",1,2)</f>
        <v>1</v>
      </c>
    </row>
    <row r="19" spans="2:34" s="2" customFormat="1" ht="20.05" customHeight="1" x14ac:dyDescent="0.45">
      <c r="B19" s="4" t="s">
        <v>29</v>
      </c>
      <c r="C19" s="337" t="str">
        <f>IF(ISBLANK(input_mgmt_internet_proxy_password),"Value Missing",input_mgmt_internet_proxy_password)</f>
        <v>Value Missing</v>
      </c>
      <c r="E19" s="4" t="s">
        <v>1291</v>
      </c>
      <c r="F19" s="337" t="str">
        <f>IF(ISBLANK(input_mgmt_az1_vrms_vlan),"Value Missing",input_mgmt_az1_vrms_vlan)</f>
        <v>Value Missing</v>
      </c>
      <c r="H19" s="4" t="s">
        <v>1291</v>
      </c>
      <c r="I19" s="337" t="str">
        <f>IF(ISBLANK(input_wld_az1_vrms_vlan),"Value Missing",input_wld_az1_vrms_vlan)</f>
        <v>Value Missing</v>
      </c>
      <c r="K19" s="4" t="s">
        <v>1291</v>
      </c>
      <c r="L19" s="337"/>
      <c r="N19" s="4" t="s">
        <v>1291</v>
      </c>
      <c r="O19" s="337"/>
      <c r="Q19" s="4" t="s">
        <v>1291</v>
      </c>
      <c r="R19" s="337"/>
      <c r="T19" s="4" t="s">
        <v>1291</v>
      </c>
      <c r="U19" s="337"/>
      <c r="W19" s="4" t="s">
        <v>1291</v>
      </c>
      <c r="X19" s="337"/>
      <c r="Z19" s="4" t="s">
        <v>1291</v>
      </c>
      <c r="AA19" s="337"/>
      <c r="AC19" s="4" t="s">
        <v>1291</v>
      </c>
      <c r="AD19" s="337"/>
      <c r="AG19" s="337" t="s">
        <v>1292</v>
      </c>
      <c r="AH19" s="337">
        <v>1</v>
      </c>
    </row>
    <row r="20" spans="2:34" s="2" customFormat="1" ht="20.05" customHeight="1" x14ac:dyDescent="0.45">
      <c r="B20" s="6"/>
      <c r="AG20" s="337" t="s">
        <v>1293</v>
      </c>
      <c r="AH20" s="337">
        <v>2</v>
      </c>
    </row>
    <row r="21" spans="2:34" s="2" customFormat="1" ht="20.05" customHeight="1" x14ac:dyDescent="0.45">
      <c r="B21" s="573" t="s">
        <v>1294</v>
      </c>
      <c r="C21" s="574"/>
      <c r="E21" s="382" t="s">
        <v>1295</v>
      </c>
      <c r="F21" s="383"/>
      <c r="H21" s="382" t="s">
        <v>1296</v>
      </c>
      <c r="I21" s="383"/>
      <c r="K21" s="382" t="s">
        <v>1297</v>
      </c>
      <c r="L21" s="383"/>
      <c r="N21" s="382" t="s">
        <v>1298</v>
      </c>
      <c r="O21" s="383"/>
      <c r="Q21" s="379" t="s">
        <v>1299</v>
      </c>
      <c r="R21" s="381"/>
      <c r="T21" s="379" t="s">
        <v>1300</v>
      </c>
      <c r="U21" s="381"/>
      <c r="W21" s="379" t="s">
        <v>1301</v>
      </c>
      <c r="X21" s="381"/>
      <c r="Z21" s="379" t="s">
        <v>1302</v>
      </c>
      <c r="AA21" s="381"/>
      <c r="AC21" s="379" t="s">
        <v>1303</v>
      </c>
      <c r="AD21" s="381"/>
      <c r="AG21" s="337" t="s">
        <v>1304</v>
      </c>
      <c r="AH21" s="337">
        <f>IF(wld_domain_number_chosen=1,3,IF(wld_domain_number_chosen=2,5,7))</f>
        <v>3</v>
      </c>
    </row>
    <row r="22" spans="2:34" s="2" customFormat="1" ht="20.05" customHeight="1" x14ac:dyDescent="0.45">
      <c r="B22" s="11" t="s">
        <v>261</v>
      </c>
      <c r="C22" s="12" t="s">
        <v>1268</v>
      </c>
      <c r="E22" s="11" t="s">
        <v>261</v>
      </c>
      <c r="F22" s="12" t="s">
        <v>1269</v>
      </c>
      <c r="H22" s="11" t="s">
        <v>261</v>
      </c>
      <c r="I22" s="12" t="s">
        <v>1269</v>
      </c>
      <c r="K22" s="11" t="s">
        <v>261</v>
      </c>
      <c r="L22" s="12" t="s">
        <v>1269</v>
      </c>
      <c r="N22" s="11" t="s">
        <v>261</v>
      </c>
      <c r="O22" s="12" t="s">
        <v>1269</v>
      </c>
      <c r="Q22" s="13" t="s">
        <v>261</v>
      </c>
      <c r="R22" s="14" t="s">
        <v>1269</v>
      </c>
      <c r="S22" s="15"/>
      <c r="T22" s="13" t="s">
        <v>261</v>
      </c>
      <c r="U22" s="14" t="s">
        <v>1269</v>
      </c>
      <c r="V22" s="15"/>
      <c r="W22" s="13" t="s">
        <v>261</v>
      </c>
      <c r="X22" s="14" t="s">
        <v>1269</v>
      </c>
      <c r="Y22" s="15"/>
      <c r="Z22" s="13" t="s">
        <v>261</v>
      </c>
      <c r="AA22" s="14" t="s">
        <v>1269</v>
      </c>
      <c r="AB22" s="15"/>
      <c r="AC22" s="13" t="s">
        <v>261</v>
      </c>
      <c r="AD22" s="14" t="s">
        <v>1269</v>
      </c>
      <c r="AG22" s="337" t="s">
        <v>1305</v>
      </c>
      <c r="AH22" s="337">
        <f>IF(wld_domain_number_chosen=1,4,IF(wld_domain_number_chosen=2,6,8))</f>
        <v>4</v>
      </c>
    </row>
    <row r="23" spans="2:34" s="2" customFormat="1" ht="20.05" customHeight="1" x14ac:dyDescent="0.35">
      <c r="B23" s="4" t="s">
        <v>1306</v>
      </c>
      <c r="C23" s="337" t="str">
        <f>mgmt_domain_deployment_type_chosen</f>
        <v>VMware Cloud Foundation</v>
      </c>
      <c r="E23" s="4" t="s">
        <v>1272</v>
      </c>
      <c r="F23" s="337" t="str">
        <f>IF(ISBLANK(input_mgmt_az1_mgmt_vm_cidr),"Value Missing",input_mgmt_az1_mgmt_vm_cidr)</f>
        <v>Value Missing</v>
      </c>
      <c r="H23" s="4" t="s">
        <v>1272</v>
      </c>
      <c r="I23" s="337" t="str">
        <f>IF(ISBLANK(input_wld_az1_mgmt_vm_cidr),"Value Missing",input_wld_az1_mgmt_vm_cidr)</f>
        <v>Value Missing</v>
      </c>
      <c r="K23" s="4" t="s">
        <v>1272</v>
      </c>
      <c r="L23" s="337" t="str">
        <f>IF(ISBLANK(input_wld_az1_rack2_mgmt_vm_cidr),"Value Missing",input_wld_az1_rack2_mgmt_vm_cidr)</f>
        <v>Value Missing</v>
      </c>
      <c r="N23" s="4" t="s">
        <v>1272</v>
      </c>
      <c r="O23" s="337" t="str">
        <f>IF(ISBLANK(input_wld_az1_rack3_mgmt_vm_cidr),"Value Missing",input_wld_az1_rack3_mgmt_vm_cidr)</f>
        <v>Value Missing</v>
      </c>
      <c r="Q23" s="4" t="s">
        <v>1272</v>
      </c>
      <c r="R23" s="337" t="str">
        <f>IF(ISBLANK(input_wld_az1_rack4_mgmt_vm_cidr),"Value Missing",input_wld_az1_rack4_mgmt_vm_cidr)</f>
        <v>Value Missing</v>
      </c>
      <c r="T23" s="4" t="s">
        <v>1272</v>
      </c>
      <c r="U23" s="337" t="str">
        <f>IF(ISBLANK(input_wld_az1_rack5_mgmt_vm_cidr),"Value Missing",input_wld_az1_rack5_mgmt_vm_cidr)</f>
        <v>Value Missing</v>
      </c>
      <c r="W23" s="4" t="s">
        <v>1272</v>
      </c>
      <c r="X23" s="337" t="str">
        <f>IF(ISBLANK(input_wld_az1_rack6_mgmt_vm_cidr),"Value Missing",input_wld_az1_rack6_mgmt_vm_cidr)</f>
        <v>Value Missing</v>
      </c>
      <c r="Z23" s="4" t="s">
        <v>1272</v>
      </c>
      <c r="AA23" s="337" t="str">
        <f>IF(ISBLANK(input_wld_az1_rack7_mgmt_vm_cidr),"Value Missing",input_wld_az1_rack7_mgmt_vm_cidr)</f>
        <v>Value Missing</v>
      </c>
      <c r="AC23" s="4" t="s">
        <v>1272</v>
      </c>
      <c r="AD23" s="337" t="str">
        <f>IF(ISBLANK(input_wld_az1_rack8_mgmt_vm_cidr),"Value Missing",input_wld_az1_rack8_mgmt_vm_cidr)</f>
        <v>Value Missing</v>
      </c>
      <c r="AG23" s="8"/>
    </row>
    <row r="24" spans="2:34" s="2" customFormat="1" ht="20.05" customHeight="1" x14ac:dyDescent="0.35">
      <c r="B24" s="4" t="s">
        <v>1307</v>
      </c>
      <c r="C24" s="337" t="str">
        <f>IF(ISBLANK(input_mgmt_sddc_domain),"Value Missing",input_mgmt_sddc_domain)</f>
        <v>Value Missing</v>
      </c>
      <c r="E24" s="4" t="s">
        <v>1274</v>
      </c>
      <c r="F24" s="337" t="str">
        <f>IF(ISBLANK(input_mgmt_az1_mgmt_cidr),"Value Missing",input_mgmt_az1_mgmt_cidr)</f>
        <v>Value Missing</v>
      </c>
      <c r="H24" s="4" t="s">
        <v>1274</v>
      </c>
      <c r="I24" s="337" t="str">
        <f>IF(ISBLANK(input_wld_az1_mgmt_cidr),"Value Missing",input_wld_az1_mgmt_cidr)</f>
        <v>Value Missing</v>
      </c>
      <c r="K24" s="4" t="s">
        <v>1274</v>
      </c>
      <c r="L24" s="337" t="str">
        <f>IF(ISBLANK(input_wld_az1_rack2_mgmt_cidr),"Value Missing",input_wld_az1_rack2_mgmt_cidr)</f>
        <v>Value Missing</v>
      </c>
      <c r="N24" s="4" t="s">
        <v>1274</v>
      </c>
      <c r="O24" s="337" t="str">
        <f>IF(ISBLANK(input_wld_az1_rack3_mgmt_cidr),"Value Missing",input_wld_az1_rack3_mgmt_cidr)</f>
        <v>Value Missing</v>
      </c>
      <c r="Q24" s="4" t="s">
        <v>1274</v>
      </c>
      <c r="R24" s="337" t="str">
        <f>IF(ISBLANK(input_wld_az1_rack4_mgmt_cidr),"Value Missing",input_wld_az1_rack4_mgmt_cidr)</f>
        <v>Value Missing</v>
      </c>
      <c r="T24" s="4" t="s">
        <v>1274</v>
      </c>
      <c r="U24" s="337" t="str">
        <f>IF(ISBLANK(input_wld_az1_rack5_mgmt_cidr),"Value Missing",input_wld_az1_rack5_mgmt_cidr)</f>
        <v>Value Missing</v>
      </c>
      <c r="W24" s="4" t="s">
        <v>1274</v>
      </c>
      <c r="X24" s="337" t="str">
        <f>IF(ISBLANK(input_wld_az1_rack6_mgmt_cidr),"Value Missing",input_wld_az1_rack6_mgmt_cidr)</f>
        <v>Value Missing</v>
      </c>
      <c r="Z24" s="4" t="s">
        <v>1274</v>
      </c>
      <c r="AA24" s="337" t="str">
        <f>IF(ISBLANK(input_wld_az1_rack7_mgmt_cidr),"Value Missing",input_wld_az1_rack7_mgmt_cidr)</f>
        <v>Value Missing</v>
      </c>
      <c r="AC24" s="4" t="s">
        <v>1274</v>
      </c>
      <c r="AD24" s="337" t="str">
        <f>IF(ISBLANK(input_wld_az1_rack8_mgmt_cidr),"Value Missing",input_wld_az1_rack8_mgmt_cidr)</f>
        <v>Value Missing</v>
      </c>
      <c r="AG24" s="8"/>
    </row>
    <row r="25" spans="2:34" s="2" customFormat="1" ht="20.05" customHeight="1" x14ac:dyDescent="0.45">
      <c r="B25" s="4" t="s">
        <v>195</v>
      </c>
      <c r="C25" s="337" t="str">
        <f>vcf_version</f>
        <v>9.0.2.0</v>
      </c>
      <c r="E25" s="4" t="s">
        <v>251</v>
      </c>
      <c r="F25" s="337" t="str">
        <f>IF(ISBLANK(input_mgmt_az1_vmotion_cidr),"Value Missing",input_mgmt_az1_vmotion_cidr)</f>
        <v>Value Missing</v>
      </c>
      <c r="H25" s="4" t="s">
        <v>251</v>
      </c>
      <c r="I25" s="337" t="str">
        <f>IF(OR(wld_az1_vmotion_network="Value Missing",wld_az1_vmotion_mask="Value Missing"),"Value Missing",(CONCATENATE(wld_az1_vmotion_network,"/",VLOOKUP(wld_az1_vmotion_mask,table_mask_to_cidr,2,FALSE))))</f>
        <v>Value Missing</v>
      </c>
      <c r="K25" s="4" t="s">
        <v>251</v>
      </c>
      <c r="L25" s="337" t="str">
        <f>IF(OR(wld_az1_rack2_vmotion_network="Value Missing",wld_az1_rack2_vmotion_mask="Value Missing"),"Value Missing",(CONCATENATE(wld_az1_rack2_vmotion_network,"/",VLOOKUP(wld_az1_rack2_vmotion_mask,table_mask_to_cidr,2,FALSE))))</f>
        <v>Value Missing</v>
      </c>
      <c r="N25" s="4" t="s">
        <v>251</v>
      </c>
      <c r="O25" s="337" t="str">
        <f>IF(OR(wld_az1_rack3_vmotion_network="Value Missing",wld_az1_rack3_vmotion_mask="Value Missing"),"Value Missing",(CONCATENATE(wld_az1_rack3_vmotion_network,"/",VLOOKUP(wld_az1_rack3_vmotion_mask,table_mask_to_cidr,2,FALSE))))</f>
        <v>Value Missing</v>
      </c>
      <c r="Q25" s="4" t="s">
        <v>251</v>
      </c>
      <c r="R25" s="337" t="str">
        <f>IF(OR(wld_az1_rack4_vmotion_network="Value Missing",wld_az1_rack4_vmotion_mask="Value Missing"),"Value Missing",(CONCATENATE(wld_az1_rack4_vmotion_network,"/",VLOOKUP(wld_az1_rack4_vmotion_mask,table_mask_to_cidr,2,FALSE))))</f>
        <v>Value Missing</v>
      </c>
      <c r="T25" s="4" t="s">
        <v>251</v>
      </c>
      <c r="U25" s="337" t="str">
        <f>IF(OR(wld_az1_rack5_vmotion_network="Value Missing",wld_az1_rack5_vmotion_mask="Value Missing"),"Value Missing",(CONCATENATE(wld_az1_rack5_vmotion_network,"/",VLOOKUP(wld_az1_rack5_vmotion_mask,table_mask_to_cidr,2,FALSE))))</f>
        <v>Value Missing</v>
      </c>
      <c r="W25" s="4" t="s">
        <v>251</v>
      </c>
      <c r="X25" s="337" t="str">
        <f>IF(OR(wld_az1_rack6_vmotion_network="Value Missing",wld_az1_rack6_vmotion_mask="Value Missing"),"Value Missing",(CONCATENATE(wld_az1_rack6_vmotion_network,"/",VLOOKUP(wld_az1_rack6_vmotion_mask,table_mask_to_cidr,2,FALSE))))</f>
        <v>Value Missing</v>
      </c>
      <c r="Z25" s="4" t="s">
        <v>251</v>
      </c>
      <c r="AA25" s="337" t="str">
        <f>IF(OR(wld_az1_rack7_vmotion_network="Value Missing",wld_az1_rack7_vmotion_mask="Value Missing"),"Value Missing",(CONCATENATE(wld_az1_rack7_vmotion_network,"/",VLOOKUP(wld_az1_rack7_vmotion_mask,table_mask_to_cidr,2,FALSE))))</f>
        <v>Value Missing</v>
      </c>
      <c r="AC25" s="4" t="s">
        <v>251</v>
      </c>
      <c r="AD25" s="337" t="str">
        <f>IF(OR(wld_az1_rack8_vmotion_network="Value Missing",wld_az1_rack8_vmotion_mask="Value Missing"),"Value Missing",(CONCATENATE(wld_az1_rack8_vmotion_network,"/",VLOOKUP(wld_az1_rack8_vmotion_mask,table_mask_to_cidr,2,FALSE))))</f>
        <v>Value Missing</v>
      </c>
    </row>
    <row r="26" spans="2:34" s="2" customFormat="1" ht="20.05" customHeight="1" x14ac:dyDescent="0.35">
      <c r="B26" s="4" t="s">
        <v>1308</v>
      </c>
      <c r="C26" s="337" t="str">
        <f>mgmt_domain_vcf_operations_ha_mode_chosen</f>
        <v>High Availability (Three-node)</v>
      </c>
      <c r="E26" s="17" t="str">
        <f>CONCATENATE("Principal Storage Network ",wld_principal_storage_chosen)</f>
        <v>Principal Storage Network vSAN-ESA</v>
      </c>
      <c r="F26" s="337" t="str">
        <f>IF(ISBLANK(input_mgmt_az1_vsan_cidr),"Value Missing",input_mgmt_az1_vsan_cidr)</f>
        <v>Value Missing</v>
      </c>
      <c r="H26" s="17" t="s">
        <v>257</v>
      </c>
      <c r="I26" s="337" t="str">
        <f>IF(OR(wld_az1_principal_storage_network="Value Missing",wld_az1_principal_storage_mask="Value Missing"),"Value Missing",(CONCATENATE(wld_az1_principal_storage_network,"/",VLOOKUP(wld_az1_principal_storage_mask,table_mask_to_cidr,2,FALSE))))</f>
        <v>Value Missing</v>
      </c>
      <c r="K26" s="17" t="str">
        <f>CONCATENATE("Principal Storage Network ",wld_principal_storage_chosen)</f>
        <v>Principal Storage Network vSAN-ESA</v>
      </c>
      <c r="L26" s="337" t="str">
        <f>IF(OR(wld_az1_rack2_principal_storage_network="Value Missing",wld_az1_rack2_principal_storage_mask="Value Missing"),"Value Missing",(CONCATENATE(wld_az1_rack2_principal_storage_network,"/",VLOOKUP(wld_az1_rack2_principal_storage_mask,table_mask_to_cidr,2,FALSE))))</f>
        <v>Value Missing</v>
      </c>
      <c r="N26" s="17" t="str">
        <f>CONCATENATE("Principal Storage Network ",wld_principal_storage_chosen)</f>
        <v>Principal Storage Network vSAN-ESA</v>
      </c>
      <c r="O26" s="337" t="str">
        <f>IF(OR(wld_az1_rack3_principal_storage_network="Value Missing",wld_az1_rack3_principal_storage_mask="Value Missing"),"Value Missing",(CONCATENATE(wld_az1_rack3_principal_storage_network,"/",VLOOKUP(wld_az1_rack3_principal_storage_mask,table_mask_to_cidr,2,FALSE))))</f>
        <v>Value Missing</v>
      </c>
      <c r="Q26" s="17" t="str">
        <f>CONCATENATE("Principal Storage Network ",wld_principal_storage_chosen)</f>
        <v>Principal Storage Network vSAN-ESA</v>
      </c>
      <c r="R26" s="337" t="str">
        <f>IF(OR(wld_az1_rack4_principal_storage_network="Value Missing",wld_az1_rack4_principal_storage_mask="Value Missing"),"Value Missing",(CONCATENATE(wld_az1_rack4_principal_storage_network,"/",VLOOKUP(wld_az1_rack4_principal_storage_mask,table_mask_to_cidr,2,FALSE))))</f>
        <v>Value Missing</v>
      </c>
      <c r="T26" s="17" t="str">
        <f>CONCATENATE("Principal Storage Network ",wld_principal_storage_chosen)</f>
        <v>Principal Storage Network vSAN-ESA</v>
      </c>
      <c r="U26" s="337" t="str">
        <f>IF(OR(wld_az1_rack5_principal_storage_network="Value Missing",wld_az1_rack5_principal_storage_mask="Value Missing"),"Value Missing",(CONCATENATE(wld_az1_rack5_principal_storage_network,"/",VLOOKUP(wld_az1_rack5_principal_storage_mask,table_mask_to_cidr,2,FALSE))))</f>
        <v>Value Missing</v>
      </c>
      <c r="W26" s="17" t="str">
        <f>CONCATENATE("Principal Storage Network ",wld_principal_storage_chosen)</f>
        <v>Principal Storage Network vSAN-ESA</v>
      </c>
      <c r="X26" s="337" t="str">
        <f>IF(OR(wld_az1_rack6_principal_storage_network="Value Missing",wld_az1_rack6_principal_storage_mask="Value Missing"),"Value Missing",(CONCATENATE(wld_az1_rack6_principal_storage_network,"/",VLOOKUP(wld_az1_rack6_principal_storage_mask,table_mask_to_cidr,2,FALSE))))</f>
        <v>Value Missing</v>
      </c>
      <c r="Z26" s="17" t="str">
        <f>CONCATENATE("Principal Storage Network ",wld_principal_storage_chosen)</f>
        <v>Principal Storage Network vSAN-ESA</v>
      </c>
      <c r="AA26" s="337" t="str">
        <f>IF(OR(wld_az1_rack7_principal_storage_network="Value Missing",wld_az1_rack7_principal_storage_mask="Value Missing"),"Value Missing",(CONCATENATE(wld_az1_rack7_principal_storage_network,"/",VLOOKUP(wld_az1_rack7_principal_storage_mask,table_mask_to_cidr,2,FALSE))))</f>
        <v>Value Missing</v>
      </c>
      <c r="AC26" s="17" t="str">
        <f>CONCATENATE("Principal Storage Network ",wld_principal_storage_chosen)</f>
        <v>Principal Storage Network vSAN-ESA</v>
      </c>
      <c r="AD26" s="337" t="str">
        <f>IF(OR(wld_az1_rack8_principal_storage_network="Value Missing",wld_az1_rack8_principal_storage_mask="Value Missing"),"Value Missing",(CONCATENATE(wld_az1_rack8_principal_storage_network,"/",VLOOKUP(wld_az1_rack8_principal_storage_mask,table_mask_to_cidr,2,FALSE))))</f>
        <v>Value Missing</v>
      </c>
      <c r="AG26" s="8"/>
    </row>
    <row r="27" spans="2:34" s="2" customFormat="1" ht="20.05" customHeight="1" x14ac:dyDescent="0.35">
      <c r="B27" s="4" t="s">
        <v>1309</v>
      </c>
      <c r="C27" s="337" t="str">
        <f>IF(mgmt_domain_password_creation_chosen="Included","Selected","Unselected")</f>
        <v>Unselected</v>
      </c>
      <c r="E27" s="4" t="s">
        <v>1278</v>
      </c>
      <c r="F27" s="337" t="str">
        <f>IF(ISBLANK(input_mgmt_az1_host_overlay_cidr),"Value Missing",input_mgmt_az1_host_overlay_cidr)</f>
        <v>Value Missing</v>
      </c>
      <c r="H27" s="4" t="s">
        <v>1278</v>
      </c>
      <c r="I27" s="337" t="str">
        <f>IF(ISBLANK(input_wld_az1_host_overlay_cidr),"Value Missing",input_wld_az1_host_overlay_cidr)</f>
        <v>Value Missing</v>
      </c>
      <c r="K27" s="4" t="s">
        <v>1278</v>
      </c>
      <c r="L27" s="337" t="str">
        <f>IF(OR(wld_az1_rack2_host_overlay_network="Value Missing",wld_az1_rack2_host_overlay_mask="Value Missing"),"Value Missing",(CONCATENATE(wld_az1_rack2_host_overlay_network,"/",VLOOKUP(wld_az1_rack2_host_overlay_mask,table_mask_to_cidr,2,FALSE))))</f>
        <v>Value Missing</v>
      </c>
      <c r="N27" s="4" t="s">
        <v>1278</v>
      </c>
      <c r="O27" s="337" t="str">
        <f>IF(OR(wld_az1_rack3_host_overlay_network="Value Missing",wld_az1_rack3_host_overlay_mask="Value Missing"),"Value Missing",(CONCATENATE(wld_az1_rack3_host_overlay_network,"/",VLOOKUP(wld_az1_rack3_host_overlay_mask,table_mask_to_cidr,2,FALSE))))</f>
        <v>Value Missing</v>
      </c>
      <c r="Q27" s="4" t="s">
        <v>1278</v>
      </c>
      <c r="R27" s="337" t="str">
        <f>IF(OR(wld_az1_rack4_host_overlay_network="Value Missing",wld_az1_rack4_host_overlay_mask="Value Missing"),"Value Missing",(CONCATENATE(wld_az1_rack4_host_overlay_network,"/",VLOOKUP(wld_az1_rack4_host_overlay_mask,table_mask_to_cidr,2,FALSE))))</f>
        <v>Value Missing</v>
      </c>
      <c r="T27" s="4" t="s">
        <v>1278</v>
      </c>
      <c r="U27" s="337" t="str">
        <f>IF(OR(wld_az1_rack5_host_overlay_network="Value Missing",wld_az1_rack5_host_overlay_mask="Value Missing"),"Value Missing",(CONCATENATE(wld_az1_rack5_host_overlay_network,"/",VLOOKUP(wld_az1_rack5_host_overlay_mask,table_mask_to_cidr,2,FALSE))))</f>
        <v>Value Missing</v>
      </c>
      <c r="W27" s="4" t="s">
        <v>1278</v>
      </c>
      <c r="X27" s="337" t="str">
        <f>IF(OR(wld_az1_rack6_host_overlay_network="Value Missing",wld_az1_rack6_host_overlay_mask="Value Missing"),"Value Missing",(CONCATENATE(wld_az1_rack6_host_overlay_network,"/",VLOOKUP(wld_az1_rack6_host_overlay_mask,table_mask_to_cidr,2,FALSE))))</f>
        <v>Value Missing</v>
      </c>
      <c r="Z27" s="4" t="s">
        <v>1278</v>
      </c>
      <c r="AA27" s="337" t="str">
        <f>IF(OR(wld_az1_rack7_host_overlay_network="Value Missing",wld_az1_rack7_host_overlay_mask="Value Missing"),"Value Missing",(CONCATENATE(wld_az1_rack7_host_overlay_network,"/",VLOOKUP(wld_az1_rack7_host_overlay_mask,table_mask_to_cidr,2,FALSE))))</f>
        <v>Value Missing</v>
      </c>
      <c r="AC27" s="4" t="s">
        <v>1278</v>
      </c>
      <c r="AD27" s="337" t="str">
        <f>IF(OR(wld_az1_rack8_host_overlay_network="Value Missing",wld_az1_rack8_host_overlay_mask="Value Missing"),"Value Missing",(CONCATENATE(wld_az1_rack8_host_overlay_network,"/",VLOOKUP(wld_az1_rack8_host_overlay_mask,table_mask_to_cidr,2,FALSE))))</f>
        <v>Value Missing</v>
      </c>
      <c r="AG27" s="8"/>
    </row>
    <row r="28" spans="2:34" s="2" customFormat="1" ht="20.05" customHeight="1" x14ac:dyDescent="0.35">
      <c r="B28" s="4" t="s">
        <v>1310</v>
      </c>
      <c r="C28" s="337" t="str">
        <f>mgmt_flt_fm_reuse_password_chosen</f>
        <v>Unselected</v>
      </c>
      <c r="E28" s="18" t="s">
        <v>1280</v>
      </c>
      <c r="F28" s="337" t="str">
        <f>IF(ISBLANK(input_mgmt_az1_secondary_storage_cidr),"Value Missing",input_mgmt_az1_secondary_storage_cidr)</f>
        <v>Value Missing</v>
      </c>
      <c r="H28" s="4" t="s">
        <v>1280</v>
      </c>
      <c r="I28" s="337" t="str">
        <f>IF(OR(wld_az1_secondary_storage_network="Value Missing",wld_az1_secondary_storage_mask="Value Missing"),"Value Missing",(CONCATENATE(wld_az1_secondary_storage_network,"/",VLOOKUP(wld_az1_secondary_storage_mask,table_mask_to_cidr,2,FALSE))))</f>
        <v>Value Missing</v>
      </c>
      <c r="K28" s="4" t="s">
        <v>1280</v>
      </c>
      <c r="L28" s="337" t="str">
        <f>IF(OR(wld_az1_rack2_secondary_storage_network="Value Missing",wld_az1_rack2_secondary_storage_mask="Value Missing"),"Value Missing",(CONCATENATE(wld_az1_rack2_secondary_storage_network,"/",VLOOKUP(wld_az1_rack2_secondary_storage_mask,table_mask_to_cidr,2,FALSE))))</f>
        <v>Value Missing</v>
      </c>
      <c r="N28" s="4" t="s">
        <v>1280</v>
      </c>
      <c r="O28" s="337" t="str">
        <f>IF(OR(wld_az1_rack3_secondary_storage_network="Value Missing",wld_az1_rack3_secondary_storage_mask="Value Missing"),"Value Missing",(CONCATENATE(wld_az1_rack3_secondary_storage_network,"/",VLOOKUP(wld_az1_rack3_secondary_storage_mask,table_mask_to_cidr,2,FALSE))))</f>
        <v>Value Missing</v>
      </c>
      <c r="Q28" s="4" t="s">
        <v>1280</v>
      </c>
      <c r="R28" s="337" t="str">
        <f>IF(OR(wld_az1_rack4_secondary_storage_network="Value Missing",wld_az1_rack4_secondary_storage_mask="Value Missing"),"Value Missing",(CONCATENATE(wld_az1_rack4_secondary_storage_network,"/",VLOOKUP(wld_az1_rack4_secondary_storage_mask,table_mask_to_cidr,2,FALSE))))</f>
        <v>Value Missing</v>
      </c>
      <c r="T28" s="4" t="s">
        <v>1280</v>
      </c>
      <c r="U28" s="337" t="str">
        <f>IF(OR(wld_az1_rack5_secondary_storage_network="Value Missing",wld_az1_rack5_secondary_storage_mask="Value Missing"),"Value Missing",(CONCATENATE(wld_az1_rack5_secondary_storage_network,"/",VLOOKUP(wld_az1_rack5_secondary_storage_mask,table_mask_to_cidr,2,FALSE))))</f>
        <v>Value Missing</v>
      </c>
      <c r="W28" s="4" t="s">
        <v>1280</v>
      </c>
      <c r="X28" s="337" t="str">
        <f>IF(OR(wld_az1_rack6_secondary_storage_network="Value Missing",wld_az1_rack6_secondary_storage_mask="Value Missing"),"Value Missing",(CONCATENATE(wld_az1_rack6_secondary_storage_network,"/",VLOOKUP(wld_az1_rack6_secondary_storage_mask,table_mask_to_cidr,2,FALSE))))</f>
        <v>Value Missing</v>
      </c>
      <c r="Z28" s="4" t="s">
        <v>1280</v>
      </c>
      <c r="AA28" s="337" t="str">
        <f>IF(OR(wld_az1_rack7_secondary_storage_network="Value Missing",wld_az1_rack7_secondary_storage_mask="Value Missing"),"Value Missing",(CONCATENATE(wld_az1_rack7_secondary_storage_network,"/",VLOOKUP(wld_az1_rack7_secondary_storage_mask,table_mask_to_cidr,2,FALSE))))</f>
        <v>Value Missing</v>
      </c>
      <c r="AC28" s="4" t="s">
        <v>1280</v>
      </c>
      <c r="AD28" s="337" t="str">
        <f>IF(OR(wld_az1_rack7_secondary_storage_network="Value Missing",wld_az1_rack8_secondary_storage_mask="Value Missing"),"Value Missing",(CONCATENATE(wld_az1_rack8_secondary_storage_network,"/",VLOOKUP(wld_az1_rack8_secondary_storage_mask,table_mask_to_cidr,2,FALSE))))</f>
        <v>Value Missing</v>
      </c>
      <c r="AG28" s="8"/>
    </row>
    <row r="29" spans="2:34" s="2" customFormat="1" ht="20.05" customHeight="1" x14ac:dyDescent="0.35">
      <c r="B29" s="4" t="s">
        <v>1311</v>
      </c>
      <c r="C29" s="337" t="str">
        <f>mgmt_ops_collector_reuse_password_chosen</f>
        <v>Unselected</v>
      </c>
      <c r="E29" s="18"/>
      <c r="F29" s="337"/>
      <c r="H29" s="4" t="s">
        <v>805</v>
      </c>
      <c r="I29" s="337" t="str">
        <f>IF(OR(wld_az1_storage_cluster_network="Value Missing",wld_az1_storage_cluster_mask="Value Missing"),"Value Missing",(CONCATENATE(wld_az1_storage_cluster_network,"/",VLOOKUP(wld_az1_storage_cluster_mask,table_mask_to_cidr,2,FALSE))))</f>
        <v>Value Missing</v>
      </c>
      <c r="K29" s="22" t="s">
        <v>805</v>
      </c>
      <c r="L29" s="337"/>
      <c r="N29" s="22" t="s">
        <v>805</v>
      </c>
      <c r="O29" s="337"/>
      <c r="Q29" s="22" t="s">
        <v>805</v>
      </c>
      <c r="R29" s="337"/>
      <c r="T29" s="22" t="s">
        <v>805</v>
      </c>
      <c r="U29" s="337"/>
      <c r="W29" s="22" t="s">
        <v>805</v>
      </c>
      <c r="X29" s="337"/>
      <c r="Z29" s="22" t="s">
        <v>805</v>
      </c>
      <c r="AA29" s="337"/>
      <c r="AC29" s="22" t="s">
        <v>805</v>
      </c>
      <c r="AD29" s="337"/>
      <c r="AG29" s="8"/>
    </row>
    <row r="30" spans="2:34" s="2" customFormat="1" ht="20.05" customHeight="1" x14ac:dyDescent="0.35">
      <c r="E30" s="4" t="s">
        <v>1283</v>
      </c>
      <c r="F30" s="337" t="str">
        <f>IF(ISBLANK(input_mgmt_az1_uplink01_cidr),"Value Missing",input_mgmt_az1_uplink01_cidr)</f>
        <v>Value Missing</v>
      </c>
      <c r="H30" s="4" t="s">
        <v>1283</v>
      </c>
      <c r="I30" s="337" t="str">
        <f>IF(ISBLANK(input_wld_az1_uplink01_cidr),"Value Missing",input_wld_az1_uplink01_cidr)</f>
        <v>Value Missing</v>
      </c>
      <c r="K30" s="4" t="s">
        <v>1283</v>
      </c>
      <c r="L30" s="337" t="str">
        <f>IF(OR(wld_az1_rack2_uplink01_network="Value Missing",wld_az1_rack2_uplink01_mask="Value Missing"),"Value Missing",(CONCATENATE(wld_az1_rack2_uplink01_network,"/",VLOOKUP(wld_az1_rack2_uplink01_mask,table_mask_to_cidr,2,FALSE))))</f>
        <v>Value Missing</v>
      </c>
      <c r="N30" s="4" t="s">
        <v>1283</v>
      </c>
      <c r="O30" s="337" t="str">
        <f>IF(OR(wld_az1_rack3_uplink01_network="Value Missing",wld_az1_rack3_uplink01_mask="Value Missing"),"Value Missing",(CONCATENATE(wld_az1_rack3_uplink01_network,"/",VLOOKUP(wld_az1_rack3_uplink01_mask,table_mask_to_cidr,2,FALSE))))</f>
        <v>Value Missing</v>
      </c>
      <c r="Q30" s="4" t="s">
        <v>1283</v>
      </c>
      <c r="R30" s="337" t="str">
        <f>IF(OR(wld_az1_rack4_uplink01_network="Value Missing",wld_az1_rack4_uplink01_mask="Value Missing"),"Value Missing",(CONCATENATE(wld_az1_rack4_uplink01_network,"/",VLOOKUP(wld_az1_rack4_uplink01_mask,table_mask_to_cidr,2,FALSE))))</f>
        <v>Value Missing</v>
      </c>
      <c r="T30" s="4" t="s">
        <v>1283</v>
      </c>
      <c r="U30" s="337" t="str">
        <f>IF(OR(wld_az1_rack5_uplink01_network="Value Missing",wld_az1_rack5_uplink01_mask="Value Missing"),"Value Missing",(CONCATENATE(wld_az1_rack5_uplink01_network,"/",VLOOKUP(wld_az1_rack5_uplink01_mask,table_mask_to_cidr,2,FALSE))))</f>
        <v>Value Missing</v>
      </c>
      <c r="W30" s="4" t="s">
        <v>1283</v>
      </c>
      <c r="X30" s="337" t="str">
        <f>IF(OR(wld_az1_rack6_uplink01_network="Value Missing",wld_az1_rack6_uplink01_mask="Value Missing"),"Value Missing",(CONCATENATE(wld_az1_rack6_uplink01_network,"/",VLOOKUP(wld_az1_rack6_uplink01_mask,table_mask_to_cidr,2,FALSE))))</f>
        <v>Value Missing</v>
      </c>
      <c r="Z30" s="4" t="s">
        <v>1283</v>
      </c>
      <c r="AA30" s="337" t="str">
        <f>IF(OR(wld_az1_rack7_uplink01_network="Value Missing",wld_az1_rack7_uplink01_mask="Value Missing"),"Value Missing",(CONCATENATE(wld_az1_rack7_uplink01_network,"/",VLOOKUP(wld_az1_rack7_uplink01_mask,table_mask_to_cidr,2,FALSE))))</f>
        <v>Value Missing</v>
      </c>
      <c r="AC30" s="4" t="s">
        <v>1283</v>
      </c>
      <c r="AD30" s="337" t="str">
        <f>IF(OR(wld_az1_rack8_uplink01_network="Value Missing",wld_az1_rack8_uplink01_mask="Value Missing"),"Value Missing",(CONCATENATE(wld_az1_rack8_uplink01_network,"/",VLOOKUP(wld_az1_rack8_uplink01_mask,table_mask_to_cidr,2,FALSE))))</f>
        <v>Value Missing</v>
      </c>
      <c r="AG30" s="8"/>
    </row>
    <row r="31" spans="2:34" s="2" customFormat="1" ht="20.05" customHeight="1" x14ac:dyDescent="0.35">
      <c r="B31" s="573" t="s">
        <v>1312</v>
      </c>
      <c r="C31" s="574"/>
      <c r="E31" s="4" t="s">
        <v>1285</v>
      </c>
      <c r="F31" s="337" t="str">
        <f>IF(ISBLANK(input_mgmt_az1_uplink02_cidr),"Value Missing",input_mgmt_az1_uplink02_cidr)</f>
        <v>Value Missing</v>
      </c>
      <c r="H31" s="4" t="s">
        <v>1285</v>
      </c>
      <c r="I31" s="337" t="str">
        <f>IF(ISBLANK(input_wld_az1_uplink02_cidr),"Value Missing",input_wld_az1_uplink02_cidr)</f>
        <v>Value Missing</v>
      </c>
      <c r="K31" s="4" t="s">
        <v>1285</v>
      </c>
      <c r="L31" s="337" t="str">
        <f>IF(OR(wld_az1_rack2_uplink02_network="Value Missing",wld_az1_rack2_uplink02_mask="Value Missing"),"Value Missing",(CONCATENATE(wld_az1_rack2_uplink02_network,"/",VLOOKUP(wld_az1_rack2_uplink02_mask,table_mask_to_cidr,2,FALSE))))</f>
        <v>Value Missing</v>
      </c>
      <c r="N31" s="4" t="s">
        <v>1285</v>
      </c>
      <c r="O31" s="337" t="str">
        <f>IF(OR(wld_az1_rack3_uplink02_network="Value Missing",wld_az1_rack3_uplink02_mask="Value Missing"),"Value Missing",(CONCATENATE(wld_az1_rack3_uplink02_network,"/",VLOOKUP(wld_az1_rack3_uplink02_mask,table_mask_to_cidr,2,FALSE))))</f>
        <v>Value Missing</v>
      </c>
      <c r="Q31" s="4" t="s">
        <v>1285</v>
      </c>
      <c r="R31" s="337" t="str">
        <f>IF(OR(wld_az1_rack4_uplink02_network="Value Missing",wld_az1_rack4_uplink02_mask="Value Missing"),"Value Missing",(CONCATENATE(wld_az1_rack4_uplink02_network,"/",VLOOKUP(wld_az1_rack4_uplink02_mask,table_mask_to_cidr,2,FALSE))))</f>
        <v>Value Missing</v>
      </c>
      <c r="T31" s="4" t="s">
        <v>1285</v>
      </c>
      <c r="U31" s="337" t="str">
        <f>IF(OR(wld_az1_rack5_uplink02_network="Value Missing",wld_az1_rack5_uplink02_mask="Value Missing"),"Value Missing",(CONCATENATE(wld_az1_rack5_uplink02_network,"/",VLOOKUP(wld_az1_rack5_uplink02_mask,table_mask_to_cidr,2,FALSE))))</f>
        <v>Value Missing</v>
      </c>
      <c r="W31" s="4" t="s">
        <v>1285</v>
      </c>
      <c r="X31" s="337" t="str">
        <f>IF(OR(wld_az1_rack6_uplink02_network="Value Missing",wld_az1_rack6_uplink02_mask="Value Missing"),"Value Missing",(CONCATENATE(wld_az1_rack6_uplink02_network,"/",VLOOKUP(wld_az1_rack6_uplink02_mask,table_mask_to_cidr,2,FALSE))))</f>
        <v>Value Missing</v>
      </c>
      <c r="Z31" s="4" t="s">
        <v>1285</v>
      </c>
      <c r="AA31" s="337" t="str">
        <f>IF(OR(wld_az1_rack7_uplink02_network="Value Missing",wld_az1_rack7_uplink02_mask="Value Missing"),"Value Missing",(CONCATENATE(wld_az1_rack7_uplink02_network,"/",VLOOKUP(wld_az1_rack7_uplink02_mask,table_mask_to_cidr,2,FALSE))))</f>
        <v>Value Missing</v>
      </c>
      <c r="AC31" s="4" t="s">
        <v>1285</v>
      </c>
      <c r="AD31" s="337" t="str">
        <f>IF(OR(wld_az1_rack8_uplink02_network="Value Missing",wld_az1_rack8_uplink02_mask="Value Missing"),"Value Missing",(CONCATENATE(wld_az1_rack8_uplink02_network,"/",VLOOKUP(wld_az1_rack8_uplink02_mask,table_mask_to_cidr,2,FALSE))))</f>
        <v>Value Missing</v>
      </c>
      <c r="AG31" s="8"/>
    </row>
    <row r="32" spans="2:34" s="2" customFormat="1" ht="20.05" customHeight="1" x14ac:dyDescent="0.35">
      <c r="B32" s="11" t="s">
        <v>261</v>
      </c>
      <c r="C32" s="12" t="s">
        <v>1268</v>
      </c>
      <c r="E32" s="4" t="s">
        <v>1287</v>
      </c>
      <c r="F32" s="337" t="str">
        <f>IF(ISBLANK(input_mgmt_az1_edge_overlay_cidr),"Value Missing",input_mgmt_az1_edge_overlay_cidr)</f>
        <v>Value Missing</v>
      </c>
      <c r="H32" s="4" t="s">
        <v>1287</v>
      </c>
      <c r="I32" s="337" t="str">
        <f>IF(ISBLANK(input_wld_az1_edge_overlay_cidr),"Value Missing",input_wld_az1_edge_overlay_cidr)</f>
        <v>Value Missing</v>
      </c>
      <c r="K32" s="4" t="s">
        <v>1287</v>
      </c>
      <c r="L32" s="337" t="str">
        <f>IF(OR(wld_az1_rack2_edge_overlay_network="Value Missing",wld_az1_rack2_edge_overlay_mask="Value Missing"),"Value Missing",(CONCATENATE(wld_az1_rack2_edge_overlay_network,"/",VLOOKUP(wld_az1_rack2_edge_overlay_mask,table_mask_to_cidr,2,FALSE))))</f>
        <v>Value Missing</v>
      </c>
      <c r="N32" s="4" t="s">
        <v>1287</v>
      </c>
      <c r="O32" s="337" t="str">
        <f>IF(OR(wld_az1_rack3_edge_overlay_network="Value Missing",wld_az1_rack3_edge_overlay_mask="Value Missing"),"Value Missing",(CONCATENATE(wld_az1_rack3_edge_overlay_network,"/",VLOOKUP(wld_az1_rack3_edge_overlay_mask,table_mask_to_cidr,2,FALSE))))</f>
        <v>Value Missing</v>
      </c>
      <c r="Q32" s="4" t="s">
        <v>1287</v>
      </c>
      <c r="R32" s="337" t="str">
        <f>IF(OR(wld_az1_rack4_edge_overlay_network="Value Missing",wld_az1_rack4_edge_overlay_mask="Value Missing"),"Value Missing",(CONCATENATE(wld_az1_rack4_edge_overlay_network,"/",VLOOKUP(wld_az1_rack4_edge_overlay_mask,table_mask_to_cidr,2,FALSE))))</f>
        <v>Value Missing</v>
      </c>
      <c r="T32" s="4" t="s">
        <v>1287</v>
      </c>
      <c r="U32" s="337" t="str">
        <f>IF(OR(wld_az1_rack5_edge_overlay_network="Value Missing",wld_az1_rack5_edge_overlay_mask="Value Missing"),"Value Missing",(CONCATENATE(wld_az1_rack5_edge_overlay_network,"/",VLOOKUP(wld_az1_rack5_edge_overlay_mask,table_mask_to_cidr,2,FALSE))))</f>
        <v>Value Missing</v>
      </c>
      <c r="W32" s="4" t="s">
        <v>1287</v>
      </c>
      <c r="X32" s="337" t="str">
        <f>IF(OR(wld_az1_rack6_edge_overlay_network="Value Missing",wld_az1_rack6_edge_overlay_mask="Value Missing"),"Value Missing",(CONCATENATE(wld_az1_rack6_edge_overlay_network,"/",VLOOKUP(wld_az1_rack6_edge_overlay_mask,table_mask_to_cidr,2,FALSE))))</f>
        <v>Value Missing</v>
      </c>
      <c r="Z32" s="4" t="s">
        <v>1287</v>
      </c>
      <c r="AA32" s="337" t="str">
        <f>IF(OR(wld_az1_rack7_edge_overlay_network="Value Missing",wld_az1_rack7_edge_overlay_mask="Value Missing"),"Value Missing",(CONCATENATE(wld_az1_rack7_edge_overlay_network,"/",VLOOKUP(wld_az1_rack7_edge_overlay_mask,table_mask_to_cidr,2,FALSE))))</f>
        <v>Value Missing</v>
      </c>
      <c r="AC32" s="4" t="s">
        <v>1287</v>
      </c>
      <c r="AD32" s="337" t="str">
        <f>IF(OR(wld_az1_rack8_edge_overlay_network="Value Missing",wld_az1_rack8_edge_overlay_mask="Value Missing"),"Value Missing",(CONCATENATE(wld_az1_rack8_edge_overlay_network,"/",VLOOKUP(wld_az1_rack8_edge_overlay_mask,table_mask_to_cidr,2,FALSE))))</f>
        <v>Value Missing</v>
      </c>
      <c r="AG32" s="8"/>
    </row>
    <row r="33" spans="2:34" s="2" customFormat="1" ht="20.05" customHeight="1" x14ac:dyDescent="0.35">
      <c r="B33" s="11" t="s">
        <v>1313</v>
      </c>
      <c r="C33" s="12"/>
      <c r="E33" s="4" t="s">
        <v>1289</v>
      </c>
      <c r="F33" s="337" t="str">
        <f>IF(ISBLANK(input_mgmt_az1_rtep_overlay_cidr),"Value Missing",input_mgmt_az1_rtep_overlay_cidr)</f>
        <v>Value Missing</v>
      </c>
      <c r="H33" s="4" t="s">
        <v>1289</v>
      </c>
      <c r="I33" s="337" t="str">
        <f>IF(ISBLANK(input_wld_az1_rtep_overlay_cidr),"Value Missing",input_wld_az1_rtep_overlay_cidr)</f>
        <v>Value Missing</v>
      </c>
      <c r="K33" s="4" t="s">
        <v>1289</v>
      </c>
      <c r="L33" s="337"/>
      <c r="N33" s="4" t="s">
        <v>1289</v>
      </c>
      <c r="O33" s="337"/>
      <c r="Q33" s="4" t="s">
        <v>1289</v>
      </c>
      <c r="R33" s="337"/>
      <c r="T33" s="4" t="s">
        <v>1289</v>
      </c>
      <c r="U33" s="337"/>
      <c r="W33" s="4" t="s">
        <v>1289</v>
      </c>
      <c r="X33" s="337"/>
      <c r="Z33" s="4" t="s">
        <v>1289</v>
      </c>
      <c r="AA33" s="337"/>
      <c r="AC33" s="4" t="s">
        <v>1289</v>
      </c>
      <c r="AD33" s="337"/>
      <c r="AG33" s="8"/>
    </row>
    <row r="34" spans="2:34" s="2" customFormat="1" ht="20.05" customHeight="1" x14ac:dyDescent="0.35">
      <c r="B34" s="4" t="s">
        <v>1314</v>
      </c>
      <c r="C34" s="337" t="str">
        <f>parent_dns_zone</f>
        <v>Value Missing</v>
      </c>
      <c r="E34" s="4" t="s">
        <v>1291</v>
      </c>
      <c r="F34" s="337"/>
      <c r="H34" s="4" t="s">
        <v>1291</v>
      </c>
      <c r="I34" s="337" t="str">
        <f>IF(ISBLANK(input_wld_az1_vrms_cidr),"Value Missing",input_wld_az1_vrms_cidr)</f>
        <v>Value Missing</v>
      </c>
      <c r="K34" s="4" t="s">
        <v>1291</v>
      </c>
      <c r="L34" s="337"/>
      <c r="N34" s="4" t="s">
        <v>1291</v>
      </c>
      <c r="O34" s="337"/>
      <c r="Q34" s="4" t="s">
        <v>1291</v>
      </c>
      <c r="R34" s="337"/>
      <c r="T34" s="4" t="s">
        <v>1291</v>
      </c>
      <c r="U34" s="337"/>
      <c r="W34" s="4" t="s">
        <v>1291</v>
      </c>
      <c r="X34" s="337"/>
      <c r="Z34" s="4" t="s">
        <v>1291</v>
      </c>
      <c r="AA34" s="337"/>
      <c r="AC34" s="4" t="s">
        <v>1291</v>
      </c>
      <c r="AD34" s="337"/>
      <c r="AG34" s="8"/>
      <c r="AH34" s="8"/>
    </row>
    <row r="35" spans="2:34" s="2" customFormat="1" ht="20.05" customHeight="1" x14ac:dyDescent="0.35">
      <c r="B35" s="4" t="s">
        <v>1315</v>
      </c>
      <c r="C35" s="337" t="str">
        <f>region_dns1_ip</f>
        <v>Value Missing</v>
      </c>
      <c r="AG35" s="8"/>
      <c r="AH35" s="8"/>
    </row>
    <row r="36" spans="2:34" s="2" customFormat="1" ht="20.05" customHeight="1" x14ac:dyDescent="0.35">
      <c r="B36" s="4" t="s">
        <v>1316</v>
      </c>
      <c r="C36" s="337" t="str">
        <f>region_dns2_ip</f>
        <v>Value Missing</v>
      </c>
      <c r="E36" s="382" t="s">
        <v>1317</v>
      </c>
      <c r="F36" s="383"/>
      <c r="H36" s="382" t="s">
        <v>1318</v>
      </c>
      <c r="I36" s="383"/>
      <c r="K36" s="382" t="s">
        <v>1319</v>
      </c>
      <c r="L36" s="383"/>
      <c r="N36" s="382" t="s">
        <v>1320</v>
      </c>
      <c r="O36" s="383"/>
      <c r="Q36" s="379" t="s">
        <v>1321</v>
      </c>
      <c r="R36" s="381"/>
      <c r="T36" s="379" t="s">
        <v>1322</v>
      </c>
      <c r="U36" s="381"/>
      <c r="W36" s="379" t="s">
        <v>1323</v>
      </c>
      <c r="X36" s="381"/>
      <c r="Z36" s="379" t="s">
        <v>1324</v>
      </c>
      <c r="AA36" s="381"/>
      <c r="AC36" s="379" t="s">
        <v>1325</v>
      </c>
      <c r="AD36" s="381"/>
      <c r="AG36" s="8"/>
      <c r="AH36" s="8"/>
    </row>
    <row r="37" spans="2:34" s="2" customFormat="1" ht="20.05" customHeight="1" x14ac:dyDescent="0.35">
      <c r="B37" s="11" t="s">
        <v>1326</v>
      </c>
      <c r="C37" s="12"/>
      <c r="E37" s="11" t="s">
        <v>261</v>
      </c>
      <c r="F37" s="12" t="s">
        <v>1269</v>
      </c>
      <c r="H37" s="11" t="s">
        <v>261</v>
      </c>
      <c r="I37" s="12" t="s">
        <v>1269</v>
      </c>
      <c r="K37" s="11" t="s">
        <v>261</v>
      </c>
      <c r="L37" s="12" t="s">
        <v>1269</v>
      </c>
      <c r="N37" s="11" t="s">
        <v>261</v>
      </c>
      <c r="O37" s="12" t="s">
        <v>1269</v>
      </c>
      <c r="Q37" s="13" t="s">
        <v>261</v>
      </c>
      <c r="R37" s="14" t="s">
        <v>1269</v>
      </c>
      <c r="S37" s="15"/>
      <c r="T37" s="13" t="s">
        <v>261</v>
      </c>
      <c r="U37" s="14" t="s">
        <v>1269</v>
      </c>
      <c r="V37" s="15"/>
      <c r="W37" s="13" t="s">
        <v>261</v>
      </c>
      <c r="X37" s="14" t="s">
        <v>1269</v>
      </c>
      <c r="Y37" s="15"/>
      <c r="Z37" s="13" t="s">
        <v>261</v>
      </c>
      <c r="AA37" s="14" t="s">
        <v>1269</v>
      </c>
      <c r="AB37" s="15"/>
      <c r="AC37" s="13" t="s">
        <v>261</v>
      </c>
      <c r="AD37" s="14" t="s">
        <v>1269</v>
      </c>
      <c r="AG37" s="8"/>
      <c r="AH37" s="8"/>
    </row>
    <row r="38" spans="2:34" s="2" customFormat="1" ht="20.05" customHeight="1" x14ac:dyDescent="0.35">
      <c r="B38" s="4" t="s">
        <v>1315</v>
      </c>
      <c r="C38" s="337" t="str">
        <f>region_ntp1_server</f>
        <v>Value Missing</v>
      </c>
      <c r="E38" s="4" t="s">
        <v>1272</v>
      </c>
      <c r="F38" s="337" t="str">
        <f>IF(mgmt_az1_mgmt_vm_cidr="Value Missing",mgmt_az1_mgmt_vm_cidr,(LEFT(mgmt_az1_mgmt_vm_cidr,(FIND("/",mgmt_az1_mgmt_vm_cidr)-1))))</f>
        <v>Value Missing</v>
      </c>
      <c r="H38" s="4" t="s">
        <v>1272</v>
      </c>
      <c r="I38" s="337" t="str">
        <f>IF(wld_az1_mgmt_vm_cidr="Value Missing","Value Missing",IF(ISBLANK(wld_az1_mgmt_vm_cidr),"Value Missing",LEFT(wld_az1_mgmt_vm_cidr,(FIND("/",wld_az1_mgmt_vm_cidr)-1))))</f>
        <v>Value Missing</v>
      </c>
      <c r="K38" s="4" t="s">
        <v>1272</v>
      </c>
      <c r="N38" s="4" t="s">
        <v>1272</v>
      </c>
      <c r="Q38" s="4" t="s">
        <v>1272</v>
      </c>
      <c r="T38" s="4" t="s">
        <v>1272</v>
      </c>
      <c r="W38" s="4" t="s">
        <v>1272</v>
      </c>
      <c r="Z38" s="4" t="s">
        <v>1272</v>
      </c>
      <c r="AC38" s="4" t="s">
        <v>1272</v>
      </c>
      <c r="AG38" s="8"/>
      <c r="AH38" s="8"/>
    </row>
    <row r="39" spans="2:34" s="2" customFormat="1" ht="20.05" customHeight="1" x14ac:dyDescent="0.35">
      <c r="B39" s="4" t="s">
        <v>1316</v>
      </c>
      <c r="C39" s="337" t="str">
        <f>region_ntp2_server</f>
        <v>Value Missing</v>
      </c>
      <c r="E39" s="4" t="s">
        <v>1274</v>
      </c>
      <c r="F39" s="337" t="str">
        <f>IF(mgmt_az1_mgmt_cidr="Value Missing",mgmt_az1_mgmt_cidr,LEFT(mgmt_az1_mgmt_cidr,(FIND("/",mgmt_az1_mgmt_cidr)-1)))</f>
        <v>Value Missing</v>
      </c>
      <c r="H39" s="4" t="s">
        <v>1274</v>
      </c>
      <c r="I39" s="337" t="str">
        <f>IF(wld_az1_mgmt_cidr="Value Missing","Value Missing",IF(ISBLANK(wld_az1_mgmt_cidr),"Value Missing",LEFT(wld_az1_mgmt_cidr,(FIND("/",wld_az1_mgmt_cidr)-1))))</f>
        <v>Value Missing</v>
      </c>
      <c r="K39" s="4" t="s">
        <v>1274</v>
      </c>
      <c r="L39" s="337" t="str">
        <f>IF(wld_az1_rack2_mgmt_cidr="Value Missing","Value Missing",IF(ISBLANK(wld_az1_rack2_mgmt_cidr),"Value Missing",LEFT(wld_az1_rack2_mgmt_cidr,(FIND("/",wld_az1_rack2_mgmt_cidr)-1))))</f>
        <v>Value Missing</v>
      </c>
      <c r="N39" s="4" t="s">
        <v>1274</v>
      </c>
      <c r="O39" s="337" t="str">
        <f>IF(wld_az1_rack3_mgmt_cidr="Value Missing","Value Missing",IF(ISBLANK(wld_az1_rack3_mgmt_cidr),"Value Missing",LEFT(wld_az1_rack3_mgmt_cidr,(FIND("/",wld_az1_rack3_mgmt_cidr)-1))))</f>
        <v>Value Missing</v>
      </c>
      <c r="Q39" s="4" t="s">
        <v>1274</v>
      </c>
      <c r="R39" s="337" t="str">
        <f>IF(wld_az1_rack4_mgmt_cidr="Value Missing","Value Missing",IF(ISBLANK(wld_az1_rack4_mgmt_cidr),"Value Missing",LEFT(wld_az1_rack4_mgmt_cidr,(FIND("/",wld_az1_rack4_mgmt_cidr)-1))))</f>
        <v>Value Missing</v>
      </c>
      <c r="T39" s="4" t="s">
        <v>1274</v>
      </c>
      <c r="U39" s="337" t="str">
        <f>IF(wld_az1_rack5_mgmt_cidr="Value Missing","Value Missing",IF(ISBLANK(wld_az1_rack5_mgmt_cidr),"Value Missing",LEFT(wld_az1_rack5_mgmt_cidr,(FIND("/",wld_az1_rack5_mgmt_cidr)-1))))</f>
        <v>Value Missing</v>
      </c>
      <c r="W39" s="4" t="s">
        <v>1274</v>
      </c>
      <c r="X39" s="337" t="str">
        <f>IF(wld_az1_rack6_mgmt_cidr="Value Missing","Value Missing",IF(ISBLANK(wld_az1_rack6_mgmt_cidr),"Value Missing",LEFT(wld_az1_rack6_mgmt_cidr,(FIND("/",wld_az1_rack6_mgmt_cidr)-1))))</f>
        <v>Value Missing</v>
      </c>
      <c r="Z39" s="4" t="s">
        <v>1274</v>
      </c>
      <c r="AA39" s="337" t="str">
        <f>IF(wld_az1_rack7_mgmt_cidr="Value Missing","Value Missing",IF(ISBLANK(wld_az1_rack7_mgmt_cidr),"Value Missing",LEFT(wld_az1_rack7_mgmt_cidr,(FIND("/",wld_az1_rack7_mgmt_cidr)-1))))</f>
        <v>Value Missing</v>
      </c>
      <c r="AC39" s="4" t="s">
        <v>1274</v>
      </c>
      <c r="AD39" s="337" t="str">
        <f>IF(wld_az1_rack8_mgmt_cidr="Value Missing","Value Missing",IF(ISBLANK(wld_az1_rack8_mgmt_cidr),"Value Missing",LEFT(wld_az1_rack8_mgmt_cidr,(FIND("/",wld_az1_rack8_mgmt_cidr)-1))))</f>
        <v>Value Missing</v>
      </c>
      <c r="AG39" s="8"/>
      <c r="AH39" s="8"/>
    </row>
    <row r="40" spans="2:34" s="2" customFormat="1" ht="20.05" customHeight="1" x14ac:dyDescent="0.35">
      <c r="B40" s="74" t="s">
        <v>1327</v>
      </c>
      <c r="C40" s="337"/>
      <c r="E40" s="4" t="s">
        <v>251</v>
      </c>
      <c r="F40" s="337" t="str">
        <f>IF(mgmt_az1_vmotion_cidr="Value Missing",mgmt_az1_vmotion_cidr,LEFT(mgmt_az1_vmotion_cidr,(FIND("/",mgmt_az1_vmotion_cidr)-1)))</f>
        <v>Value Missing</v>
      </c>
      <c r="H40" s="4" t="s">
        <v>251</v>
      </c>
      <c r="I40" s="337" t="str">
        <f>IF(ISBLANK(input_wld_az1_vmotion_network),"Value Missing",input_wld_az1_vmotion_network)</f>
        <v>Value Missing</v>
      </c>
      <c r="K40" s="4" t="s">
        <v>251</v>
      </c>
      <c r="L40" s="337" t="str">
        <f>IF(ISBLANK(input_wld_az1_rack2_vmotion_network),"Value Missing",input_wld_az1_rack2_vmotion_network)</f>
        <v>Value Missing</v>
      </c>
      <c r="N40" s="4" t="s">
        <v>251</v>
      </c>
      <c r="O40" s="337" t="str">
        <f>IF(ISBLANK(input_wld_az1_rack3_vmotion_network),"Value Missing",input_wld_az1_rack3_vmotion_network)</f>
        <v>Value Missing</v>
      </c>
      <c r="Q40" s="4" t="s">
        <v>251</v>
      </c>
      <c r="R40" s="337" t="str">
        <f>IF(ISBLANK(input_wld_az1_rack4_vmotion_network),"Value Missing",input_wld_az1_rack4_vmotion_network)</f>
        <v>Value Missing</v>
      </c>
      <c r="T40" s="4" t="s">
        <v>251</v>
      </c>
      <c r="U40" s="337" t="str">
        <f>IF(ISBLANK(input_wld_az1_rack5_vmotion_network),"Value Missing",input_wld_az1_rack5_vmotion_network)</f>
        <v>Value Missing</v>
      </c>
      <c r="W40" s="4" t="s">
        <v>251</v>
      </c>
      <c r="X40" s="337" t="str">
        <f>IF(ISBLANK(input_wld_az1_rack6_vmotion_network),"Value Missing",input_wld_az1_rack6_vmotion_network)</f>
        <v>Value Missing</v>
      </c>
      <c r="Z40" s="4" t="s">
        <v>251</v>
      </c>
      <c r="AA40" s="337" t="str">
        <f>IF(ISBLANK(input_wld_az1_rack7_vmotion_network),"Value Missing",input_wld_az1_rack7_vmotion_network)</f>
        <v>Value Missing</v>
      </c>
      <c r="AC40" s="4" t="s">
        <v>251</v>
      </c>
      <c r="AD40" s="337" t="str">
        <f>IF(ISBLANK(input_wld_az1_rack8_vmotion_network),"Value Missing",input_wld_az1_rack8_vmotion_network)</f>
        <v>Value Missing</v>
      </c>
      <c r="AG40" s="8"/>
      <c r="AH40" s="8"/>
    </row>
    <row r="41" spans="2:34" s="2" customFormat="1" ht="20.05" customHeight="1" x14ac:dyDescent="0.35">
      <c r="B41" s="4" t="s">
        <v>1328</v>
      </c>
      <c r="C41" s="337" t="str">
        <f>IF(ISBLANK(mgmt_ceip_status_chosen),"Value Missing",mgmt_ceip_status_chosen)</f>
        <v>Selected</v>
      </c>
      <c r="E41" s="17" t="str">
        <f>CONCATENATE("Principal Storage Network ",wld_principal_storage_chosen)</f>
        <v>Principal Storage Network vSAN-ESA</v>
      </c>
      <c r="F41" s="337" t="str">
        <f>IF(mgmt_az1_vsan_cidr="Value Missing",mgmt_az1_vsan_cidr,LEFT(mgmt_az1_vsan_cidr,(FIND("/",mgmt_az1_vsan_cidr)-1)))</f>
        <v>Value Missing</v>
      </c>
      <c r="H41" s="17" t="s">
        <v>257</v>
      </c>
      <c r="I41" s="337" t="str">
        <f>IF(ISBLANK(input_wld_az1_principal_storage_network),"Value Missing",input_wld_az1_principal_storage_network)</f>
        <v>Value Missing</v>
      </c>
      <c r="K41" s="17" t="str">
        <f>CONCATENATE("Principal Storage Network ",wld_principal_storage_chosen)</f>
        <v>Principal Storage Network vSAN-ESA</v>
      </c>
      <c r="L41" s="337" t="str">
        <f>IF(ISBLANK(input_wld_az1_rack2_principal_storage_network),"Value Missing",input_wld_az1_rack2_principal_storage_network)</f>
        <v>Value Missing</v>
      </c>
      <c r="N41" s="17" t="str">
        <f>CONCATENATE("Principal Storage Network ",wld_principal_storage_chosen)</f>
        <v>Principal Storage Network vSAN-ESA</v>
      </c>
      <c r="O41" s="337" t="str">
        <f>IF(ISBLANK(input_wld_az1_rack3_principal_storage_network),"Value Missing",input_wld_az1_rack3_principal_storage_network)</f>
        <v>Value Missing</v>
      </c>
      <c r="Q41" s="17" t="str">
        <f>CONCATENATE("Principal Storage Network ",wld_principal_storage_chosen)</f>
        <v>Principal Storage Network vSAN-ESA</v>
      </c>
      <c r="R41" s="337" t="str">
        <f>IF(ISBLANK(input_wld_az1_rack4_principal_storage_network),"Value Missing",input_wld_az1_rack4_principal_storage_network)</f>
        <v>Value Missing</v>
      </c>
      <c r="T41" s="17" t="str">
        <f>CONCATENATE("Principal Storage Network ",wld_principal_storage_chosen)</f>
        <v>Principal Storage Network vSAN-ESA</v>
      </c>
      <c r="U41" s="337" t="str">
        <f>IF(ISBLANK(input_wld_az1_rack5_principal_storage_network),"Value Missing",input_wld_az1_rack5_principal_storage_network)</f>
        <v>Value Missing</v>
      </c>
      <c r="W41" s="17" t="str">
        <f>CONCATENATE("Principal Storage Network ",wld_principal_storage_chosen)</f>
        <v>Principal Storage Network vSAN-ESA</v>
      </c>
      <c r="X41" s="337" t="str">
        <f>IF(ISBLANK(input_wld_az1_rack6_principal_storage_network),"Value Missing",input_wld_az1_rack6_principal_storage_network)</f>
        <v>Value Missing</v>
      </c>
      <c r="Z41" s="17" t="str">
        <f>CONCATENATE("Principal Storage Network ",wld_principal_storage_chosen)</f>
        <v>Principal Storage Network vSAN-ESA</v>
      </c>
      <c r="AA41" s="337" t="str">
        <f>IF(ISBLANK(input_wld_az1_rack7_principal_storage_network),"Value Missing",input_wld_az1_rack7_principal_storage_network)</f>
        <v>Value Missing</v>
      </c>
      <c r="AC41" s="17" t="str">
        <f>CONCATENATE("Principal Storage Network ",wld_principal_storage_chosen)</f>
        <v>Principal Storage Network vSAN-ESA</v>
      </c>
      <c r="AD41" s="337" t="str">
        <f>IF(ISBLANK(input_wld_az1_rack8_principal_storage_network),"Value Missing",input_wld_az1_rack8_principal_storage_network)</f>
        <v>Value Missing</v>
      </c>
      <c r="AG41" s="8"/>
      <c r="AH41" s="8"/>
    </row>
    <row r="42" spans="2:34" s="2" customFormat="1" ht="20.05" customHeight="1" x14ac:dyDescent="0.35">
      <c r="E42" s="4" t="s">
        <v>1278</v>
      </c>
      <c r="F42" s="337" t="str">
        <f>IF(mgmt_az1_host_overlay_cidr="Value Missing",mgmt_az1_host_overlay_cidr,LEFT(mgmt_az1_host_overlay_cidr,(FIND("/",mgmt_az1_host_overlay_cidr)-1)))</f>
        <v>Value Missing</v>
      </c>
      <c r="H42" s="4" t="s">
        <v>1278</v>
      </c>
      <c r="I42" s="337" t="str">
        <f>IF(wld_az1_host_overlay_cidr="Value Missing","Value Missing",IF(ISBLANK(wld_az1_host_overlay_cidr),"Value Missing",LEFT(wld_az1_host_overlay_cidr,(FIND("/",wld_az1_host_overlay_cidr)-1))))</f>
        <v>Value Missing</v>
      </c>
      <c r="K42" s="4" t="s">
        <v>1278</v>
      </c>
      <c r="L42" s="337" t="str">
        <f>IF(ISBLANK(input_wld_az1_rack2_host_overlay_network),"Value Missing",input_wld_az1_rack2_host_overlay_network)</f>
        <v>Value Missing</v>
      </c>
      <c r="N42" s="4" t="s">
        <v>1278</v>
      </c>
      <c r="O42" s="337" t="str">
        <f>IF(ISBLANK(input_wld_az1_rack2_host_overlay_network),"Value Missing",input_wld_az1_rack3_host_overlay_network)</f>
        <v>Value Missing</v>
      </c>
      <c r="Q42" s="4" t="s">
        <v>1278</v>
      </c>
      <c r="R42" s="337" t="str">
        <f>IF(ISBLANK(input_wld_az1_rack4_host_overlay_network),"Value Missing",input_wld_az1_rack4_host_overlay_network)</f>
        <v>Value Missing</v>
      </c>
      <c r="T42" s="4" t="s">
        <v>1278</v>
      </c>
      <c r="U42" s="337" t="str">
        <f>IF(ISBLANK(input_wld_az1_rack5_host_overlay_network),"Value Missing",input_wld_az1_rack5_host_overlay_network)</f>
        <v>Value Missing</v>
      </c>
      <c r="W42" s="4" t="s">
        <v>1278</v>
      </c>
      <c r="X42" s="337" t="str">
        <f>IF(ISBLANK(input_wld_az1_rack6_host_overlay_network),"Value Missing",input_wld_az1_rack6_host_overlay_network)</f>
        <v>Value Missing</v>
      </c>
      <c r="Z42" s="4" t="s">
        <v>1278</v>
      </c>
      <c r="AA42" s="337" t="str">
        <f>IF(ISBLANK(input_wld_az1_rack7_host_overlay_network),"Value Missing",input_wld_az1_rack7_host_overlay_network)</f>
        <v>Value Missing</v>
      </c>
      <c r="AC42" s="4" t="s">
        <v>1278</v>
      </c>
      <c r="AD42" s="337" t="str">
        <f>IF(ISBLANK(input_wld_az1_rack8_host_overlay_network),"Value Missing",input_wld_az1_rack8_host_overlay_network)</f>
        <v>Value Missing</v>
      </c>
      <c r="AG42" s="8"/>
      <c r="AH42" s="8"/>
    </row>
    <row r="43" spans="2:34" s="2" customFormat="1" ht="20.05" customHeight="1" x14ac:dyDescent="0.35">
      <c r="B43" s="573" t="s">
        <v>814</v>
      </c>
      <c r="C43" s="574"/>
      <c r="E43" s="18" t="s">
        <v>1280</v>
      </c>
      <c r="F43" s="337" t="str">
        <f>IF(mgmt_az1_secondary_storage_cidr="Value Missing",mgmt_az1_secondary_storage_cidr,LEFT(mgmt_az1_secondary_storage_cidr,(FIND("/",mgmt_az1_secondary_storage_cidr)-1)))</f>
        <v>Value Missing</v>
      </c>
      <c r="H43" s="4" t="s">
        <v>1280</v>
      </c>
      <c r="I43" s="337" t="str">
        <f>IF(ISBLANK(input_wld_az1_secondary_storage_network),"Value Missing",input_wld_az1_secondary_storage_network)</f>
        <v>Value Missing</v>
      </c>
      <c r="K43" s="22" t="s">
        <v>805</v>
      </c>
      <c r="L43" s="337"/>
      <c r="N43" s="22" t="s">
        <v>805</v>
      </c>
      <c r="O43" s="337"/>
      <c r="Q43" s="22" t="s">
        <v>805</v>
      </c>
      <c r="R43" s="337"/>
      <c r="T43" s="22" t="s">
        <v>805</v>
      </c>
      <c r="U43" s="337"/>
      <c r="W43" s="22" t="s">
        <v>805</v>
      </c>
      <c r="X43" s="337"/>
      <c r="Z43" s="22" t="s">
        <v>805</v>
      </c>
      <c r="AA43" s="337"/>
      <c r="AC43" s="22" t="s">
        <v>805</v>
      </c>
      <c r="AD43" s="337"/>
      <c r="AG43" s="8"/>
      <c r="AH43" s="8"/>
    </row>
    <row r="44" spans="2:34" s="2" customFormat="1" ht="20.05" customHeight="1" x14ac:dyDescent="0.35">
      <c r="B44" s="11" t="s">
        <v>261</v>
      </c>
      <c r="C44" s="12" t="s">
        <v>1268</v>
      </c>
      <c r="E44" s="18"/>
      <c r="F44" s="337"/>
      <c r="H44" s="4" t="s">
        <v>805</v>
      </c>
      <c r="I44" s="337" t="str">
        <f>IF(ISBLANK(input_wld_az1_storage_cluster_network),"Value Missing",input_wld_az1_storage_cluster_network)</f>
        <v>Value Missing</v>
      </c>
      <c r="K44" s="18" t="s">
        <v>1280</v>
      </c>
      <c r="L44" s="337" t="str">
        <f>IF(ISBLANK(input_wld_az1_rack2_secondary_storage_network),"Value Missing",input_wld_az1_rack2_secondary_storage_network)</f>
        <v>Value Missing</v>
      </c>
      <c r="N44" s="18" t="s">
        <v>1280</v>
      </c>
      <c r="O44" s="337" t="str">
        <f>IF(ISBLANK(input_wld_az1_rack3_secondary_storage_network),"Value Missing",input_wld_az1_rack3_secondary_storage_network)</f>
        <v>Value Missing</v>
      </c>
      <c r="Q44" s="18" t="s">
        <v>1280</v>
      </c>
      <c r="R44" s="337" t="str">
        <f>IF(ISBLANK(input_wld_az1_rack4_secondary_storage_network),"Value Missing",input_wld_az1_rack4_secondary_storage_network)</f>
        <v>Value Missing</v>
      </c>
      <c r="T44" s="18" t="s">
        <v>1280</v>
      </c>
      <c r="U44" s="337" t="str">
        <f>IF(ISBLANK(input_wld_az1_rack5_secondary_storage_network),"Value Missing",input_wld_az1_rack5_secondary_storage_network)</f>
        <v>Value Missing</v>
      </c>
      <c r="W44" s="18" t="s">
        <v>1280</v>
      </c>
      <c r="X44" s="337" t="str">
        <f>IF(ISBLANK(input_wld_az1_rack6_secondary_storage_network),"Value Missing",input_wld_az1_rack6_secondary_storage_network)</f>
        <v>Value Missing</v>
      </c>
      <c r="Z44" s="18" t="s">
        <v>1280</v>
      </c>
      <c r="AA44" s="337" t="str">
        <f>IF(ISBLANK(input_wld_az1_rack7_secondary_storage_network),"Value Missing",input_wld_az1_rack7_secondary_storage_network)</f>
        <v>Value Missing</v>
      </c>
      <c r="AC44" s="18" t="s">
        <v>1280</v>
      </c>
      <c r="AD44" s="337" t="str">
        <f>IF(ISBLANK(input_wld_az1_rack8_secondary_storage_network),"Value Missing",input_wld_az1_rack8_secondary_storage_network)</f>
        <v>Value Missing</v>
      </c>
      <c r="AG44" s="8"/>
      <c r="AH44" s="8"/>
    </row>
    <row r="45" spans="2:34" s="2" customFormat="1" ht="20.05" customHeight="1" x14ac:dyDescent="0.35">
      <c r="B45" s="4" t="s">
        <v>38</v>
      </c>
      <c r="C45" s="337" t="str">
        <f>IF(ISBLANK(mgmt_vc_fqdn),"Value Missing",mgmt_vc_fqdn)</f>
        <v>Value Missing</v>
      </c>
      <c r="E45" s="4" t="s">
        <v>1283</v>
      </c>
      <c r="F45" s="337" t="str">
        <f>IF(mgmt_az1_uplink01_cidr="Value Missing",mgmt_az1_uplink01_cidr,LEFT(mgmt_az1_uplink01_cidr,(FIND("/",mgmt_az1_uplink01_cidr)-1)))</f>
        <v>Value Missing</v>
      </c>
      <c r="H45" s="4" t="s">
        <v>1283</v>
      </c>
      <c r="I45" s="337" t="str">
        <f>IF(wld_az1_uplink01_cidr="Value Missing",wld_az1_uplink01_cidr,IF(ISBLANK(wld_az1_uplink01_cidr),"Value Missing",LEFT(wld_az1_uplink01_cidr,(FIND("/",wld_az1_uplink01_cidr)-1))))</f>
        <v>Value Missing</v>
      </c>
      <c r="K45" s="4" t="s">
        <v>1283</v>
      </c>
      <c r="L45" s="337" t="str">
        <f>IF(ISBLANK(input_wld_az1_rack2_uplink01_network),"Value Missing",input_wld_az1_rack2_uplink01_network)</f>
        <v>Value Missing</v>
      </c>
      <c r="N45" s="4" t="s">
        <v>1283</v>
      </c>
      <c r="O45" s="337" t="str">
        <f>IF(ISBLANK(input_wld_az1_rack3_uplink01_network),"Value Missing",input_wld_az1_rack3_uplink01_network)</f>
        <v>Value Missing</v>
      </c>
      <c r="Q45" s="4" t="s">
        <v>1283</v>
      </c>
      <c r="R45" s="337" t="str">
        <f>IF(ISBLANK(input_wld_az1_rack4_uplink01_network),"Value Missing",input_wld_az1_rack4_uplink01_network)</f>
        <v>Value Missing</v>
      </c>
      <c r="T45" s="4" t="s">
        <v>1283</v>
      </c>
      <c r="U45" s="337" t="str">
        <f>IF(ISBLANK(input_wld_az1_rack5_uplink01_network),"Value Missing",input_wld_az1_rack5_uplink01_network)</f>
        <v>Value Missing</v>
      </c>
      <c r="W45" s="4" t="s">
        <v>1283</v>
      </c>
      <c r="X45" s="337" t="str">
        <f>IF(ISBLANK(input_wld_az1_rack6_uplink01_network),"Value Missing",input_wld_az1_rack6_uplink01_network)</f>
        <v>Value Missing</v>
      </c>
      <c r="Z45" s="4" t="s">
        <v>1283</v>
      </c>
      <c r="AA45" s="337" t="str">
        <f>IF(ISBLANK(input_wld_az1_rack7_uplink01_network),"Value Missing",input_wld_az1_rack7_uplink01_network)</f>
        <v>Value Missing</v>
      </c>
      <c r="AC45" s="4" t="s">
        <v>1283</v>
      </c>
      <c r="AD45" s="337" t="str">
        <f>IF(ISBLANK(input_wld_az1_rack8_uplink01_network),"Value Missing",input_wld_az1_rack8_uplink01_network)</f>
        <v>Value Missing</v>
      </c>
      <c r="AG45" s="8"/>
      <c r="AH45" s="8"/>
    </row>
    <row r="46" spans="2:34" s="2" customFormat="1" ht="20.05" customHeight="1" x14ac:dyDescent="0.35">
      <c r="B46" s="4" t="s">
        <v>784</v>
      </c>
      <c r="C46" s="337" t="str">
        <f>mgmt_vcenter_appliance_size_chosen</f>
        <v>Small</v>
      </c>
      <c r="E46" s="4" t="s">
        <v>1285</v>
      </c>
      <c r="F46" s="337" t="str">
        <f>IF(mgmt_az1_uplink02_cidr="Value Missing",mgmt_az1_uplink02_cidr,LEFT(mgmt_az1_uplink02_cidr,(FIND("/",mgmt_az1_uplink02_cidr)-1)))</f>
        <v>Value Missing</v>
      </c>
      <c r="H46" s="4" t="s">
        <v>1285</v>
      </c>
      <c r="I46" s="337" t="str">
        <f>IF(wld_az1_uplink02_cidr="Value Missing",wld_az1_uplink02_cidr,IF(ISBLANK(wld_az1_uplink02_cidr),"Value Missing",LEFT(wld_az1_uplink02_cidr,(FIND("/",wld_az1_uplink02_cidr)-1))))</f>
        <v>Value Missing</v>
      </c>
      <c r="K46" s="4" t="s">
        <v>1285</v>
      </c>
      <c r="L46" s="337" t="str">
        <f>IF(ISBLANK(input_wld_az1_rack2_uplink02_network),"Value Missing",input_wld_az1_rack2_uplink02_network)</f>
        <v>Value Missing</v>
      </c>
      <c r="N46" s="4" t="s">
        <v>1285</v>
      </c>
      <c r="O46" s="337" t="str">
        <f>IF(ISBLANK(input_wld_az1_rack3_uplink02_network),"Value Missing",input_wld_az1_rack3_uplink02_network)</f>
        <v>Value Missing</v>
      </c>
      <c r="Q46" s="4" t="s">
        <v>1285</v>
      </c>
      <c r="R46" s="337" t="str">
        <f>IF(ISBLANK(input_wld_az1_rack4_uplink02_network),"Value Missing",input_wld_az1_rack4_uplink02_network)</f>
        <v>Value Missing</v>
      </c>
      <c r="T46" s="4" t="s">
        <v>1285</v>
      </c>
      <c r="U46" s="337" t="str">
        <f>IF(ISBLANK(input_wld_az1_rack5_uplink02_network),"Value Missing",input_wld_az1_rack5_uplink02_network)</f>
        <v>Value Missing</v>
      </c>
      <c r="W46" s="4" t="s">
        <v>1285</v>
      </c>
      <c r="X46" s="337" t="str">
        <f>IF(ISBLANK(input_wld_az1_rack6_uplink02_network),"Value Missing",input_wld_az1_rack6_uplink02_network)</f>
        <v>Value Missing</v>
      </c>
      <c r="Z46" s="4" t="s">
        <v>1285</v>
      </c>
      <c r="AA46" s="337" t="str">
        <f>IF(ISBLANK(input_wld_az1_rack7_uplink02_network),"Value Missing",input_wld_az1_rack7_uplink02_network)</f>
        <v>Value Missing</v>
      </c>
      <c r="AC46" s="4" t="s">
        <v>1285</v>
      </c>
      <c r="AD46" s="337" t="str">
        <f>IF(ISBLANK(input_wld_az1_rack8_uplink02_network),"Value Missing",input_wld_az1_rack8_uplink02_network)</f>
        <v>Value Missing</v>
      </c>
      <c r="AG46" s="8"/>
    </row>
    <row r="47" spans="2:34" s="2" customFormat="1" ht="20.05" customHeight="1" x14ac:dyDescent="0.35">
      <c r="B47" s="4" t="s">
        <v>1329</v>
      </c>
      <c r="C47" s="337" t="str">
        <f>sizing_m01_vcenter_storage_size_chosen</f>
        <v>Default</v>
      </c>
      <c r="E47" s="4" t="s">
        <v>1287</v>
      </c>
      <c r="F47" s="337" t="str">
        <f>IF(mgmt_az1_edge_overlay_cidr="Value Missing",mgmt_az1_edge_overlay_cidr,(LEFT(mgmt_az1_edge_overlay_cidr,(FIND("/",mgmt_az1_edge_overlay_cidr)-1))))</f>
        <v>Value Missing</v>
      </c>
      <c r="H47" s="4" t="s">
        <v>1287</v>
      </c>
      <c r="I47" s="337" t="str">
        <f>IF(wld_az1_edge_overlay_cidr="Value Missing",wld_az1_edge_overlay_cidr,IF(ISBLANK(wld_az1_edge_overlay_cidr),"Value Missing",LEFT(wld_az1_edge_overlay_cidr,(FIND("/",wld_az1_edge_overlay_cidr)-1))))</f>
        <v>Value Missing</v>
      </c>
      <c r="K47" s="4" t="s">
        <v>1287</v>
      </c>
      <c r="L47" s="337" t="str">
        <f>IF(ISBLANK(input_wld_az1_rack2_edge_overlay_network),"Value Missing",input_wld_az1_rack2_edge_overlay_network)</f>
        <v>Value Missing</v>
      </c>
      <c r="N47" s="4" t="s">
        <v>1287</v>
      </c>
      <c r="O47" s="337" t="str">
        <f>IF(ISBLANK(input_wld_az1_rack3_edge_overlay_network),"Value Missing",input_wld_az1_rack3_edge_overlay_network)</f>
        <v>Value Missing</v>
      </c>
      <c r="Q47" s="4" t="s">
        <v>1287</v>
      </c>
      <c r="R47" s="337" t="str">
        <f>IF(ISBLANK(input_wld_az1_rack4_edge_overlay_network),"Value Missing",input_wld_az1_rack4_edge_overlay_network)</f>
        <v>Value Missing</v>
      </c>
      <c r="T47" s="4" t="s">
        <v>1287</v>
      </c>
      <c r="U47" s="337" t="str">
        <f>IF(ISBLANK(input_wld_az1_rack5_edge_overlay_network),"Value Missing",input_wld_az1_rack5_edge_overlay_network)</f>
        <v>Value Missing</v>
      </c>
      <c r="W47" s="4" t="s">
        <v>1287</v>
      </c>
      <c r="X47" s="337" t="str">
        <f>IF(ISBLANK(input_wld_az1_rack6_edge_overlay_network),"Value Missing",input_wld_az1_rack6_edge_overlay_network)</f>
        <v>Value Missing</v>
      </c>
      <c r="Z47" s="4" t="s">
        <v>1287</v>
      </c>
      <c r="AA47" s="337" t="str">
        <f>IF(ISBLANK(input_wld_az1_rack7_edge_overlay_network),"Value Missing",input_wld_az1_rack7_edge_overlay_network)</f>
        <v>Value Missing</v>
      </c>
      <c r="AC47" s="4" t="s">
        <v>1287</v>
      </c>
      <c r="AD47" s="337" t="str">
        <f>IF(ISBLANK(input_wld_az1_rack8_edge_overlay_network),"Value Missing",input_wld_az1_rack8_edge_overlay_network)</f>
        <v>Value Missing</v>
      </c>
      <c r="AG47" s="8"/>
    </row>
    <row r="48" spans="2:34" s="2" customFormat="1" ht="20.05" customHeight="1" x14ac:dyDescent="0.35">
      <c r="B48" s="4" t="s">
        <v>1330</v>
      </c>
      <c r="C48" s="337" t="str">
        <f>IF(ISBLANK(input_mgmt_datacenter),"Value Missing",input_mgmt_datacenter)</f>
        <v>Value Missing</v>
      </c>
      <c r="E48" s="4" t="s">
        <v>1289</v>
      </c>
      <c r="F48" s="337" t="str">
        <f>IF(mgmt_az1_rtep_overlay_cidr="Value Missing",mgmt_az1_rtep_overlay_cidr,(LEFT(mgmt_az1_rtep_overlay_cidr,(FIND("/",mgmt_az1_rtep_overlay_cidr)-1))))</f>
        <v>Value Missing</v>
      </c>
      <c r="H48" s="4" t="s">
        <v>1289</v>
      </c>
      <c r="I48" s="337" t="str">
        <f>IF(wld_az1_rtep_overlay_cidr="Value Missing",wld_az1_rtep_overlay_cidr,(LEFT(wld_az1_rtep_overlay_cidr,(FIND("/",wld_az1_rtep_overlay_cidr)-1))))</f>
        <v>Value Missing</v>
      </c>
      <c r="K48" s="4" t="s">
        <v>1289</v>
      </c>
      <c r="N48" s="4" t="s">
        <v>1289</v>
      </c>
      <c r="Q48" s="4" t="s">
        <v>1289</v>
      </c>
      <c r="T48" s="4" t="s">
        <v>1289</v>
      </c>
      <c r="W48" s="4" t="s">
        <v>1289</v>
      </c>
      <c r="Z48" s="4" t="s">
        <v>1289</v>
      </c>
      <c r="AC48" s="4" t="s">
        <v>1289</v>
      </c>
      <c r="AG48" s="8"/>
    </row>
    <row r="49" spans="2:34" s="2" customFormat="1" ht="20.05" customHeight="1" x14ac:dyDescent="0.35">
      <c r="B49" s="4" t="s">
        <v>1331</v>
      </c>
      <c r="C49" s="337" t="str">
        <f>IF(ISBLANK(input_mgmt_cl01_cluster),"Value Missing",input_mgmt_cl01_cluster)</f>
        <v>Value Missing</v>
      </c>
      <c r="E49" s="4" t="s">
        <v>1291</v>
      </c>
      <c r="F49" s="337"/>
      <c r="H49" s="4" t="s">
        <v>1291</v>
      </c>
      <c r="I49" s="337" t="str">
        <f>IF(wld_az1_vrms_cidr="Value Missing",wld_az1_vrms_cidr,(LEFT(wld_az1_vrms_cidr,(FIND("/",wld_az1_vrms_cidr)-1))))</f>
        <v>Value Missing</v>
      </c>
      <c r="K49" s="4" t="s">
        <v>1291</v>
      </c>
      <c r="N49" s="4" t="s">
        <v>1291</v>
      </c>
      <c r="Q49" s="4" t="s">
        <v>1291</v>
      </c>
      <c r="T49" s="4" t="s">
        <v>1291</v>
      </c>
      <c r="W49" s="4" t="s">
        <v>1291</v>
      </c>
      <c r="Z49" s="4" t="s">
        <v>1291</v>
      </c>
      <c r="AC49" s="4" t="s">
        <v>1291</v>
      </c>
      <c r="AG49" s="8"/>
    </row>
    <row r="50" spans="2:34" s="2" customFormat="1" ht="20.05" customHeight="1" x14ac:dyDescent="0.35">
      <c r="Q50" s="7"/>
      <c r="R50" s="7"/>
      <c r="AG50" s="8"/>
    </row>
    <row r="51" spans="2:34" s="2" customFormat="1" ht="20.05" customHeight="1" x14ac:dyDescent="0.35">
      <c r="B51" s="573" t="s">
        <v>252</v>
      </c>
      <c r="C51" s="574"/>
      <c r="E51" s="377" t="s">
        <v>1332</v>
      </c>
      <c r="F51" s="378"/>
      <c r="H51" s="377" t="s">
        <v>1333</v>
      </c>
      <c r="I51" s="378"/>
      <c r="K51" s="377" t="s">
        <v>1334</v>
      </c>
      <c r="L51" s="378"/>
      <c r="N51" s="377" t="s">
        <v>1335</v>
      </c>
      <c r="O51" s="378"/>
      <c r="Q51" s="377" t="s">
        <v>1336</v>
      </c>
      <c r="R51" s="378"/>
      <c r="T51" s="377" t="s">
        <v>1337</v>
      </c>
      <c r="U51" s="378"/>
      <c r="W51" s="377" t="s">
        <v>1338</v>
      </c>
      <c r="X51" s="378"/>
      <c r="Z51" s="377" t="s">
        <v>1339</v>
      </c>
      <c r="AA51" s="378"/>
      <c r="AC51" s="377" t="s">
        <v>1340</v>
      </c>
      <c r="AD51" s="378"/>
      <c r="AG51" s="8"/>
    </row>
    <row r="52" spans="2:34" s="2" customFormat="1" ht="20.05" customHeight="1" x14ac:dyDescent="0.35">
      <c r="B52" s="11" t="s">
        <v>261</v>
      </c>
      <c r="C52" s="12" t="s">
        <v>1268</v>
      </c>
      <c r="E52" s="36" t="s">
        <v>261</v>
      </c>
      <c r="F52" s="37" t="s">
        <v>1269</v>
      </c>
      <c r="H52" s="36" t="s">
        <v>261</v>
      </c>
      <c r="I52" s="37" t="s">
        <v>1269</v>
      </c>
      <c r="K52" s="36" t="s">
        <v>261</v>
      </c>
      <c r="L52" s="37" t="s">
        <v>1269</v>
      </c>
      <c r="N52" s="36" t="s">
        <v>261</v>
      </c>
      <c r="O52" s="37" t="s">
        <v>1269</v>
      </c>
      <c r="Q52" s="36" t="s">
        <v>261</v>
      </c>
      <c r="R52" s="37" t="s">
        <v>1269</v>
      </c>
      <c r="T52" s="36" t="s">
        <v>261</v>
      </c>
      <c r="U52" s="37" t="s">
        <v>1269</v>
      </c>
      <c r="W52" s="36" t="s">
        <v>261</v>
      </c>
      <c r="X52" s="37" t="s">
        <v>1269</v>
      </c>
      <c r="Z52" s="36" t="s">
        <v>261</v>
      </c>
      <c r="AA52" s="37" t="s">
        <v>1269</v>
      </c>
      <c r="AC52" s="36" t="s">
        <v>261</v>
      </c>
      <c r="AD52" s="37" t="s">
        <v>1269</v>
      </c>
      <c r="AG52" s="8"/>
    </row>
    <row r="53" spans="2:34" s="2" customFormat="1" ht="20.05" customHeight="1" x14ac:dyDescent="0.35">
      <c r="B53" s="337" t="s">
        <v>784</v>
      </c>
      <c r="C53" s="337" t="str">
        <f>sizing_m01_nsxt_appliance_size</f>
        <v>Medium</v>
      </c>
      <c r="E53" s="22" t="s">
        <v>1272</v>
      </c>
      <c r="F53" s="337" t="str">
        <f>IF(mgmt_az1_mgmt_vm_cidr="Value Missing",mgmt_az1_mgmt_vm_cidr,VLOOKUP(INT(RIGHT(mgmt_az1_mgmt_vm_cidr,LEN(mgmt_az1_mgmt_vm_cidr)-FIND("/",mgmt_az1_mgmt_vm_cidr))),table_cidr_to_mask,2,FALSE))</f>
        <v>Value Missing</v>
      </c>
      <c r="H53" s="22" t="s">
        <v>1272</v>
      </c>
      <c r="I53" s="356" t="str">
        <f>IF(ISBLANK(input_wld_az1_mgmt_vm_cidr),"Value Missing",VLOOKUP(INT(RIGHT(input_wld_az1_mgmt_vm_cidr,LEN(input_wld_az1_mgmt_vm_cidr)-FIND("/",input_wld_az1_mgmt_vm_cidr))),table_cidr_to_mask,2,FALSE))</f>
        <v>Value Missing</v>
      </c>
      <c r="K53" s="22" t="s">
        <v>1272</v>
      </c>
      <c r="L53" s="356"/>
      <c r="N53" s="22" t="s">
        <v>1272</v>
      </c>
      <c r="O53" s="356"/>
      <c r="Q53" s="22" t="s">
        <v>1272</v>
      </c>
      <c r="R53" s="356"/>
      <c r="T53" s="22" t="s">
        <v>1272</v>
      </c>
      <c r="U53" s="356"/>
      <c r="W53" s="22" t="s">
        <v>1272</v>
      </c>
      <c r="X53" s="356"/>
      <c r="Z53" s="22" t="s">
        <v>1272</v>
      </c>
      <c r="AA53" s="356"/>
      <c r="AC53" s="22" t="s">
        <v>1272</v>
      </c>
      <c r="AD53" s="356"/>
      <c r="AG53" s="8"/>
    </row>
    <row r="54" spans="2:34" s="2" customFormat="1" ht="20.05" customHeight="1" x14ac:dyDescent="0.35">
      <c r="B54" s="337" t="s">
        <v>785</v>
      </c>
      <c r="C54" s="337" t="str">
        <f>IF(ISBLANK(mgmt_nsxt_mgra_fqdn),"Value Missing",mgmt_nsxt_mgra_fqdn)</f>
        <v>Value Missing</v>
      </c>
      <c r="E54" s="22" t="s">
        <v>1274</v>
      </c>
      <c r="F54" s="337" t="str">
        <f>IF(mgmt_az1_mgmt_cidr="Value Missing",mgmt_az1_mgmt_cidr,VLOOKUP(INT(RIGHT(mgmt_az1_mgmt_cidr,LEN(mgmt_az1_mgmt_cidr)-FIND("/",mgmt_az1_mgmt_cidr))),table_cidr_to_mask,2,FALSE))</f>
        <v>Value Missing</v>
      </c>
      <c r="H54" s="22" t="s">
        <v>1274</v>
      </c>
      <c r="I54" s="337" t="str">
        <f>IF(wld_az1_mgmt_cidr="Value Missing","Value Missing",IF(ISBLANK(wld_az1_mgmt_cidr),"Value Missing",VLOOKUP(INT(RIGHT(wld_az1_mgmt_cidr,LEN(wld_az1_mgmt_cidr)-FIND("/",wld_az1_mgmt_cidr))),table_cidr_to_mask,2,FALSE)))</f>
        <v>Value Missing</v>
      </c>
      <c r="K54" s="22" t="s">
        <v>1274</v>
      </c>
      <c r="L54" s="337" t="str">
        <f>IF(wld_az1_rack2_mgmt_cidr="Value Missing","Value Missing",IF(ISBLANK(wld_az1_rack2_mgmt_cidr),"Value Missing",VLOOKUP(INT(RIGHT(wld_az1_rack2_mgmt_cidr,LEN(wld_az1_rack2_mgmt_cidr)-FIND("/",wld_az1_rack2_mgmt_cidr))),table_cidr_to_mask,2,FALSE)))</f>
        <v>Value Missing</v>
      </c>
      <c r="N54" s="22" t="s">
        <v>1274</v>
      </c>
      <c r="O54" s="337" t="str">
        <f>IF(wld_az1_rack3_mgmt_cidr="Value Missing","Value Missing",IF(ISBLANK(wld_az1_rack3_mgmt_cidr),"Value Missing",VLOOKUP(INT(RIGHT(wld_az1_rack3_mgmt_cidr,LEN(wld_az1_rack3_mgmt_cidr)-FIND("/",wld_az1_rack3_mgmt_cidr))),table_cidr_to_mask,2,FALSE)))</f>
        <v>Value Missing</v>
      </c>
      <c r="Q54" s="22" t="s">
        <v>1274</v>
      </c>
      <c r="R54" s="337" t="str">
        <f>IF(wld_az1_rack4_mgmt_cidr="Value Missing","Value Missing",IF(ISBLANK(wld_az1_rack4_mgmt_cidr),"Value Missing",VLOOKUP(INT(RIGHT(wld_az1_rack4_mgmt_cidr,LEN(wld_az1_rack4_mgmt_cidr)-FIND("/",wld_az1_rack4_mgmt_cidr))),table_cidr_to_mask,2,FALSE)))</f>
        <v>Value Missing</v>
      </c>
      <c r="T54" s="22" t="s">
        <v>1274</v>
      </c>
      <c r="U54" s="337" t="str">
        <f>IF(wld_az1_rack5_mgmt_cidr="Value Missing","Value Missing",IF(ISBLANK(wld_az1_rack5_mgmt_cidr),"Value Missing",VLOOKUP(INT(RIGHT(wld_az1_rack5_mgmt_cidr,LEN(wld_az1_rack5_mgmt_cidr)-FIND("/",wld_az1_rack5_mgmt_cidr))),table_cidr_to_mask,2,FALSE)))</f>
        <v>Value Missing</v>
      </c>
      <c r="W54" s="22" t="s">
        <v>1274</v>
      </c>
      <c r="X54" s="337" t="str">
        <f>IF(wld_az1_rack6_mgmt_cidr="Value Missing","Value Missing",IF(ISBLANK(wld_az1_rack6_mgmt_cidr),"Value Missing",VLOOKUP(INT(RIGHT(wld_az1_rack6_mgmt_cidr,LEN(wld_az1_rack6_mgmt_cidr)-FIND("/",wld_az1_rack6_mgmt_cidr))),table_cidr_to_mask,2,FALSE)))</f>
        <v>Value Missing</v>
      </c>
      <c r="Z54" s="22" t="s">
        <v>1274</v>
      </c>
      <c r="AA54" s="337" t="str">
        <f>IF(wld_az1_rack7_mgmt_cidr="Value Missing","Value Missing",IF(ISBLANK(wld_az1_rack7_mgmt_cidr),"Value Missing",VLOOKUP(INT(RIGHT(wld_az1_rack7_mgmt_cidr,LEN(wld_az1_rack7_mgmt_cidr)-FIND("/",wld_az1_rack7_mgmt_cidr))),table_cidr_to_mask,2,FALSE)))</f>
        <v>Value Missing</v>
      </c>
      <c r="AC54" s="22" t="s">
        <v>1274</v>
      </c>
      <c r="AD54" s="337" t="str">
        <f>IF(wld_az1_rack8_mgmt_cidr="Value Missing","Value Missing",IF(ISBLANK(wld_az1_rack8_mgmt_cidr),"Value Missing",VLOOKUP(INT(RIGHT(wld_az1_rack8_mgmt_cidr,LEN(wld_az1_rack8_mgmt_cidr)-FIND("/",wld_az1_rack8_mgmt_cidr))),table_cidr_to_mask,2,FALSE)))</f>
        <v>Value Missing</v>
      </c>
      <c r="AG54" s="8"/>
    </row>
    <row r="55" spans="2:34" s="2" customFormat="1" ht="20.05" customHeight="1" x14ac:dyDescent="0.35">
      <c r="B55" s="337" t="s">
        <v>1341</v>
      </c>
      <c r="C55" s="337" t="str">
        <f>IF(ISBLANK(mgmt_nsxt_mgrb_fqdn),"Value Missing",mgmt_nsxt_mgrb_fqdn)</f>
        <v>Value Missing</v>
      </c>
      <c r="E55" s="22" t="s">
        <v>251</v>
      </c>
      <c r="F55" s="337" t="str">
        <f>IF(mgmt_az1_vmotion_cidr="Value Missing",mgmt_az1_vmotion_cidr,VLOOKUP(INT(RIGHT(mgmt_az1_vmotion_cidr,LEN(mgmt_az1_vmotion_cidr)-FIND("/",mgmt_az1_vmotion_cidr))),table_cidr_to_mask,2,FALSE))</f>
        <v>Value Missing</v>
      </c>
      <c r="H55" s="22" t="s">
        <v>251</v>
      </c>
      <c r="I55" s="337" t="str">
        <f>IF(ISBLANK(input_wld_az1_vmotion_mask),"Value Missing",input_wld_az1_vmotion_mask)</f>
        <v>Value Missing</v>
      </c>
      <c r="K55" s="22" t="s">
        <v>251</v>
      </c>
      <c r="L55" s="337" t="str">
        <f>IF(ISBLANK(input_wld_az1_rack2_vmotion_mask),"Value Missing",input_wld_az1_rack2_vmotion_mask)</f>
        <v>Value Missing</v>
      </c>
      <c r="N55" s="22" t="s">
        <v>251</v>
      </c>
      <c r="O55" s="337" t="str">
        <f>IF(ISBLANK(input_wld_az1_rack3_vmotion_mask),"Value Missing",input_wld_az1_rack3_vmotion_mask)</f>
        <v>Value Missing</v>
      </c>
      <c r="Q55" s="22" t="s">
        <v>251</v>
      </c>
      <c r="R55" s="337" t="str">
        <f>IF(ISBLANK(input_wld_az1_rack4_vmotion_mask),"Value Missing",input_wld_az1_rack4_vmotion_mask)</f>
        <v>Value Missing</v>
      </c>
      <c r="T55" s="22" t="s">
        <v>251</v>
      </c>
      <c r="U55" s="337" t="str">
        <f>IF(ISBLANK(input_wld_az1_rack5_vmotion_mask),"Value Missing",input_wld_az1_rack5_vmotion_mask)</f>
        <v>Value Missing</v>
      </c>
      <c r="W55" s="22" t="s">
        <v>251</v>
      </c>
      <c r="X55" s="337" t="str">
        <f>IF(ISBLANK(input_wld_az1_rack6_vmotion_mask),"Value Missing",input_wld_az1_rack6_vmotion_mask)</f>
        <v>Value Missing</v>
      </c>
      <c r="Z55" s="22" t="s">
        <v>251</v>
      </c>
      <c r="AA55" s="337" t="str">
        <f>IF(ISBLANK(input_wld_az1_rack7_vmotion_mask),"Value Missing",input_wld_az1_rack7_vmotion_mask)</f>
        <v>Value Missing</v>
      </c>
      <c r="AC55" s="22" t="s">
        <v>251</v>
      </c>
      <c r="AD55" s="337" t="str">
        <f>IF(ISBLANK(input_wld_az1_rack8_vmotion_mask),"Value Missing",input_wld_az1_rack8_vmotion_mask)</f>
        <v>Value Missing</v>
      </c>
      <c r="AG55" s="8"/>
    </row>
    <row r="56" spans="2:34" s="2" customFormat="1" ht="20.05" customHeight="1" x14ac:dyDescent="0.35">
      <c r="B56" s="337" t="s">
        <v>1342</v>
      </c>
      <c r="C56" s="337" t="str">
        <f>IF(ISBLANK(mgmt_nsxt_mgrc_fqdn),"Value Missing",mgmt_nsxt_mgrc_fqdn)</f>
        <v>Value Missing</v>
      </c>
      <c r="E56" s="22" t="s">
        <v>1343</v>
      </c>
      <c r="F56" s="337" t="str">
        <f>IF(mgmt_az1_vsan_cidr="Value Missing",mgmt_az1_vsan_cidr,VLOOKUP(INT(RIGHT(mgmt_az1_vsan_cidr,LEN(mgmt_az1_vsan_cidr)-FIND("/",mgmt_az1_vsan_cidr))),table_cidr_to_mask,2,FALSE))</f>
        <v>Value Missing</v>
      </c>
      <c r="H56" s="22" t="s">
        <v>1343</v>
      </c>
      <c r="I56" s="337" t="str">
        <f>IF(ISBLANK(input_wld_az1_principal_storage_mask),"Value Missing",input_wld_az1_principal_storage_mask)</f>
        <v>Value Missing</v>
      </c>
      <c r="K56" s="22" t="s">
        <v>1343</v>
      </c>
      <c r="L56" s="337" t="str">
        <f>IF(ISBLANK(input_wld_az1_rack2_principal_storage_mask),"Value Missing",input_wld_az1_rack2_principal_storage_mask)</f>
        <v>Value Missing</v>
      </c>
      <c r="N56" s="22" t="s">
        <v>1343</v>
      </c>
      <c r="O56" s="337" t="str">
        <f>IF(ISBLANK(input_wld_az1_rack3_principal_storage_mask),"Value Missing",input_wld_az1_rack3_principal_storage_mask)</f>
        <v>Value Missing</v>
      </c>
      <c r="Q56" s="22" t="s">
        <v>1343</v>
      </c>
      <c r="R56" s="337" t="str">
        <f>IF(ISBLANK(input_wld_az1_rack4_principal_storage_mask),"Value Missing",input_wld_az1_rack4_principal_storage_mask)</f>
        <v>Value Missing</v>
      </c>
      <c r="T56" s="22" t="s">
        <v>1343</v>
      </c>
      <c r="U56" s="337" t="str">
        <f>IF(ISBLANK(input_wld_az1_rack5_principal_storage_mask),"Value Missing",input_wld_az1_rack5_principal_storage_mask)</f>
        <v>Value Missing</v>
      </c>
      <c r="W56" s="22" t="s">
        <v>1343</v>
      </c>
      <c r="X56" s="337" t="str">
        <f>IF(ISBLANK(input_wld_az1_rack6_principal_storage_mask),"Value Missing",input_wld_az1_rack6_principal_storage_mask)</f>
        <v>Value Missing</v>
      </c>
      <c r="Z56" s="22" t="s">
        <v>1343</v>
      </c>
      <c r="AA56" s="337" t="str">
        <f>IF(ISBLANK(input_wld_az1_rack7_principal_storage_mask),"Value Missing",input_wld_az1_rack7_principal_storage_mask)</f>
        <v>Value Missing</v>
      </c>
      <c r="AC56" s="22" t="s">
        <v>1343</v>
      </c>
      <c r="AD56" s="337" t="str">
        <f>IF(ISBLANK(input_wld_az1_rack8_principal_storage_mask),"Value Missing",input_wld_az1_rack8_principal_storage_mask)</f>
        <v>Value Missing</v>
      </c>
      <c r="AG56" s="8"/>
    </row>
    <row r="57" spans="2:34" s="2" customFormat="1" ht="20.05" customHeight="1" x14ac:dyDescent="0.35">
      <c r="B57" s="337" t="s">
        <v>791</v>
      </c>
      <c r="C57" s="337" t="str">
        <f>IF(ISBLANK(mgmt_nsxt_vip_fqdn),"Value Missing",mgmt_nsxt_vip_fqdn)</f>
        <v>Value Missing</v>
      </c>
      <c r="E57" s="22" t="s">
        <v>1278</v>
      </c>
      <c r="F57" s="337" t="str">
        <f>IF(mgmt_az1_host_overlay_cidr="Value Missing",mgmt_az1_host_overlay_cidr,VLOOKUP(INT(RIGHT(mgmt_az1_host_overlay_cidr,LEN(mgmt_az1_host_overlay_cidr)-FIND("/",mgmt_az1_host_overlay_cidr))),table_cidr_to_mask,2,FALSE))</f>
        <v>Value Missing</v>
      </c>
      <c r="H57" s="22" t="s">
        <v>1278</v>
      </c>
      <c r="I57" s="337" t="str">
        <f>IF(wld_az1_host_overlay_cidr="Value Missing","Value Missing",VLOOKUP(INT(RIGHT(wld_az1_host_overlay_cidr,LEN(wld_az1_host_overlay_cidr)-FIND("/",wld_az1_host_overlay_cidr))),table_cidr_to_mask,2,FALSE))</f>
        <v>Value Missing</v>
      </c>
      <c r="K57" s="22" t="s">
        <v>1278</v>
      </c>
      <c r="L57" s="337" t="str">
        <f>IF(ISBLANK(input_wld_az1_rack2_host_overlay_mask),"Value Missing",input_wld_az1_rack2_host_overlay_mask)</f>
        <v>Value Missing</v>
      </c>
      <c r="N57" s="22" t="s">
        <v>1278</v>
      </c>
      <c r="O57" s="337" t="str">
        <f>IF(ISBLANK(input_wld_az1_rack3_host_overlay_mask),"Value Missing",input_wld_az1_rack3_host_overlay_mask)</f>
        <v>Value Missing</v>
      </c>
      <c r="Q57" s="22" t="s">
        <v>1278</v>
      </c>
      <c r="R57" s="337" t="str">
        <f>IF(ISBLANK(input_wld_az1_rack4_host_overlay_mask),"Value Missing",input_wld_az1_rack4_host_overlay_mask)</f>
        <v>Value Missing</v>
      </c>
      <c r="T57" s="22" t="s">
        <v>1278</v>
      </c>
      <c r="U57" s="337" t="str">
        <f>IF(ISBLANK(input_wld_az1_rack5_host_overlay_mask),"Value Missing",input_wld_az1_rack5_host_overlay_mask)</f>
        <v>Value Missing</v>
      </c>
      <c r="W57" s="22" t="s">
        <v>1278</v>
      </c>
      <c r="X57" s="337" t="str">
        <f>IF(ISBLANK(input_wld_az1_rack6_host_overlay_mask),"Value Missing",input_wld_az1_rack6_host_overlay_mask)</f>
        <v>Value Missing</v>
      </c>
      <c r="Z57" s="22" t="s">
        <v>1278</v>
      </c>
      <c r="AA57" s="337" t="str">
        <f>IF(ISBLANK(input_wld_az1_rack7_host_overlay_mask),"Value Missing",input_wld_az1_rack7_host_overlay_mask)</f>
        <v>Value Missing</v>
      </c>
      <c r="AC57" s="22" t="s">
        <v>1278</v>
      </c>
      <c r="AD57" s="337" t="str">
        <f>IF(ISBLANK(input_wld_az1_rack8_host_overlay_mask),"Value Missing",input_wld_az1_rack8_host_overlay_mask)</f>
        <v>Value Missing</v>
      </c>
      <c r="AG57" s="8"/>
    </row>
    <row r="58" spans="2:34" s="2" customFormat="1" ht="20.05" customHeight="1" x14ac:dyDescent="0.35">
      <c r="E58" s="22"/>
      <c r="F58" s="337"/>
      <c r="H58" s="22" t="s">
        <v>1280</v>
      </c>
      <c r="I58" s="337" t="str">
        <f>IF(ISBLANK(input_wld_az1_secondary_storage_mask),"Value Missing",input_wld_az1_secondary_storage_mask)</f>
        <v>Value Missing</v>
      </c>
      <c r="K58" s="22" t="s">
        <v>1280</v>
      </c>
      <c r="L58" s="337" t="str">
        <f>IF(ISBLANK(input_wld_az1_rack2_secondary_storage_mask),"Value Missing",input_wld_az1_rack2_secondary_storage_mask)</f>
        <v>Value Missing</v>
      </c>
      <c r="N58" s="22" t="s">
        <v>1280</v>
      </c>
      <c r="O58" s="337" t="str">
        <f>IF(ISBLANK(input_wld_az1_rack3_secondary_storage_mask),"Value Missing",input_wld_az1_rack3_secondary_storage_mask)</f>
        <v>Value Missing</v>
      </c>
      <c r="Q58" s="22" t="s">
        <v>1280</v>
      </c>
      <c r="R58" s="337" t="str">
        <f>IF(ISBLANK(input_wld_az1_rack4_secondary_storage_mask),"Value Missing",input_wld_az1_rack4_secondary_storage_mask)</f>
        <v>Value Missing</v>
      </c>
      <c r="T58" s="22" t="s">
        <v>1280</v>
      </c>
      <c r="U58" s="337" t="str">
        <f>IF(ISBLANK(input_wld_az1_rack5_secondary_storage_mask),"Value Missing",input_wld_az1_rack5_secondary_storage_mask)</f>
        <v>Value Missing</v>
      </c>
      <c r="W58" s="22" t="s">
        <v>1280</v>
      </c>
      <c r="X58" s="337" t="str">
        <f>IF(ISBLANK(input_wld_az1_rack6_secondary_storage_mask),"Value Missing",input_wld_az1_rack6_secondary_storage_mask)</f>
        <v>Value Missing</v>
      </c>
      <c r="Z58" s="22" t="s">
        <v>1280</v>
      </c>
      <c r="AA58" s="337" t="str">
        <f>IF(ISBLANK(input_wld_az1_rack7_secondary_storage_mask),"Value Missing",input_wld_az1_rack7_secondary_storage_mask)</f>
        <v>Value Missing</v>
      </c>
      <c r="AC58" s="22" t="s">
        <v>1280</v>
      </c>
      <c r="AD58" s="337" t="str">
        <f>IF(ISBLANK(input_wld_az1_rack8_secondary_storage_mask),"Value Missing",input_wld_az1_rack8_secondary_storage_mask)</f>
        <v>Value Missing</v>
      </c>
      <c r="AG58" s="8"/>
    </row>
    <row r="59" spans="2:34" s="2" customFormat="1" ht="20.05" customHeight="1" x14ac:dyDescent="0.35">
      <c r="B59" s="573" t="s">
        <v>1344</v>
      </c>
      <c r="C59" s="574"/>
      <c r="E59" s="38" t="s">
        <v>1280</v>
      </c>
      <c r="F59" s="337" t="str">
        <f>IF(mgmt_az1_secondary_storage_cidr="Value Missing",mgmt_az1_secondary_storage_cidr,VLOOKUP(INT(RIGHT(mgmt_az1_secondary_storage_cidr,LEN(mgmt_az1_secondary_storage_cidr)-FIND("/",mgmt_az1_secondary_storage_cidr))),table_cidr_to_mask,2,FALSE))</f>
        <v>Value Missing</v>
      </c>
      <c r="H59" s="22" t="s">
        <v>805</v>
      </c>
      <c r="I59" s="337" t="str">
        <f>IF(ISBLANK(input_wld_az1_storage_cluster_mask),"Value Missing",input_wld_az1_storage_cluster_mask)</f>
        <v>Value Missing</v>
      </c>
      <c r="K59" s="22" t="s">
        <v>805</v>
      </c>
      <c r="L59" s="337"/>
      <c r="N59" s="22" t="s">
        <v>805</v>
      </c>
      <c r="O59" s="337"/>
      <c r="Q59" s="22" t="s">
        <v>805</v>
      </c>
      <c r="R59" s="337"/>
      <c r="T59" s="22" t="s">
        <v>805</v>
      </c>
      <c r="U59" s="337"/>
      <c r="W59" s="22" t="s">
        <v>805</v>
      </c>
      <c r="X59" s="337"/>
      <c r="Z59" s="22" t="s">
        <v>805</v>
      </c>
      <c r="AA59" s="337"/>
      <c r="AC59" s="22" t="s">
        <v>805</v>
      </c>
      <c r="AD59" s="337"/>
      <c r="AG59" s="8"/>
    </row>
    <row r="60" spans="2:34" s="2" customFormat="1" ht="20.05" customHeight="1" x14ac:dyDescent="0.35">
      <c r="B60" s="11" t="s">
        <v>261</v>
      </c>
      <c r="C60" s="12" t="s">
        <v>1268</v>
      </c>
      <c r="E60" s="22" t="s">
        <v>1283</v>
      </c>
      <c r="F60" s="337" t="str">
        <f>IF(mgmt_az1_uplink01_cidr="Value Missing",mgmt_az1_uplink01_cidr,VLOOKUP(INT(RIGHT(mgmt_az1_uplink01_cidr,LEN(mgmt_az1_uplink01_cidr)-FIND("/",mgmt_az1_uplink01_cidr))),table_cidr_to_mask,2,FALSE))</f>
        <v>Value Missing</v>
      </c>
      <c r="H60" s="22" t="s">
        <v>1283</v>
      </c>
      <c r="I60" s="337" t="str">
        <f>IF(wld_az1_uplink01_cidr="Value Missing",wld_az1_uplink01_cidr,VLOOKUP(INT(RIGHT(wld_az1_uplink01_cidr,LEN(wld_az1_uplink01_cidr)-FIND("/",wld_az1_uplink01_cidr))),table_cidr_to_mask,2,FALSE))</f>
        <v>Value Missing</v>
      </c>
      <c r="K60" s="22" t="s">
        <v>1283</v>
      </c>
      <c r="L60" s="337" t="str">
        <f>IF(ISBLANK(input_wld_az1_rack2_uplink01_mask),"Value Missing",input_wld_az1_rack2_uplink01_mask)</f>
        <v>Value Missing</v>
      </c>
      <c r="N60" s="22" t="s">
        <v>1283</v>
      </c>
      <c r="O60" s="337" t="str">
        <f>IF(ISBLANK(input_wld_az1_rack3_uplink01_mask),"Value Missing",input_wld_az1_rack3_uplink01_mask)</f>
        <v>Value Missing</v>
      </c>
      <c r="Q60" s="22" t="s">
        <v>1283</v>
      </c>
      <c r="R60" s="337" t="str">
        <f>IF(ISBLANK(input_wld_az1_rack4_uplink01_mask),"Value Missing",input_wld_az1_rack4_uplink01_mask)</f>
        <v>Value Missing</v>
      </c>
      <c r="T60" s="22" t="s">
        <v>1283</v>
      </c>
      <c r="U60" s="337" t="str">
        <f>IF(ISBLANK(input_wld_az1_rack5_uplink01_mask),"Value Missing",input_wld_az1_rack5_uplink01_mask)</f>
        <v>Value Missing</v>
      </c>
      <c r="W60" s="22" t="s">
        <v>1283</v>
      </c>
      <c r="X60" s="337" t="str">
        <f>IF(ISBLANK(input_wld_az1_rack6_uplink01_mask),"Value Missing",input_wld_az1_rack6_uplink01_mask)</f>
        <v>Value Missing</v>
      </c>
      <c r="Z60" s="22" t="s">
        <v>1283</v>
      </c>
      <c r="AA60" s="337" t="str">
        <f>IF(ISBLANK(input_wld_az1_rack7_uplink01_mask),"Value Missing",input_wld_az1_rack7_uplink01_mask)</f>
        <v>Value Missing</v>
      </c>
      <c r="AC60" s="22" t="s">
        <v>1283</v>
      </c>
      <c r="AD60" s="337" t="str">
        <f>IF(ISBLANK(input_wld_az1_rack8_uplink01_mask),"Value Missing",input_wld_az1_rack8_uplink01_mask)</f>
        <v>Value Missing</v>
      </c>
      <c r="AG60" s="8"/>
    </row>
    <row r="61" spans="2:34" s="2" customFormat="1" ht="20.05" customHeight="1" x14ac:dyDescent="0.35">
      <c r="B61" s="337" t="s">
        <v>1345</v>
      </c>
      <c r="C61" s="337" t="str">
        <f>'Value Reference Tables'!R89</f>
        <v>Value Missing</v>
      </c>
      <c r="E61" s="22" t="s">
        <v>1285</v>
      </c>
      <c r="F61" s="337" t="str">
        <f>IF(mgmt_az1_uplink02_cidr="Value Missing",mgmt_az1_uplink02_cidr,VLOOKUP(INT(RIGHT(mgmt_az1_uplink02_cidr,LEN(mgmt_az1_uplink02_cidr)-FIND("/",mgmt_az1_uplink02_cidr))),table_cidr_to_mask,2,FALSE))</f>
        <v>Value Missing</v>
      </c>
      <c r="H61" s="22" t="s">
        <v>1285</v>
      </c>
      <c r="I61" s="337" t="str">
        <f>IF(wld_az1_uplink02_cidr="Value Missing",wld_az1_uplink02_cidr,VLOOKUP(INT(RIGHT(wld_az1_uplink02_cidr,LEN(wld_az1_uplink02_cidr)-FIND("/",wld_az1_uplink02_cidr))),table_cidr_to_mask,2,FALSE))</f>
        <v>Value Missing</v>
      </c>
      <c r="K61" s="22" t="s">
        <v>1285</v>
      </c>
      <c r="L61" s="337" t="str">
        <f>IF(ISBLANK(input_wld_az1_rack2_uplink02_mask),"Value Missing",input_wld_az1_rack2_uplink02_mask)</f>
        <v>Value Missing</v>
      </c>
      <c r="N61" s="22" t="s">
        <v>1285</v>
      </c>
      <c r="O61" s="337" t="str">
        <f>IF(ISBLANK(input_wld_az1_rack3_uplink02_mask),"Value Missing",input_wld_az1_rack3_uplink02_mask)</f>
        <v>Value Missing</v>
      </c>
      <c r="Q61" s="22" t="s">
        <v>1285</v>
      </c>
      <c r="R61" s="337" t="str">
        <f>IF(ISBLANK(input_wld_az1_rack4_uplink02_mask),"Value Missing",input_wld_az1_rack4_uplink02_mask)</f>
        <v>Value Missing</v>
      </c>
      <c r="T61" s="22" t="s">
        <v>1285</v>
      </c>
      <c r="U61" s="337" t="str">
        <f>IF(ISBLANK(input_wld_az1_rack5_uplink02_mask),"Value Missing",input_wld_az1_rack5_uplink02_mask)</f>
        <v>Value Missing</v>
      </c>
      <c r="W61" s="22" t="s">
        <v>1285</v>
      </c>
      <c r="X61" s="337" t="str">
        <f>IF(ISBLANK(input_wld_az1_rack6_uplink02_mask),"Value Missing",input_wld_az1_rack6_uplink02_mask)</f>
        <v>Value Missing</v>
      </c>
      <c r="Z61" s="22" t="s">
        <v>1285</v>
      </c>
      <c r="AA61" s="337" t="str">
        <f>IF(ISBLANK(input_wld_az1_rack7_uplink02_mask),"Value Missing",input_wld_az1_rack7_uplink02_mask)</f>
        <v>Value Missing</v>
      </c>
      <c r="AC61" s="22" t="s">
        <v>1285</v>
      </c>
      <c r="AD61" s="337" t="str">
        <f>IF(ISBLANK(input_wld_az1_rack8_uplink02_mask),"Value Missing",input_wld_az1_rack8_uplink02_mask)</f>
        <v>Value Missing</v>
      </c>
      <c r="AG61" s="8"/>
    </row>
    <row r="62" spans="2:34" s="2" customFormat="1" ht="20.05" customHeight="1" x14ac:dyDescent="0.35">
      <c r="E62" s="22" t="s">
        <v>1287</v>
      </c>
      <c r="F62" s="337" t="str">
        <f>IF(ISBLANK(input_mgmt_az1_edge_overlay_mask),"Value Missing",input_mgmt_az1_edge_overlay_mask)</f>
        <v>Value Missing</v>
      </c>
      <c r="H62" s="22" t="s">
        <v>1287</v>
      </c>
      <c r="I62" s="337" t="str">
        <f>IF(ISBLANK(input_wld_az1_edge_overlay_mask),"Value Missing",input_wld_az1_edge_overlay_mask)</f>
        <v>Value Missing</v>
      </c>
      <c r="K62" s="22" t="s">
        <v>1287</v>
      </c>
      <c r="L62" s="337" t="str">
        <f>IF(ISBLANK(input_wld_az1_rack2_edge_overlay_mask),"Value Missing",input_wld_az1_rack2_edge_overlay_mask)</f>
        <v>Value Missing</v>
      </c>
      <c r="N62" s="22" t="s">
        <v>1287</v>
      </c>
      <c r="O62" s="337" t="str">
        <f>IF(ISBLANK(input_wld_az1_rack3_edge_overlay_mask),"Value Missing",input_wld_az1_rack3_edge_overlay_mask)</f>
        <v>Value Missing</v>
      </c>
      <c r="Q62" s="22" t="s">
        <v>1287</v>
      </c>
      <c r="R62" s="337" t="str">
        <f>IF(ISBLANK(input_wld_az1_rack4_edge_overlay_mask),"Value Missing",input_wld_az1_rack4_edge_overlay_mask)</f>
        <v>Value Missing</v>
      </c>
      <c r="T62" s="22" t="s">
        <v>1287</v>
      </c>
      <c r="U62" s="337" t="str">
        <f>IF(ISBLANK(input_wld_az1_rack5_edge_overlay_mask),"Value Missing",input_wld_az1_rack5_edge_overlay_mask)</f>
        <v>Value Missing</v>
      </c>
      <c r="W62" s="22" t="s">
        <v>1287</v>
      </c>
      <c r="X62" s="337" t="str">
        <f>IF(ISBLANK(input_wld_az1_rack6_edge_overlay_mask),"Value Missing",input_wld_az1_rack6_edge_overlay_mask)</f>
        <v>Value Missing</v>
      </c>
      <c r="Z62" s="22" t="s">
        <v>1287</v>
      </c>
      <c r="AA62" s="337" t="str">
        <f>IF(ISBLANK(input_wld_az1_rack7_edge_overlay_mask),"Value Missing",input_wld_az1_rack7_edge_overlay_mask)</f>
        <v>Value Missing</v>
      </c>
      <c r="AC62" s="22" t="s">
        <v>1287</v>
      </c>
      <c r="AD62" s="337" t="str">
        <f>IF(ISBLANK(input_wld_az1_rack8_edge_overlay_mask),"Value Missing",input_wld_az1_rack8_edge_overlay_mask)</f>
        <v>Value Missing</v>
      </c>
      <c r="AG62" s="8"/>
    </row>
    <row r="63" spans="2:34" s="2" customFormat="1" ht="20.05" customHeight="1" x14ac:dyDescent="0.35">
      <c r="E63" s="22" t="s">
        <v>1289</v>
      </c>
      <c r="F63" s="337" t="str">
        <f>IF(mgmt_az1_rtep_overlay_cidr="Value Missing",mgmt_az1_rtep_overlay_cidr,VLOOKUP(INT(RIGHT(mgmt_az1_rtep_overlay_cidr,LEN(mgmt_az1_rtep_overlay_cidr)-FIND("/",mgmt_az1_rtep_overlay_cidr))),table_cidr_to_mask,2,FALSE))</f>
        <v>Value Missing</v>
      </c>
      <c r="H63" s="22" t="s">
        <v>1289</v>
      </c>
      <c r="I63" s="337" t="str">
        <f>IF(wld_az1_rtep_overlay_cidr="Value Missing",wld_az1_rtep_overlay_cidr,VLOOKUP(INT(RIGHT(wld_az1_rtep_overlay_cidr,LEN(wld_az1_rtep_overlay_cidr)-FIND("/",wld_az1_rtep_overlay_cidr))),table_cidr_to_mask,2,FALSE))</f>
        <v>Value Missing</v>
      </c>
      <c r="K63" s="22" t="s">
        <v>1289</v>
      </c>
      <c r="L63" s="337"/>
      <c r="N63" s="22" t="s">
        <v>1289</v>
      </c>
      <c r="O63" s="337"/>
      <c r="Q63" s="22" t="s">
        <v>1289</v>
      </c>
      <c r="R63" s="337"/>
      <c r="T63" s="22" t="s">
        <v>1289</v>
      </c>
      <c r="U63" s="337"/>
      <c r="W63" s="22" t="s">
        <v>1289</v>
      </c>
      <c r="X63" s="337"/>
      <c r="Z63" s="22" t="s">
        <v>1289</v>
      </c>
      <c r="AA63" s="337"/>
      <c r="AC63" s="22" t="s">
        <v>1289</v>
      </c>
      <c r="AD63" s="337"/>
      <c r="AG63" s="8"/>
    </row>
    <row r="64" spans="2:34" s="2" customFormat="1" ht="20.05" customHeight="1" x14ac:dyDescent="0.35">
      <c r="E64" s="22" t="s">
        <v>1291</v>
      </c>
      <c r="F64" s="337"/>
      <c r="H64" s="22" t="s">
        <v>1291</v>
      </c>
      <c r="I64" s="337" t="str">
        <f>IF(wld_az1_vrms_cidr="Value Missing",wld_az1_vrms_cidr,VLOOKUP(INT(RIGHT(wld_az1_vrms_cidr,LEN(wld_az1_vrms_cidr)-FIND("/",wld_az1_vrms_cidr))),table_cidr_to_mask,2,FALSE))</f>
        <v>Value Missing</v>
      </c>
      <c r="K64" s="22" t="s">
        <v>1291</v>
      </c>
      <c r="L64" s="337"/>
      <c r="N64" s="22" t="s">
        <v>1291</v>
      </c>
      <c r="O64" s="337"/>
      <c r="Q64" s="22" t="s">
        <v>1291</v>
      </c>
      <c r="R64" s="337"/>
      <c r="T64" s="22" t="s">
        <v>1291</v>
      </c>
      <c r="U64" s="337"/>
      <c r="W64" s="22" t="s">
        <v>1291</v>
      </c>
      <c r="X64" s="337"/>
      <c r="Z64" s="22" t="s">
        <v>1291</v>
      </c>
      <c r="AA64" s="337"/>
      <c r="AC64" s="22" t="s">
        <v>1291</v>
      </c>
      <c r="AD64" s="337"/>
      <c r="AG64" s="19"/>
      <c r="AH64" s="7"/>
    </row>
    <row r="65" spans="5:34" s="2" customFormat="1" ht="20.05" customHeight="1" x14ac:dyDescent="0.35">
      <c r="H65" s="35"/>
      <c r="I65" s="35"/>
      <c r="AG65" s="8"/>
    </row>
    <row r="66" spans="5:34" s="2" customFormat="1" ht="20.05" customHeight="1" x14ac:dyDescent="0.35">
      <c r="AG66" s="8"/>
    </row>
    <row r="67" spans="5:34" s="2" customFormat="1" ht="20.05" customHeight="1" x14ac:dyDescent="0.35">
      <c r="E67" s="382" t="s">
        <v>1346</v>
      </c>
      <c r="F67" s="383"/>
      <c r="H67" s="382" t="s">
        <v>1347</v>
      </c>
      <c r="I67" s="383"/>
      <c r="K67" s="382" t="s">
        <v>1348</v>
      </c>
      <c r="L67" s="383"/>
      <c r="N67" s="382" t="s">
        <v>1349</v>
      </c>
      <c r="O67" s="383"/>
      <c r="Q67" s="379" t="s">
        <v>1350</v>
      </c>
      <c r="R67" s="381"/>
      <c r="T67" s="379" t="s">
        <v>1351</v>
      </c>
      <c r="U67" s="381"/>
      <c r="W67" s="379" t="s">
        <v>1352</v>
      </c>
      <c r="X67" s="381"/>
      <c r="Z67" s="379" t="s">
        <v>1353</v>
      </c>
      <c r="AA67" s="381"/>
      <c r="AC67" s="379" t="s">
        <v>1354</v>
      </c>
      <c r="AD67" s="381"/>
      <c r="AG67" s="8"/>
      <c r="AH67" s="8"/>
    </row>
    <row r="68" spans="5:34" s="2" customFormat="1" ht="20.05" customHeight="1" x14ac:dyDescent="0.35">
      <c r="E68" s="11" t="s">
        <v>261</v>
      </c>
      <c r="F68" s="12" t="s">
        <v>1269</v>
      </c>
      <c r="H68" s="11" t="s">
        <v>261</v>
      </c>
      <c r="I68" s="12" t="s">
        <v>1269</v>
      </c>
      <c r="K68" s="11" t="s">
        <v>261</v>
      </c>
      <c r="L68" s="12" t="s">
        <v>1269</v>
      </c>
      <c r="N68" s="11" t="s">
        <v>261</v>
      </c>
      <c r="O68" s="12" t="s">
        <v>1269</v>
      </c>
      <c r="Q68" s="13" t="s">
        <v>261</v>
      </c>
      <c r="R68" s="14" t="s">
        <v>1269</v>
      </c>
      <c r="S68" s="15"/>
      <c r="T68" s="13" t="s">
        <v>261</v>
      </c>
      <c r="U68" s="14" t="s">
        <v>1269</v>
      </c>
      <c r="V68" s="15"/>
      <c r="W68" s="13" t="s">
        <v>261</v>
      </c>
      <c r="X68" s="14" t="s">
        <v>1269</v>
      </c>
      <c r="Y68" s="15"/>
      <c r="Z68" s="13" t="s">
        <v>261</v>
      </c>
      <c r="AA68" s="14" t="s">
        <v>1269</v>
      </c>
      <c r="AB68" s="15"/>
      <c r="AC68" s="13" t="s">
        <v>261</v>
      </c>
      <c r="AD68" s="14" t="s">
        <v>1269</v>
      </c>
      <c r="AG68" s="8"/>
      <c r="AH68" s="8"/>
    </row>
    <row r="69" spans="5:34" s="2" customFormat="1" ht="20.05" customHeight="1" x14ac:dyDescent="0.35">
      <c r="E69" s="4" t="s">
        <v>1272</v>
      </c>
      <c r="F69" s="337" t="str">
        <f>IF(ISBLANK(input_mgmt_az1_mgmt_vm_mtu),"Value Missing",input_mgmt_az1_mgmt_vm_mtu)</f>
        <v>Value Missing</v>
      </c>
      <c r="H69" s="4" t="s">
        <v>1272</v>
      </c>
      <c r="I69" s="337" t="str">
        <f>IF(ISBLANK(input_wld_az1_mgmt_vm_mtu),"Value Missing",input_wld_az1_mgmt_vm_mtu)</f>
        <v>Value Missing</v>
      </c>
      <c r="K69" s="4" t="s">
        <v>1272</v>
      </c>
      <c r="L69" s="337" t="str">
        <f>IF(ISBLANK(input_wld_az1_rack2_mgmt_vm_mtu),"Value Missing",input_wld_az1_rack2_mgmt_vm_mtu)</f>
        <v>Value Missing</v>
      </c>
      <c r="N69" s="4" t="s">
        <v>1272</v>
      </c>
      <c r="O69" s="337" t="str">
        <f>IF(ISBLANK(input_wld_az1_rack3_mgmt_vm_mtu),"Value Missing",input_wld_az1_rack3_mgmt_vm_mtu)</f>
        <v>Value Missing</v>
      </c>
      <c r="Q69" s="4" t="s">
        <v>1272</v>
      </c>
      <c r="R69" s="337" t="str">
        <f>IF(ISBLANK(input_wld_az1_rack4_mgmt_vm_mtu),"Value Missing",input_wld_az1_rack4_mgmt_vm_mtu)</f>
        <v>Value Missing</v>
      </c>
      <c r="T69" s="4" t="s">
        <v>1272</v>
      </c>
      <c r="U69" s="337" t="str">
        <f>IF(ISBLANK(input_wld_az1_rack5_mgmt_vm_mtu),"Value Missing",input_wld_az1_rack5_mgmt_vm_mtu)</f>
        <v>Value Missing</v>
      </c>
      <c r="W69" s="4" t="s">
        <v>1272</v>
      </c>
      <c r="X69" s="337" t="str">
        <f>IF(ISBLANK(input_wld_az1_rack6_mgmt_vm_mtu),"Value Missing",input_wld_az1_rack6_mgmt_vm_mtu)</f>
        <v>Value Missing</v>
      </c>
      <c r="Z69" s="4" t="s">
        <v>1272</v>
      </c>
      <c r="AA69" s="337" t="str">
        <f>IF(ISBLANK(input_wld_az1_rack7_mgmt_vm_mtu),"Value Missing",input_wld_az1_rack7_mgmt_vm_mtu)</f>
        <v>Value Missing</v>
      </c>
      <c r="AC69" s="4" t="s">
        <v>1272</v>
      </c>
      <c r="AD69" s="337" t="str">
        <f>IF(ISBLANK(input_wld_az1_rack8_mgmt_vm_mtu),"Value Missing",input_wld_az1_rack8_mgmt_vm_mtu)</f>
        <v>Value Missing</v>
      </c>
      <c r="AG69" s="8"/>
      <c r="AH69" s="8"/>
    </row>
    <row r="70" spans="5:34" s="2" customFormat="1" ht="20.05" customHeight="1" x14ac:dyDescent="0.35">
      <c r="E70" s="4" t="s">
        <v>1274</v>
      </c>
      <c r="F70" s="337" t="str">
        <f>IF(ISBLANK(input_mgmt_az1_mgmt_mtu),"Value Missing",input_mgmt_az1_mgmt_mtu)</f>
        <v>Value Missing</v>
      </c>
      <c r="H70" s="4" t="s">
        <v>1274</v>
      </c>
      <c r="I70" s="337" t="str">
        <f>IF(ISBLANK(input_wld_az1_mgmt_mtu),"Value Missing",input_wld_az1_mgmt_mtu)</f>
        <v>Value Missing</v>
      </c>
      <c r="K70" s="4" t="s">
        <v>1274</v>
      </c>
      <c r="L70" s="337" t="str">
        <f>IF(ISBLANK(input_wld_az1_rack2_mgmt_mtu),"Value Missing",input_wld_az1_rack2_mgmt_mtu)</f>
        <v>Value Missing</v>
      </c>
      <c r="N70" s="4" t="s">
        <v>1274</v>
      </c>
      <c r="O70" s="337" t="str">
        <f>IF(ISBLANK(input_wld_az1_rack3_mgmt_mtu),"Value Missing",input_wld_az1_rack3_mgmt_mtu)</f>
        <v>Value Missing</v>
      </c>
      <c r="Q70" s="4" t="s">
        <v>1274</v>
      </c>
      <c r="R70" s="337" t="str">
        <f>IF(ISBLANK(input_wld_az1_rack4_mgmt_mtu),"Value Missing",input_wld_az1_rack4_mgmt_mtu)</f>
        <v>Value Missing</v>
      </c>
      <c r="T70" s="4" t="s">
        <v>1274</v>
      </c>
      <c r="U70" s="337" t="str">
        <f>IF(ISBLANK(input_wld_az1_rack5_mgmt_mtu),"Value Missing",input_wld_az1_rack5_mgmt_mtu)</f>
        <v>Value Missing</v>
      </c>
      <c r="W70" s="4" t="s">
        <v>1274</v>
      </c>
      <c r="X70" s="337" t="str">
        <f>IF(ISBLANK(input_wld_az1_rack6_mgmt_mtu),"Value Missing",input_wld_az1_rack6_mgmt_mtu)</f>
        <v>Value Missing</v>
      </c>
      <c r="Z70" s="4" t="s">
        <v>1274</v>
      </c>
      <c r="AA70" s="337" t="str">
        <f>IF(ISBLANK(input_wld_az1_rack7_mgmt_mtu),"Value Missing",input_wld_az1_rack7_mgmt_mtu)</f>
        <v>Value Missing</v>
      </c>
      <c r="AC70" s="4" t="s">
        <v>1274</v>
      </c>
      <c r="AD70" s="337" t="str">
        <f>IF(ISBLANK(input_wld_az1_rack8_mgmt_mtu),"Value Missing",input_wld_az1_rack8_mgmt_mtu)</f>
        <v>Value Missing</v>
      </c>
      <c r="AG70" s="8"/>
      <c r="AH70" s="8"/>
    </row>
    <row r="71" spans="5:34" s="2" customFormat="1" ht="20.05" customHeight="1" x14ac:dyDescent="0.35">
      <c r="E71" s="4" t="s">
        <v>251</v>
      </c>
      <c r="F71" s="337" t="str">
        <f>IF(ISBLANK(input_mgmt_az1_vmotion_mtu),"Value Missing",input_mgmt_az1_vmotion_mtu)</f>
        <v>Value Missing</v>
      </c>
      <c r="H71" s="4" t="s">
        <v>251</v>
      </c>
      <c r="I71" s="337" t="str">
        <f>IF(ISBLANK(input_wld_az1_vmotion_mtu),"Value Missing",input_wld_az1_vmotion_mtu)</f>
        <v>Value Missing</v>
      </c>
      <c r="K71" s="4" t="s">
        <v>251</v>
      </c>
      <c r="L71" s="337" t="str">
        <f>IF(ISBLANK(input_wld_az1_rack2_vmotion_mtu),"Value Missing",input_wld_az1_rack2_vmotion_mtu)</f>
        <v>Value Missing</v>
      </c>
      <c r="N71" s="4" t="s">
        <v>251</v>
      </c>
      <c r="O71" s="337" t="str">
        <f>IF(ISBLANK(input_wld_az1_rack3_vmotion_mtu),"Value Missing",input_wld_az1_rack3_vmotion_mtu)</f>
        <v>Value Missing</v>
      </c>
      <c r="Q71" s="4" t="s">
        <v>251</v>
      </c>
      <c r="R71" s="337" t="str">
        <f>IF(ISBLANK(input_wld_az1_rack4_vmotion_mtu),"Value Missing",input_wld_az1_rack4_vmotion_mtu)</f>
        <v>Value Missing</v>
      </c>
      <c r="T71" s="4" t="s">
        <v>251</v>
      </c>
      <c r="U71" s="337" t="str">
        <f>IF(ISBLANK(input_wld_az1_rack5_vmotion_mtu),"Value Missing",input_wld_az1_rack5_vmotion_mtu)</f>
        <v>Value Missing</v>
      </c>
      <c r="W71" s="4" t="s">
        <v>251</v>
      </c>
      <c r="X71" s="337" t="str">
        <f>IF(ISBLANK(input_wld_az1_rack6_vmotion_mtu),"Value Missing",input_wld_az1_rack6_vmotion_mtu)</f>
        <v>Value Missing</v>
      </c>
      <c r="Z71" s="4" t="s">
        <v>251</v>
      </c>
      <c r="AA71" s="337" t="str">
        <f>IF(ISBLANK(input_wld_az1_rack7_vmotion_mtu),"Value Missing",input_wld_az1_rack7_vmotion_mtu)</f>
        <v>Value Missing</v>
      </c>
      <c r="AC71" s="4" t="s">
        <v>251</v>
      </c>
      <c r="AD71" s="337" t="str">
        <f>IF(ISBLANK(input_wld_az1_rack8_vmotion_mtu),"Value Missing",input_wld_az1_rack8_vmotion_mtu)</f>
        <v>Value Missing</v>
      </c>
      <c r="AG71" s="8"/>
      <c r="AH71" s="8"/>
    </row>
    <row r="72" spans="5:34" s="2" customFormat="1" ht="20.05" customHeight="1" x14ac:dyDescent="0.35">
      <c r="E72" s="17" t="str">
        <f>CONCATENATE("Principal Storage Network ",wld_principal_storage_chosen)</f>
        <v>Principal Storage Network vSAN-ESA</v>
      </c>
      <c r="F72" s="337" t="str">
        <f>IF(ISBLANK(input_mgmt_az1_vsan_mtu),"Value Missing",input_mgmt_az1_vsan_mtu)</f>
        <v>Value Missing</v>
      </c>
      <c r="H72" s="17" t="s">
        <v>257</v>
      </c>
      <c r="I72" s="337" t="str">
        <f>IF(ISBLANK(input_wld_az1_principal_storage_mtu),"Value Missing",input_wld_az1_principal_storage_mtu)</f>
        <v>Value Missing</v>
      </c>
      <c r="K72" s="17" t="str">
        <f>CONCATENATE("Principal Storage Network ",wld_principal_storage_chosen)</f>
        <v>Principal Storage Network vSAN-ESA</v>
      </c>
      <c r="L72" s="337" t="str">
        <f>IF(ISBLANK(input_wld_az1_rack2_principal_storage_mtu),"Value Missing",input_wld_az1_rack2_principal_storage_mtu)</f>
        <v>Value Missing</v>
      </c>
      <c r="N72" s="17" t="str">
        <f>CONCATENATE("Principal Storage Network ",wld_principal_storage_chosen)</f>
        <v>Principal Storage Network vSAN-ESA</v>
      </c>
      <c r="O72" s="337" t="str">
        <f>IF(ISBLANK(input_wld_az1_rack3_principal_storage_mtu),"Value Missing",input_wld_az1_rack3_principal_storage_mtu)</f>
        <v>Value Missing</v>
      </c>
      <c r="Q72" s="17" t="str">
        <f>CONCATENATE("Principal Storage Network ",wld_principal_storage_chosen)</f>
        <v>Principal Storage Network vSAN-ESA</v>
      </c>
      <c r="R72" s="337" t="str">
        <f>IF(ISBLANK(input_wld_az1_rack4_principal_storage_mtu),"Value Missing",input_wld_az1_rack4_principal_storage_mtu)</f>
        <v>Value Missing</v>
      </c>
      <c r="T72" s="17" t="str">
        <f>CONCATENATE("Principal Storage Network ",wld_principal_storage_chosen)</f>
        <v>Principal Storage Network vSAN-ESA</v>
      </c>
      <c r="U72" s="337" t="str">
        <f>IF(ISBLANK(input_wld_az1_rack5_principal_storage_mtu),"Value Missing",input_wld_az1_rack5_principal_storage_mtu)</f>
        <v>Value Missing</v>
      </c>
      <c r="W72" s="17" t="str">
        <f>CONCATENATE("Principal Storage Network ",wld_principal_storage_chosen)</f>
        <v>Principal Storage Network vSAN-ESA</v>
      </c>
      <c r="X72" s="337" t="str">
        <f>IF(ISBLANK(input_wld_az1_rack6_principal_storage_mtu),"Value Missing",input_wld_az1_rack6_principal_storage_mtu)</f>
        <v>Value Missing</v>
      </c>
      <c r="Z72" s="17" t="str">
        <f>CONCATENATE("Principal Storage Network ",wld_principal_storage_chosen)</f>
        <v>Principal Storage Network vSAN-ESA</v>
      </c>
      <c r="AA72" s="337" t="str">
        <f>IF(ISBLANK(input_wld_az1_rack7_principal_storage_mtu),"Value Missing",input_wld_az1_rack7_principal_storage_mtu)</f>
        <v>Value Missing</v>
      </c>
      <c r="AC72" s="17" t="str">
        <f>CONCATENATE("Principal Storage Network ",wld_principal_storage_chosen)</f>
        <v>Principal Storage Network vSAN-ESA</v>
      </c>
      <c r="AD72" s="337" t="str">
        <f>IF(ISBLANK(input_wld_az1_rack8_principal_storage_mtu),"Value Missing",input_wld_az1_rack8_principal_storage_mtu)</f>
        <v>Value Missing</v>
      </c>
      <c r="AG72" s="8"/>
      <c r="AH72" s="8"/>
    </row>
    <row r="73" spans="5:34" s="2" customFormat="1" ht="20.05" customHeight="1" x14ac:dyDescent="0.35">
      <c r="E73" s="4" t="s">
        <v>1278</v>
      </c>
      <c r="F73" s="337" t="str">
        <f>IF(ISBLANK(input_mgmt_az1_host_overlay_mtu),"Value Missing",input_mgmt_az1_host_overlay_mtu)</f>
        <v>Value Missing</v>
      </c>
      <c r="H73" s="4" t="s">
        <v>1278</v>
      </c>
      <c r="I73" s="337" t="str">
        <f>IF(ISBLANK(input_wld_az1_host_overlay_mtu),"Value Missing",input_wld_az1_host_overlay_mtu)</f>
        <v>Value Missing</v>
      </c>
      <c r="K73" s="4" t="s">
        <v>1278</v>
      </c>
      <c r="L73" s="337" t="str">
        <f>IF(ISBLANK(input_wld_az1_rack2_host_overlay_mtu),"Value Missing",input_wld_az1_rack2_host_overlay_mtu)</f>
        <v>Value Missing</v>
      </c>
      <c r="N73" s="4" t="s">
        <v>1278</v>
      </c>
      <c r="O73" s="337" t="str">
        <f>IF(ISBLANK(input_wld_az1_rack3_host_overlay_mtu),"Value Missing",input_wld_az1_rack3_host_overlay_mtu)</f>
        <v>Value Missing</v>
      </c>
      <c r="Q73" s="4" t="s">
        <v>1278</v>
      </c>
      <c r="R73" s="337" t="str">
        <f>IF(ISBLANK(input_wld_az1_rack4_host_overlay_mtu),"Value Missing",input_wld_az1_rack4_host_overlay_mtu)</f>
        <v>Value Missing</v>
      </c>
      <c r="T73" s="4" t="s">
        <v>1278</v>
      </c>
      <c r="U73" s="337" t="str">
        <f>IF(ISBLANK(input_wld_az1_rack5_host_overlay_mtu),"Value Missing",input_wld_az1_rack5_host_overlay_mtu)</f>
        <v>Value Missing</v>
      </c>
      <c r="W73" s="4" t="s">
        <v>1278</v>
      </c>
      <c r="X73" s="337" t="str">
        <f>IF(ISBLANK(input_wld_az1_rack6_host_overlay_mtu),"Value Missing",input_wld_az1_rack6_host_overlay_mtu)</f>
        <v>Value Missing</v>
      </c>
      <c r="Z73" s="4" t="s">
        <v>1278</v>
      </c>
      <c r="AA73" s="337" t="str">
        <f>IF(ISBLANK(input_wld_az1_rack7_host_overlay_mtu),"Value Missing",input_wld_az1_rack7_host_overlay_mtu)</f>
        <v>Value Missing</v>
      </c>
      <c r="AC73" s="4" t="s">
        <v>1278</v>
      </c>
      <c r="AD73" s="337" t="str">
        <f>IF(ISBLANK(input_wld_az1_rack8_host_overlay_mtu),"Value Missing",input_wld_az1_rack8_host_overlay_mtu)</f>
        <v>Value Missing</v>
      </c>
      <c r="AG73" s="8"/>
      <c r="AH73" s="8"/>
    </row>
    <row r="74" spans="5:34" s="2" customFormat="1" ht="20.05" customHeight="1" x14ac:dyDescent="0.35">
      <c r="E74" s="18" t="s">
        <v>1280</v>
      </c>
      <c r="F74" s="337" t="str">
        <f>IF(ISBLANK(input_mgmt_az1_secondary_storage_mtu),"Value Missing",input_mgmt_az1_secondary_storage_mtu)</f>
        <v>Value Missing</v>
      </c>
      <c r="H74" s="4" t="s">
        <v>1280</v>
      </c>
      <c r="I74" s="337" t="str">
        <f>IF(ISBLANK(input_wld_az1_secondary_storage_mtu),"Value Missing",input_wld_az1_secondary_storage_mtu)</f>
        <v>Value Missing</v>
      </c>
      <c r="K74" s="4" t="s">
        <v>1280</v>
      </c>
      <c r="L74" s="337" t="str">
        <f>IF(ISBLANK(input_wld_az1_rack2_secondary_storage_mtu),"Value Missing",input_wld_az1_rack2_secondary_storage_mtu)</f>
        <v>Value Missing</v>
      </c>
      <c r="N74" s="4" t="s">
        <v>1280</v>
      </c>
      <c r="O74" s="337" t="str">
        <f>IF(ISBLANK(input_wld_az1_rack3_secondary_storage_mtu),"Value Missing",input_wld_az1_rack3_secondary_storage_mtu)</f>
        <v>Value Missing</v>
      </c>
      <c r="Q74" s="4" t="s">
        <v>1280</v>
      </c>
      <c r="R74" s="337" t="str">
        <f>IF(ISBLANK(input_wld_az1_rack4_secondary_storage_mtu),"Value Missing",input_wld_az1_rack4_secondary_storage_mtu)</f>
        <v>Value Missing</v>
      </c>
      <c r="T74" s="4" t="s">
        <v>1280</v>
      </c>
      <c r="U74" s="337" t="str">
        <f>IF(ISBLANK(input_wld_az1_rack5_secondary_storage_mtu),"Value Missing",input_wld_az1_rack5_secondary_storage_mtu)</f>
        <v>Value Missing</v>
      </c>
      <c r="W74" s="4" t="s">
        <v>1280</v>
      </c>
      <c r="X74" s="337" t="str">
        <f>IF(ISBLANK(input_wld_az1_rack6_secondary_storage_mtu),"Value Missing",input_wld_az1_rack6_secondary_storage_mtu)</f>
        <v>Value Missing</v>
      </c>
      <c r="Z74" s="4" t="s">
        <v>1280</v>
      </c>
      <c r="AA74" s="337" t="str">
        <f>IF(ISBLANK(input_wld_az1_rack7_secondary_storage_mtu),"Value Missing",input_wld_az1_rack7_secondary_storage_mtu)</f>
        <v>Value Missing</v>
      </c>
      <c r="AC74" s="4" t="s">
        <v>1280</v>
      </c>
      <c r="AD74" s="337" t="str">
        <f>IF(ISBLANK(input_wld_az1_rack8_secondary_storage_mtu),"Value Missing",input_wld_az1_rack8_secondary_storage_mtu)</f>
        <v>Value Missing</v>
      </c>
      <c r="AG74" s="8"/>
      <c r="AH74" s="8"/>
    </row>
    <row r="75" spans="5:34" s="2" customFormat="1" ht="20.05" customHeight="1" x14ac:dyDescent="0.35">
      <c r="E75" s="18"/>
      <c r="F75" s="337"/>
      <c r="H75" s="4" t="s">
        <v>805</v>
      </c>
      <c r="I75" s="337" t="str">
        <f>IF(ISBLANK(input_wld_az1_storage_cluster_mtu),"Value Missing",input_wld_az1_storage_cluster_mtu)</f>
        <v>Value Missing</v>
      </c>
      <c r="K75" s="4"/>
      <c r="L75" s="337"/>
      <c r="N75" s="4"/>
      <c r="O75" s="337"/>
      <c r="Q75" s="4"/>
      <c r="R75" s="337"/>
      <c r="T75" s="4"/>
      <c r="U75" s="337"/>
      <c r="W75" s="4"/>
      <c r="X75" s="337"/>
      <c r="Z75" s="4"/>
      <c r="AA75" s="337"/>
      <c r="AC75" s="4"/>
      <c r="AD75" s="337"/>
      <c r="AG75" s="8"/>
      <c r="AH75" s="8"/>
    </row>
    <row r="76" spans="5:34" s="2" customFormat="1" ht="20.05" customHeight="1" x14ac:dyDescent="0.35">
      <c r="E76" s="4" t="s">
        <v>1283</v>
      </c>
      <c r="F76" s="337" t="str">
        <f>IF(ISBLANK(input_mgmt_az1_uplink01_mtu),"Value Missing",input_mgmt_az1_uplink01_mtu)</f>
        <v>Value Missing</v>
      </c>
      <c r="H76" s="4" t="s">
        <v>1283</v>
      </c>
      <c r="I76" s="337" t="str">
        <f>IF(ISBLANK(input_wld_az1_uplink01_mtu),"Value Missing",input_wld_az1_uplink01_mtu)</f>
        <v>Value Missing</v>
      </c>
      <c r="K76" s="4" t="s">
        <v>1283</v>
      </c>
      <c r="L76" s="337" t="str">
        <f>IF(ISBLANK(input_wld_az1_rack2_uplink01_mtu),"Value Missing",input_wld_az1_rack2_uplink01_mtu)</f>
        <v>Value Missing</v>
      </c>
      <c r="N76" s="4" t="s">
        <v>1283</v>
      </c>
      <c r="O76" s="337" t="str">
        <f>IF(ISBLANK(input_wld_az1_rack3_uplink01_mtu),"Value Missing",input_wld_az1_rack3_uplink01_mtu)</f>
        <v>Value Missing</v>
      </c>
      <c r="Q76" s="4" t="s">
        <v>1283</v>
      </c>
      <c r="R76" s="337" t="str">
        <f>IF(ISBLANK(input_wld_az1_rack4_uplink01_mtu),"Value Missing",input_wld_az1_rack4_uplink01_mtu)</f>
        <v>Value Missing</v>
      </c>
      <c r="T76" s="4" t="s">
        <v>1283</v>
      </c>
      <c r="U76" s="337" t="str">
        <f>IF(ISBLANK(input_wld_az1_rack5_uplink01_mtu),"Value Missing",input_wld_az1_rack5_uplink01_mtu)</f>
        <v>Value Missing</v>
      </c>
      <c r="W76" s="4" t="s">
        <v>1283</v>
      </c>
      <c r="X76" s="337" t="str">
        <f>IF(ISBLANK(input_wld_az1_rack6_uplink01_mtu),"Value Missing",input_wld_az1_rack6_uplink01_mtu)</f>
        <v>Value Missing</v>
      </c>
      <c r="Z76" s="4" t="s">
        <v>1283</v>
      </c>
      <c r="AA76" s="337" t="str">
        <f>IF(ISBLANK(input_wld_az1_rack7_uplink01_mtu),"Value Missing",input_wld_az1_rack7_uplink01_mtu)</f>
        <v>Value Missing</v>
      </c>
      <c r="AC76" s="4" t="s">
        <v>1283</v>
      </c>
      <c r="AD76" s="337" t="str">
        <f>IF(ISBLANK(input_wld_az1_rack8_uplink01_mtu),"Value Missing",input_wld_az1_rack8_uplink01_mtu)</f>
        <v>Value Missing</v>
      </c>
      <c r="AG76" s="8"/>
      <c r="AH76" s="8"/>
    </row>
    <row r="77" spans="5:34" s="2" customFormat="1" ht="20.05" customHeight="1" x14ac:dyDescent="0.35">
      <c r="E77" s="4" t="s">
        <v>1285</v>
      </c>
      <c r="F77" s="337" t="str">
        <f>IF(ISBLANK(input_mgmt_az1_uplink02_mtu),"Value Missing",input_mgmt_az1_uplink02_mtu)</f>
        <v>Value Missing</v>
      </c>
      <c r="H77" s="4" t="s">
        <v>1285</v>
      </c>
      <c r="I77" s="337" t="str">
        <f>IF(ISBLANK(input_wld_az1_uplink02_mtu),"Value Missing",input_wld_az1_uplink02_mtu)</f>
        <v>Value Missing</v>
      </c>
      <c r="K77" s="4" t="s">
        <v>1285</v>
      </c>
      <c r="L77" s="337" t="str">
        <f>IF(ISBLANK(input_wld_az1_rack2_uplink02_mtu),"Value Missing",input_wld_az1_rack2_uplink02_mtu)</f>
        <v>Value Missing</v>
      </c>
      <c r="N77" s="4" t="s">
        <v>1285</v>
      </c>
      <c r="O77" s="337" t="str">
        <f>IF(ISBLANK(input_wld_az1_rack3_uplink02_mtu),"Value Missing",input_wld_az1_rack3_uplink02_mtu)</f>
        <v>Value Missing</v>
      </c>
      <c r="Q77" s="4" t="s">
        <v>1285</v>
      </c>
      <c r="R77" s="337" t="str">
        <f>IF(ISBLANK(input_wld_az1_rack4_uplink02_mtu),"Value Missing",input_wld_az1_rack4_uplink02_mtu)</f>
        <v>Value Missing</v>
      </c>
      <c r="T77" s="4" t="s">
        <v>1285</v>
      </c>
      <c r="U77" s="337" t="str">
        <f>IF(ISBLANK(input_wld_az1_rack5_uplink02_mtu),"Value Missing",input_wld_az1_rack5_uplink02_mtu)</f>
        <v>Value Missing</v>
      </c>
      <c r="W77" s="4" t="s">
        <v>1285</v>
      </c>
      <c r="X77" s="337" t="str">
        <f>IF(ISBLANK(input_wld_az1_rack6_uplink02_mtu),"Value Missing",input_wld_az1_rack6_uplink02_mtu)</f>
        <v>Value Missing</v>
      </c>
      <c r="Z77" s="4" t="s">
        <v>1285</v>
      </c>
      <c r="AA77" s="337" t="str">
        <f>IF(ISBLANK(input_wld_az1_rack7_uplink02_mtu),"Value Missing",input_wld_az1_rack7_uplink02_mtu)</f>
        <v>Value Missing</v>
      </c>
      <c r="AC77" s="4" t="s">
        <v>1285</v>
      </c>
      <c r="AD77" s="337" t="str">
        <f>IF(ISBLANK(input_wld_az1_rack8_uplink02_mtu),"Value Missing",input_wld_az1_rack8_uplink02_mtu)</f>
        <v>Value Missing</v>
      </c>
      <c r="AG77" s="8"/>
      <c r="AH77" s="8"/>
    </row>
    <row r="78" spans="5:34" s="2" customFormat="1" ht="20.05" customHeight="1" x14ac:dyDescent="0.35">
      <c r="E78" s="4" t="s">
        <v>1287</v>
      </c>
      <c r="F78" s="337" t="str">
        <f>IF(ISBLANK(input_mgmt_az1_edge_overlay_mtu),"Value Missing",input_mgmt_az1_edge_overlay_mtu)</f>
        <v>Value Missing</v>
      </c>
      <c r="H78" s="4" t="s">
        <v>1287</v>
      </c>
      <c r="I78" s="337" t="s">
        <v>632</v>
      </c>
      <c r="K78" s="4" t="s">
        <v>1287</v>
      </c>
      <c r="L78" s="337" t="str">
        <f>IF(ISBLANK(input_wld_az1_rack2_edge_overlay_mtu),"Value Missing",input_wld_az1_rack2_edge_overlay_mtu)</f>
        <v>Value Missing</v>
      </c>
      <c r="N78" s="4" t="s">
        <v>1287</v>
      </c>
      <c r="O78" s="337" t="str">
        <f>IF(ISBLANK(input_wld_az1_rack3_edge_overlay_mtu),"Value Missing",input_wld_az1_rack3_edge_overlay_mtu)</f>
        <v>Value Missing</v>
      </c>
      <c r="Q78" s="4" t="s">
        <v>1287</v>
      </c>
      <c r="R78" s="33" t="str">
        <f>IF(ISBLANK(input_wld_az1_rack4_edge_overlay_mtu),"Value Missing",input_wld_az1_rack4_edge_overlay_mtu)</f>
        <v>Value Missing</v>
      </c>
      <c r="T78" s="4" t="s">
        <v>1287</v>
      </c>
      <c r="U78" s="337" t="str">
        <f>IF(ISBLANK(input_wld_az1_rack5_edge_overlay_mtu),"Value Missing",input_wld_az1_rack5_edge_overlay_mtu)</f>
        <v>Value Missing</v>
      </c>
      <c r="W78" s="4" t="s">
        <v>1287</v>
      </c>
      <c r="X78" s="337" t="str">
        <f>IF(ISBLANK(input_wld_az1_rack6_edge_overlay_mtu),"Value Missing",input_wld_az1_rack6_edge_overlay_mtu)</f>
        <v>Value Missing</v>
      </c>
      <c r="Z78" s="4" t="s">
        <v>1287</v>
      </c>
      <c r="AA78" s="337" t="str">
        <f>IF(ISBLANK(input_wld_az1_rack7_edge_overlay_mtu),"Value Missing",input_wld_az1_rack7_edge_overlay_mtu)</f>
        <v>Value Missing</v>
      </c>
      <c r="AC78" s="4" t="s">
        <v>1287</v>
      </c>
      <c r="AD78" s="337" t="str">
        <f>IF(ISBLANK(input_wld_az1_rack8_edge_overlay_mtu),"Value Missing",input_wld_az1_rack8_edge_overlay_mtu)</f>
        <v>Value Missing</v>
      </c>
      <c r="AG78" s="8"/>
      <c r="AH78" s="8"/>
    </row>
    <row r="79" spans="5:34" s="2" customFormat="1" ht="20.05" customHeight="1" x14ac:dyDescent="0.35">
      <c r="E79" s="4" t="s">
        <v>1289</v>
      </c>
      <c r="F79" s="337"/>
      <c r="H79" s="4" t="s">
        <v>1289</v>
      </c>
      <c r="I79" s="337"/>
      <c r="K79" s="4" t="s">
        <v>1289</v>
      </c>
      <c r="L79" s="337"/>
      <c r="N79" s="4" t="s">
        <v>1289</v>
      </c>
      <c r="O79" s="337"/>
      <c r="Q79" s="4" t="s">
        <v>1289</v>
      </c>
      <c r="R79" s="337"/>
      <c r="T79" s="4" t="s">
        <v>1289</v>
      </c>
      <c r="U79" s="337"/>
      <c r="W79" s="4" t="s">
        <v>1289</v>
      </c>
      <c r="X79" s="337"/>
      <c r="Z79" s="4" t="s">
        <v>1289</v>
      </c>
      <c r="AA79" s="337"/>
      <c r="AC79" s="4" t="s">
        <v>1289</v>
      </c>
      <c r="AD79" s="337"/>
      <c r="AG79" s="8"/>
      <c r="AH79" s="8"/>
    </row>
    <row r="80" spans="5:34" s="2" customFormat="1" ht="20.05" customHeight="1" x14ac:dyDescent="0.35">
      <c r="E80" s="4" t="s">
        <v>1291</v>
      </c>
      <c r="F80" s="337" t="str">
        <f>IF(ISBLANK(input_mgmt_az1_vrms_mtu),"Value Missing",input_mgmt_az1_vrms_mtu)</f>
        <v>Value Missing</v>
      </c>
      <c r="H80" s="4" t="s">
        <v>1291</v>
      </c>
      <c r="I80" s="337" t="str">
        <f>IF(ISBLANK(input_wld_az1_vrms_mtu),"Value Missing",input_wld_az1_vrms_mtu)</f>
        <v>Value Missing</v>
      </c>
      <c r="K80" s="4" t="s">
        <v>1291</v>
      </c>
      <c r="L80" s="337"/>
      <c r="N80" s="4" t="s">
        <v>1291</v>
      </c>
      <c r="O80" s="337"/>
      <c r="Q80" s="4" t="s">
        <v>1291</v>
      </c>
      <c r="R80" s="337"/>
      <c r="T80" s="4" t="s">
        <v>1291</v>
      </c>
      <c r="U80" s="337"/>
      <c r="W80" s="4" t="s">
        <v>1291</v>
      </c>
      <c r="X80" s="337"/>
      <c r="Z80" s="4" t="s">
        <v>1291</v>
      </c>
      <c r="AA80" s="337"/>
      <c r="AC80" s="4" t="s">
        <v>1291</v>
      </c>
      <c r="AD80" s="337"/>
      <c r="AG80" s="8"/>
      <c r="AH80" s="8"/>
    </row>
    <row r="81" spans="2:36" s="2" customFormat="1" ht="20.05" customHeight="1" x14ac:dyDescent="0.35">
      <c r="AG81" s="8"/>
      <c r="AH81" s="8"/>
      <c r="AI81" s="8"/>
      <c r="AJ81" s="8"/>
    </row>
    <row r="82" spans="2:36" s="2" customFormat="1" ht="20.05" customHeight="1" x14ac:dyDescent="0.35">
      <c r="B82" s="8"/>
      <c r="C82" s="8"/>
      <c r="AG82" s="8"/>
      <c r="AH82" s="8"/>
      <c r="AI82" s="8"/>
      <c r="AJ82" s="8"/>
    </row>
    <row r="83" spans="2:36" s="2" customFormat="1" ht="20.05" customHeight="1" x14ac:dyDescent="0.35">
      <c r="B83" s="8"/>
      <c r="C83" s="8"/>
      <c r="E83" s="382" t="s">
        <v>1355</v>
      </c>
      <c r="F83" s="383"/>
      <c r="H83" s="382" t="s">
        <v>1356</v>
      </c>
      <c r="I83" s="383"/>
      <c r="K83" s="382" t="s">
        <v>1357</v>
      </c>
      <c r="L83" s="383"/>
      <c r="N83" s="382" t="s">
        <v>1358</v>
      </c>
      <c r="O83" s="383"/>
      <c r="Q83" s="379" t="s">
        <v>1359</v>
      </c>
      <c r="R83" s="381"/>
      <c r="T83" s="379" t="s">
        <v>1360</v>
      </c>
      <c r="U83" s="381"/>
      <c r="W83" s="379" t="s">
        <v>1361</v>
      </c>
      <c r="X83" s="381"/>
      <c r="Z83" s="379" t="s">
        <v>1362</v>
      </c>
      <c r="AA83" s="381"/>
      <c r="AC83" s="379" t="s">
        <v>1363</v>
      </c>
      <c r="AD83" s="381"/>
      <c r="AG83" s="8"/>
      <c r="AH83" s="8"/>
      <c r="AI83" s="8"/>
      <c r="AJ83" s="8"/>
    </row>
    <row r="84" spans="2:36" s="2" customFormat="1" ht="20.05" customHeight="1" x14ac:dyDescent="0.35">
      <c r="B84" s="6"/>
      <c r="E84" s="11" t="s">
        <v>261</v>
      </c>
      <c r="F84" s="12" t="s">
        <v>1269</v>
      </c>
      <c r="H84" s="11" t="s">
        <v>261</v>
      </c>
      <c r="I84" s="12" t="s">
        <v>1269</v>
      </c>
      <c r="K84" s="11" t="s">
        <v>261</v>
      </c>
      <c r="L84" s="12" t="s">
        <v>1269</v>
      </c>
      <c r="N84" s="11" t="s">
        <v>261</v>
      </c>
      <c r="O84" s="12" t="s">
        <v>1269</v>
      </c>
      <c r="Q84" s="11" t="s">
        <v>261</v>
      </c>
      <c r="R84" s="14" t="s">
        <v>1269</v>
      </c>
      <c r="S84" s="15"/>
      <c r="T84" s="11" t="s">
        <v>261</v>
      </c>
      <c r="U84" s="14" t="s">
        <v>1269</v>
      </c>
      <c r="V84" s="15"/>
      <c r="W84" s="11" t="s">
        <v>261</v>
      </c>
      <c r="X84" s="14" t="s">
        <v>1269</v>
      </c>
      <c r="Y84" s="15"/>
      <c r="Z84" s="11" t="s">
        <v>261</v>
      </c>
      <c r="AA84" s="14" t="s">
        <v>1269</v>
      </c>
      <c r="AB84" s="15"/>
      <c r="AC84" s="11" t="s">
        <v>261</v>
      </c>
      <c r="AD84" s="14" t="s">
        <v>1269</v>
      </c>
      <c r="AG84" s="8"/>
      <c r="AH84" s="8"/>
      <c r="AI84" s="8"/>
      <c r="AJ84" s="8"/>
    </row>
    <row r="85" spans="2:36" s="2" customFormat="1" ht="20.05" customHeight="1" x14ac:dyDescent="0.35">
      <c r="B85" s="6"/>
      <c r="C85" s="26"/>
      <c r="E85" s="4" t="s">
        <v>1272</v>
      </c>
      <c r="F85" s="337" t="str">
        <f>IF(ISBLANK(input_mgmt_az1_mgmt_vm_gateway_ip),"Value Missing",input_mgmt_az1_mgmt_vm_gateway_ip)</f>
        <v>Value Missing</v>
      </c>
      <c r="H85" s="4" t="s">
        <v>1272</v>
      </c>
      <c r="I85" s="337" t="str">
        <f>IF(ISBLANK(input_wld_az1_mgmt_vm_gateway_ip),"Value Missing",input_wld_az1_mgmt_vm_gateway_ip)</f>
        <v>Value Missing</v>
      </c>
      <c r="K85" s="4" t="s">
        <v>1272</v>
      </c>
      <c r="L85" s="337" t="str">
        <f>IF(ISBLANK(input_wld_az1_rack2_mgmt_vm_gateway_ip),"Value Missing",input_wld_az1_rack2_mgmt_vm_gateway_ip)</f>
        <v>Value Missing</v>
      </c>
      <c r="N85" s="4" t="s">
        <v>1272</v>
      </c>
      <c r="O85" s="337" t="str">
        <f>IF(ISBLANK(input_wld_az1_rack3_mgmt_vm_gateway_ip),"Value Missing",input_wld_az1_rack3_mgmt_vm_gateway_ip)</f>
        <v>Value Missing</v>
      </c>
      <c r="Q85" s="4" t="s">
        <v>1272</v>
      </c>
      <c r="R85" s="337" t="str">
        <f>IF(ISBLANK(input_wld_az1_rack4_mgmt_vm_gateway_ip),"Value Missing",input_wld_az1_rack4_mgmt_vm_gateway_ip)</f>
        <v>Value Missing</v>
      </c>
      <c r="T85" s="4" t="s">
        <v>1272</v>
      </c>
      <c r="U85" s="337" t="str">
        <f>IF(ISBLANK(input_wld_az1_rack5_mgmt_vm_gateway_ip),"Value Missing",input_wld_az1_rack5_mgmt_vm_gateway_ip)</f>
        <v>Value Missing</v>
      </c>
      <c r="W85" s="4" t="s">
        <v>1272</v>
      </c>
      <c r="X85" s="337" t="str">
        <f>IF(ISBLANK(input_wld_az1_rack6_mgmt_vm_gateway_ip),"Value Missing",input_wld_az1_rack6_mgmt_vm_gateway_ip)</f>
        <v>Value Missing</v>
      </c>
      <c r="Z85" s="4" t="s">
        <v>1272</v>
      </c>
      <c r="AA85" s="337" t="str">
        <f>IF(ISBLANK(input_wld_az1_rack7_mgmt_vm_gateway_ip),"Value Missing",input_wld_az1_rack7_mgmt_vm_gateway_ip)</f>
        <v>Value Missing</v>
      </c>
      <c r="AC85" s="4" t="s">
        <v>1272</v>
      </c>
      <c r="AD85" s="337" t="str">
        <f>IF(ISBLANK(input_wld_az1_rack8_mgmt_vm_gateway_ip),"Value Missing",input_wld_az1_rack8_mgmt_vm_gateway_ip)</f>
        <v>Value Missing</v>
      </c>
      <c r="AG85" s="8"/>
      <c r="AH85" s="8"/>
      <c r="AI85" s="8"/>
      <c r="AJ85" s="8"/>
    </row>
    <row r="86" spans="2:36" s="2" customFormat="1" ht="20.05" customHeight="1" x14ac:dyDescent="0.35">
      <c r="B86" s="6"/>
      <c r="E86" s="4" t="s">
        <v>1274</v>
      </c>
      <c r="F86" s="337" t="str">
        <f>IF(ISBLANK(input_mgmt_az1_mgmt_gateway_ip),"Value Missing",input_mgmt_az1_mgmt_gateway_ip)</f>
        <v>Value Missing</v>
      </c>
      <c r="H86" s="4" t="s">
        <v>1274</v>
      </c>
      <c r="I86" s="337" t="str">
        <f>IF(ISBLANK(input_wld_az1_mgmt_gateway_ip),"Value Missing",input_wld_az1_mgmt_gateway_ip)</f>
        <v>Value Missing</v>
      </c>
      <c r="K86" s="4" t="s">
        <v>1274</v>
      </c>
      <c r="L86" s="337" t="str">
        <f>IF(ISBLANK(input_wld_az1_rack2_mgmt_gateway_ip),"Value Missing",input_wld_az1_rack2_mgmt_gateway_ip)</f>
        <v>Value Missing</v>
      </c>
      <c r="N86" s="4" t="s">
        <v>1274</v>
      </c>
      <c r="O86" s="337" t="str">
        <f>IF(ISBLANK(input_wld_az1_rack3_mgmt_gateway_ip),"Value Missing",input_wld_az1_rack3_mgmt_gateway_ip)</f>
        <v>Value Missing</v>
      </c>
      <c r="Q86" s="4" t="s">
        <v>1274</v>
      </c>
      <c r="R86" s="337" t="str">
        <f>IF(ISBLANK(input_wld_az1_rack4_mgmt_gateway_ip),"Value Missing",input_wld_az1_rack4_mgmt_gateway_ip)</f>
        <v>Value Missing</v>
      </c>
      <c r="T86" s="4" t="s">
        <v>1274</v>
      </c>
      <c r="U86" s="337" t="str">
        <f>IF(ISBLANK(input_wld_az1_rack5_mgmt_gateway_ip),"Value Missing",input_wld_az1_rack5_mgmt_gateway_ip)</f>
        <v>Value Missing</v>
      </c>
      <c r="W86" s="4" t="s">
        <v>1274</v>
      </c>
      <c r="X86" s="337" t="str">
        <f>IF(ISBLANK(input_wld_az1_rack6_mgmt_gateway_ip),"Value Missing",input_wld_az1_rack6_mgmt_gateway_ip)</f>
        <v>Value Missing</v>
      </c>
      <c r="Z86" s="4" t="s">
        <v>1274</v>
      </c>
      <c r="AA86" s="337" t="str">
        <f>IF(ISBLANK(input_wld_az1_rack7_mgmt_gateway_ip),"Value Missing",input_wld_az1_rack7_mgmt_gateway_ip)</f>
        <v>Value Missing</v>
      </c>
      <c r="AC86" s="4" t="s">
        <v>1274</v>
      </c>
      <c r="AD86" s="337" t="str">
        <f>IF(ISBLANK(input_wld_az1_rack8_mgmt_gateway_ip),"Value Missing",input_wld_az1_rack8_mgmt_gateway_ip)</f>
        <v>Value Missing</v>
      </c>
      <c r="AG86" s="8"/>
      <c r="AH86" s="8"/>
      <c r="AI86" s="8"/>
      <c r="AJ86" s="8"/>
    </row>
    <row r="87" spans="2:36" s="2" customFormat="1" ht="20.05" customHeight="1" x14ac:dyDescent="0.35">
      <c r="B87" s="168"/>
      <c r="E87" s="4" t="s">
        <v>251</v>
      </c>
      <c r="F87" s="337" t="str">
        <f>IF(ISBLANK(input_mgmt_az1_vmotion_gateway_ip),"Value Missing",input_mgmt_az1_vmotion_gateway_ip)</f>
        <v>Value Missing</v>
      </c>
      <c r="H87" s="4" t="s">
        <v>251</v>
      </c>
      <c r="I87" s="337" t="str">
        <f>IF(ISBLANK(input_wld_az1_vmotion_gateway_ip),"Value Missing",input_wld_az1_vmotion_gateway_ip)</f>
        <v>Value Missing</v>
      </c>
      <c r="K87" s="4" t="s">
        <v>251</v>
      </c>
      <c r="L87" s="337" t="str">
        <f>IF(ISBLANK(input_wld_az1_rack2_vmotion_gateway_ip),"Value Missing",input_wld_az1_rack2_vmotion_gateway_ip)</f>
        <v>Value Missing</v>
      </c>
      <c r="N87" s="4" t="s">
        <v>251</v>
      </c>
      <c r="O87" s="337" t="str">
        <f>IF(ISBLANK(input_wld_az1_rack3_vmotion_gateway_ip),"Value Missing",input_wld_az1_rack3_vmotion_gateway_ip)</f>
        <v>Value Missing</v>
      </c>
      <c r="Q87" s="4" t="s">
        <v>251</v>
      </c>
      <c r="R87" s="337" t="str">
        <f>IF(ISBLANK(input_wld_az1_rack4_vmotion_gateway_ip),"Value Missing",input_wld_az1_rack4_vmotion_gateway_ip)</f>
        <v>Value Missing</v>
      </c>
      <c r="T87" s="4" t="s">
        <v>251</v>
      </c>
      <c r="U87" s="337" t="str">
        <f>IF(ISBLANK(input_wld_az1_rack5_vmotion_gateway_ip),"Value Missing",input_wld_az1_rack5_vmotion_gateway_ip)</f>
        <v>Value Missing</v>
      </c>
      <c r="W87" s="4" t="s">
        <v>251</v>
      </c>
      <c r="X87" s="337" t="str">
        <f>IF(ISBLANK(input_wld_az1_rack6_vmotion_gateway_ip),"Value Missing",input_wld_az1_rack6_vmotion_gateway_ip)</f>
        <v>Value Missing</v>
      </c>
      <c r="Z87" s="4" t="s">
        <v>251</v>
      </c>
      <c r="AA87" s="337" t="str">
        <f>IF(ISBLANK(input_wld_az1_rack7_vmotion_gateway_ip),"Value Missing",input_wld_az1_rack7_vmotion_gateway_ip)</f>
        <v>Value Missing</v>
      </c>
      <c r="AC87" s="4" t="s">
        <v>251</v>
      </c>
      <c r="AD87" s="337" t="str">
        <f>IF(ISBLANK(input_wld_az1_rack8_vmotion_gateway_ip),"Value Missing",input_wld_az1_rack8_vmotion_gateway_ip)</f>
        <v>Value Missing</v>
      </c>
      <c r="AG87" s="8"/>
      <c r="AH87" s="8"/>
      <c r="AI87" s="8"/>
      <c r="AJ87" s="8"/>
    </row>
    <row r="88" spans="2:36" s="2" customFormat="1" ht="20.05" customHeight="1" x14ac:dyDescent="0.35">
      <c r="B88" s="168"/>
      <c r="E88" s="17" t="str">
        <f>CONCATENATE("Principal Storage Network ",wld_principal_storage_chosen)</f>
        <v>Principal Storage Network vSAN-ESA</v>
      </c>
      <c r="F88" s="337" t="str">
        <f>IF(ISBLANK(input_mgmt_az1_vsan_gateway_ip),"Value Missing",input_mgmt_az1_vsan_gateway_ip)</f>
        <v>Value Missing</v>
      </c>
      <c r="H88" s="17" t="s">
        <v>257</v>
      </c>
      <c r="I88" s="337" t="str">
        <f>IF(ISBLANK(input_wld_az1_principal_storage_gateway_ip),"Value Missing",input_wld_az1_principal_storage_gateway_ip)</f>
        <v>Value Missing</v>
      </c>
      <c r="K88" s="17" t="str">
        <f>CONCATENATE("Principal Storage Network ",wld_principal_storage_chosen)</f>
        <v>Principal Storage Network vSAN-ESA</v>
      </c>
      <c r="L88" s="337" t="str">
        <f>IF(ISBLANK(input_wld_az1_rack2_principal_storage_gateway_ip),"Value Missing",input_wld_az1_rack2_principal_storage_gateway_ip)</f>
        <v>Value Missing</v>
      </c>
      <c r="N88" s="17" t="str">
        <f>CONCATENATE("Principal Storage Network ",wld_principal_storage_chosen)</f>
        <v>Principal Storage Network vSAN-ESA</v>
      </c>
      <c r="O88" s="337" t="str">
        <f>IF(ISBLANK(input_wld_az1_rack3_principal_storage_gateway_ip),"Value Missing",input_wld_az1_rack3_principal_storage_gateway_ip)</f>
        <v>Value Missing</v>
      </c>
      <c r="Q88" s="17" t="str">
        <f>CONCATENATE("Principal Storage Network ",wld_principal_storage_chosen)</f>
        <v>Principal Storage Network vSAN-ESA</v>
      </c>
      <c r="R88" s="337" t="str">
        <f>IF(ISBLANK(input_wld_az1_rack4_principal_storage_gateway_ip),"Value Missing",input_wld_az1_rack4_principal_storage_gateway_ip)</f>
        <v>Value Missing</v>
      </c>
      <c r="T88" s="17" t="str">
        <f>CONCATENATE("Principal Storage Network ",wld_principal_storage_chosen)</f>
        <v>Principal Storage Network vSAN-ESA</v>
      </c>
      <c r="U88" s="337" t="str">
        <f>IF(ISBLANK(input_wld_az1_rack5_principal_storage_gateway_ip),"Value Missing",input_wld_az1_rack5_principal_storage_gateway_ip)</f>
        <v>Value Missing</v>
      </c>
      <c r="W88" s="17" t="str">
        <f>CONCATENATE("Principal Storage Network ",wld_principal_storage_chosen)</f>
        <v>Principal Storage Network vSAN-ESA</v>
      </c>
      <c r="X88" s="337" t="str">
        <f>IF(ISBLANK(input_wld_az1_rack6_principal_storage_gateway_ip),"Value Missing",input_wld_az1_rack6_principal_storage_gateway_ip)</f>
        <v>Value Missing</v>
      </c>
      <c r="Z88" s="17" t="str">
        <f>CONCATENATE("Principal Storage Network ",wld_principal_storage_chosen)</f>
        <v>Principal Storage Network vSAN-ESA</v>
      </c>
      <c r="AA88" s="337" t="str">
        <f>IF(ISBLANK(input_wld_az1_rack7_principal_storage_gateway_ip),"Value Missing",input_wld_az1_rack7_principal_storage_gateway_ip)</f>
        <v>Value Missing</v>
      </c>
      <c r="AC88" s="17" t="str">
        <f>CONCATENATE("Principal Storage Network ",wld_principal_storage_chosen)</f>
        <v>Principal Storage Network vSAN-ESA</v>
      </c>
      <c r="AD88" s="337" t="str">
        <f>IF(ISBLANK(input_wld_az1_rack8_principal_storage_gateway_ip),"Value Missing",input_wld_az1_rack8_principal_storage_gateway_ip)</f>
        <v>Value Missing</v>
      </c>
      <c r="AG88" s="8"/>
      <c r="AH88" s="8"/>
      <c r="AI88" s="8"/>
      <c r="AJ88" s="8"/>
    </row>
    <row r="89" spans="2:36" s="2" customFormat="1" ht="20.05" customHeight="1" x14ac:dyDescent="0.35">
      <c r="B89" s="6"/>
      <c r="E89" s="4" t="s">
        <v>1278</v>
      </c>
      <c r="F89" s="337" t="str">
        <f>IF(ISBLANK(input_mgmt_az1_host_overlay_gateway_ip),"Value Missing",input_mgmt_az1_host_overlay_gateway_ip)</f>
        <v>Value Missing</v>
      </c>
      <c r="H89" s="4" t="s">
        <v>1278</v>
      </c>
      <c r="I89" s="337" t="str">
        <f>IF(ISBLANK(input_wld_az1_host_overlay_gateway_ip),"Value Missing",input_wld_az1_host_overlay_gateway_ip)</f>
        <v>Value Missing</v>
      </c>
      <c r="K89" s="4" t="s">
        <v>1278</v>
      </c>
      <c r="L89" s="337" t="str">
        <f>IF(ISBLANK(input_wld_az1_rack2_host_overlay_gateway_ip),"Value Missing",input_wld_az1_rack2_host_overlay_gateway_ip)</f>
        <v>Value Missing</v>
      </c>
      <c r="N89" s="4" t="s">
        <v>1278</v>
      </c>
      <c r="O89" s="337" t="str">
        <f>IF(ISBLANK(input_wld_az1_rack3_host_overlay_gateway_ip),"Value Missing",input_wld_az1_rack3_host_overlay_gateway_ip)</f>
        <v>Value Missing</v>
      </c>
      <c r="Q89" s="4" t="s">
        <v>1278</v>
      </c>
      <c r="R89" s="337" t="str">
        <f>IF(ISBLANK(input_wld_az1_rack4_host_overlay_gateway_ip),"Value Missing",input_wld_az1_rack4_host_overlay_gateway_ip)</f>
        <v>Value Missing</v>
      </c>
      <c r="T89" s="4" t="s">
        <v>1278</v>
      </c>
      <c r="U89" s="337" t="str">
        <f>IF(ISBLANK(input_wld_az1_rack5_host_overlay_gateway_ip),"Value Missing",input_wld_az1_rack5_host_overlay_gateway_ip)</f>
        <v>Value Missing</v>
      </c>
      <c r="W89" s="4" t="s">
        <v>1278</v>
      </c>
      <c r="X89" s="337" t="str">
        <f>IF(ISBLANK(input_wld_az1_rack6_host_overlay_gateway_ip),"Value Missing",input_wld_az1_rack6_host_overlay_gateway_ip)</f>
        <v>Value Missing</v>
      </c>
      <c r="Z89" s="4" t="s">
        <v>1278</v>
      </c>
      <c r="AA89" s="337" t="str">
        <f>IF(ISBLANK(input_wld_az1_rack7_host_overlay_gateway_ip),"Value Missing",input_wld_az1_rack7_host_overlay_gateway_ip)</f>
        <v>Value Missing</v>
      </c>
      <c r="AC89" s="4" t="s">
        <v>1278</v>
      </c>
      <c r="AD89" s="337" t="str">
        <f>IF(ISBLANK(input_wld_az1_rack8_host_overlay_gateway_ip),"Value Missing",input_wld_az1_rack8_host_overlay_gateway_ip)</f>
        <v>Value Missing</v>
      </c>
      <c r="AG89" s="8"/>
      <c r="AH89" s="8"/>
      <c r="AI89" s="8"/>
      <c r="AJ89" s="8"/>
    </row>
    <row r="90" spans="2:36" s="2" customFormat="1" ht="20.05" customHeight="1" x14ac:dyDescent="0.35">
      <c r="E90" s="4" t="s">
        <v>1280</v>
      </c>
      <c r="F90" s="337" t="str">
        <f>IF(ISBLANK(input_mgmt_az1_secondary_storage_gateway_ip),"Value Missing",input_mgmt_az1_secondary_storage_gateway_ip)</f>
        <v>Value Missing</v>
      </c>
      <c r="H90" s="4" t="s">
        <v>1280</v>
      </c>
      <c r="I90" s="337" t="str">
        <f>IF(ISBLANK(input_wld_az1_secondary_storage_gateway_ip),"Value Missing",input_wld_az1_secondary_storage_gateway_ip)</f>
        <v>Value Missing</v>
      </c>
      <c r="K90" s="4" t="s">
        <v>1280</v>
      </c>
      <c r="L90" s="337" t="str">
        <f>IF(ISBLANK(input_wld_az1_rack2_secondary_storage_gateway_ip),"Value Missing",input_wld_az1_rack2_secondary_storage_gateway_ip)</f>
        <v>Value Missing</v>
      </c>
      <c r="N90" s="4" t="s">
        <v>1280</v>
      </c>
      <c r="O90" s="337" t="str">
        <f>IF(ISBLANK(input_wld_az1_rack3_secondary_storage_gateway_ip),"Value Missing",input_wld_az1_rack3_secondary_storage_gateway_ip)</f>
        <v>Value Missing</v>
      </c>
      <c r="Q90" s="4" t="s">
        <v>1280</v>
      </c>
      <c r="R90" s="337" t="str">
        <f>IF(ISBLANK(input_wld_az1_rack4_secondary_storage_gateway_ip),"Value Missing",input_wld_az1_rack4_secondary_storage_gateway_ip)</f>
        <v>Value Missing</v>
      </c>
      <c r="T90" s="4" t="s">
        <v>1280</v>
      </c>
      <c r="U90" s="337" t="str">
        <f>IF(ISBLANK(input_wld_az1_rack5_secondary_storage_gateway_ip),"Value Missing",input_wld_az1_rack5_secondary_storage_gateway_ip)</f>
        <v>Value Missing</v>
      </c>
      <c r="W90" s="4" t="s">
        <v>1280</v>
      </c>
      <c r="X90" s="337" t="str">
        <f>IF(ISBLANK(input_wld_az1_rack6_secondary_storage_gateway_ip),"Value Missing",input_wld_az1_rack6_secondary_storage_gateway_ip)</f>
        <v>Value Missing</v>
      </c>
      <c r="Z90" s="4" t="s">
        <v>1280</v>
      </c>
      <c r="AA90" s="337" t="str">
        <f>IF(ISBLANK(input_wld_az1_rack7_secondary_storage_gateway_ip),"Value Missing",input_wld_az1_rack7_secondary_storage_gateway_ip)</f>
        <v>Value Missing</v>
      </c>
      <c r="AC90" s="4" t="s">
        <v>1280</v>
      </c>
      <c r="AD90" s="337" t="str">
        <f>IF(ISBLANK(input_wld_az1_rack8_secondary_storage_gateway_ip),"Value Missing",input_wld_az1_rack8_secondary_storage_gateway_ip)</f>
        <v>Value Missing</v>
      </c>
      <c r="AG90" s="8"/>
      <c r="AH90" s="8"/>
      <c r="AI90" s="8"/>
      <c r="AJ90" s="8"/>
    </row>
    <row r="91" spans="2:36" s="2" customFormat="1" ht="20.05" customHeight="1" x14ac:dyDescent="0.35">
      <c r="E91" s="4"/>
      <c r="F91" s="337"/>
      <c r="H91" s="4" t="s">
        <v>805</v>
      </c>
      <c r="I91" s="337" t="str">
        <f>IF(ISBLANK(input_wld_az1_storage_cluster_gateway_ip),"Value Missing",input_wld_az1_storage_cluster_gateway_ip)</f>
        <v>Value Missing</v>
      </c>
      <c r="K91" s="4"/>
      <c r="L91" s="337"/>
      <c r="N91" s="4"/>
      <c r="O91" s="337"/>
      <c r="Q91" s="4"/>
      <c r="R91" s="337"/>
      <c r="T91" s="4"/>
      <c r="U91" s="337"/>
      <c r="W91" s="4"/>
      <c r="X91" s="337"/>
      <c r="Z91" s="4"/>
      <c r="AA91" s="337"/>
      <c r="AC91" s="4"/>
      <c r="AD91" s="337"/>
      <c r="AG91" s="8"/>
      <c r="AH91" s="8"/>
      <c r="AI91" s="8"/>
      <c r="AJ91" s="8"/>
    </row>
    <row r="92" spans="2:36" s="2" customFormat="1" ht="20.05" customHeight="1" x14ac:dyDescent="0.35">
      <c r="E92" s="4" t="s">
        <v>1283</v>
      </c>
      <c r="F92" s="337" t="str">
        <f>IF(ISBLANK(input_mgmt_az1_uplink01_gateway_ip),"Value Missing",input_mgmt_az1_uplink01_gateway_ip)</f>
        <v>Value Missing</v>
      </c>
      <c r="H92" s="4" t="s">
        <v>1283</v>
      </c>
      <c r="I92" s="337" t="str">
        <f>IF(ISBLANK(input_wld_az1_uplink01_gateway_ip),"Value Missing",input_wld_az1_uplink01_gateway_ip)</f>
        <v>Value Missing</v>
      </c>
      <c r="K92" s="4" t="s">
        <v>1283</v>
      </c>
      <c r="L92" s="337" t="str">
        <f>IF(ISBLANK(input_wld_az1_rack2_uplink01_gateway_ip),"Value Missing",input_wld_az1_rack2_uplink01_gateway_ip)</f>
        <v>Value Missing</v>
      </c>
      <c r="N92" s="4" t="s">
        <v>1283</v>
      </c>
      <c r="O92" s="337" t="str">
        <f>IF(ISBLANK(input_wld_az1_rack3_uplink01_gateway_ip),"Value Missing",input_wld_az1_rack3_uplink01_gateway_ip)</f>
        <v>Value Missing</v>
      </c>
      <c r="Q92" s="4" t="s">
        <v>1283</v>
      </c>
      <c r="R92" s="337" t="str">
        <f>IF(ISBLANK(input_wld_az1_rack4_uplink01_gateway_ip),"Value Missing",input_wld_az1_rack4_uplink01_gateway_ip)</f>
        <v>Value Missing</v>
      </c>
      <c r="T92" s="4" t="s">
        <v>1283</v>
      </c>
      <c r="U92" s="337" t="str">
        <f>IF(ISBLANK(input_wld_az1_rack5_uplink01_gateway_ip),"Value Missing",input_wld_az1_rack5_uplink01_gateway_ip)</f>
        <v>Value Missing</v>
      </c>
      <c r="W92" s="4" t="s">
        <v>1283</v>
      </c>
      <c r="X92" s="337" t="str">
        <f>IF(ISBLANK(input_wld_az1_rack6_uplink01_gateway_ip),"Value Missing",input_wld_az1_rack6_uplink01_gateway_ip)</f>
        <v>Value Missing</v>
      </c>
      <c r="Z92" s="4" t="s">
        <v>1283</v>
      </c>
      <c r="AA92" s="337" t="str">
        <f>IF(ISBLANK(input_wld_az1_rack7_uplink01_gateway_ip),"Value Missing",input_wld_az1_rack7_uplink01_gateway_ip)</f>
        <v>Value Missing</v>
      </c>
      <c r="AC92" s="4" t="s">
        <v>1283</v>
      </c>
      <c r="AD92" s="337" t="str">
        <f>IF(ISBLANK(input_wld_az1_rack8_uplink01_gateway_ip),"Value Missing",input_wld_az1_rack8_uplink01_gateway_ip)</f>
        <v>Value Missing</v>
      </c>
      <c r="AG92" s="8"/>
      <c r="AH92" s="8"/>
      <c r="AI92" s="8"/>
      <c r="AJ92" s="8"/>
    </row>
    <row r="93" spans="2:36" s="2" customFormat="1" ht="20.05" customHeight="1" x14ac:dyDescent="0.35">
      <c r="E93" s="4" t="s">
        <v>1285</v>
      </c>
      <c r="F93" s="337" t="str">
        <f>IF(ISBLANK(input_mgmt_az1_uplink02_gateway_ip),"Value Missing",input_mgmt_az1_uplink02_gateway_ip)</f>
        <v>Value Missing</v>
      </c>
      <c r="G93" s="15"/>
      <c r="H93" s="4" t="s">
        <v>1285</v>
      </c>
      <c r="I93" s="337" t="str">
        <f>IF(ISBLANK(input_wld_az1_uplink02_gateway_ip),"Value Missing",input_wld_az1_uplink02_gateway_ip)</f>
        <v>Value Missing</v>
      </c>
      <c r="J93" s="15"/>
      <c r="K93" s="4" t="s">
        <v>1285</v>
      </c>
      <c r="L93" s="337" t="str">
        <f>IF(ISBLANK(input_wld_az1_rack2_uplink02_gateway_ip),"Value Missing",input_wld_az1_rack2_uplink02_gateway_ip)</f>
        <v>Value Missing</v>
      </c>
      <c r="N93" s="4" t="s">
        <v>1285</v>
      </c>
      <c r="O93" s="337" t="str">
        <f>IF(ISBLANK(input_wld_az1_rack3_uplink02_gateway_ip),"Value Missing",input_wld_az1_rack3_uplink02_gateway_ip)</f>
        <v>Value Missing</v>
      </c>
      <c r="Q93" s="4" t="s">
        <v>1285</v>
      </c>
      <c r="R93" s="337" t="str">
        <f>IF(ISBLANK(input_wld_az1_rack4_uplink02_gateway_ip),"Value Missing",input_wld_az1_rack4_uplink02_gateway_ip)</f>
        <v>Value Missing</v>
      </c>
      <c r="T93" s="4" t="s">
        <v>1285</v>
      </c>
      <c r="U93" s="337" t="str">
        <f>IF(ISBLANK(input_wld_az1_rack5_uplink02_gateway_ip),"Value Missing",input_wld_az1_rack5_uplink02_gateway_ip)</f>
        <v>Value Missing</v>
      </c>
      <c r="W93" s="4" t="s">
        <v>1285</v>
      </c>
      <c r="X93" s="337" t="str">
        <f>IF(ISBLANK(input_wld_az1_rack6_uplink02_gateway_ip),"Value Missing",input_wld_az1_rack6_uplink02_gateway_ip)</f>
        <v>Value Missing</v>
      </c>
      <c r="Z93" s="4" t="s">
        <v>1285</v>
      </c>
      <c r="AA93" s="337" t="str">
        <f>IF(ISBLANK(input_wld_az1_rack7_uplink02_gateway_ip),"Value Missing",input_wld_az1_rack7_uplink02_gateway_ip)</f>
        <v>Value Missing</v>
      </c>
      <c r="AC93" s="4" t="s">
        <v>1285</v>
      </c>
      <c r="AD93" s="337" t="str">
        <f>IF(ISBLANK(input_wld_az1_rack8_uplink02_gateway_ip),"Value Missing",input_wld_az1_rack8_uplink02_gateway_ip)</f>
        <v>Value Missing</v>
      </c>
      <c r="AG93" s="8"/>
      <c r="AH93" s="8"/>
      <c r="AI93" s="8"/>
      <c r="AJ93" s="8"/>
    </row>
    <row r="94" spans="2:36" s="2" customFormat="1" ht="20.05" customHeight="1" x14ac:dyDescent="0.35">
      <c r="E94" s="4" t="s">
        <v>1287</v>
      </c>
      <c r="F94" s="337" t="str">
        <f>IF(ISBLANK(input_mgmt_az1_edge_overlay_gateway_ip),"Value Missing",input_mgmt_az1_edge_overlay_gateway_ip)</f>
        <v>Value Missing</v>
      </c>
      <c r="H94" s="4" t="s">
        <v>1287</v>
      </c>
      <c r="I94" s="337" t="str">
        <f>IF(ISBLANK(input_wld_az1_edge_overlay_gateway_ip),"Value Missing",input_wld_az1_edge_overlay_gateway_ip)</f>
        <v>Value Missing</v>
      </c>
      <c r="K94" s="4" t="s">
        <v>1287</v>
      </c>
      <c r="L94" s="337" t="str">
        <f>IF(ISBLANK(input_wld_az1_rack2_edge_overlay_gateway_ip),"Value Missing",input_wld_az1_rack2_edge_overlay_gateway_ip)</f>
        <v>Value Missing</v>
      </c>
      <c r="M94" s="15"/>
      <c r="N94" s="4" t="s">
        <v>1287</v>
      </c>
      <c r="O94" s="337" t="str">
        <f>IF(ISBLANK(input_wld_az1_rack3_edge_overlay_gateway_ip),"Value Missing",input_wld_az1_rack3_edge_overlay_gateway_ip)</f>
        <v>Value Missing</v>
      </c>
      <c r="Q94" s="4" t="s">
        <v>1287</v>
      </c>
      <c r="R94" s="337" t="str">
        <f>IF(ISBLANK(input_wld_az1_rack4_edge_overlay_gateway_ip),"Value Missing",input_wld_az1_rack4_edge_overlay_gateway_ip)</f>
        <v>Value Missing</v>
      </c>
      <c r="T94" s="4" t="s">
        <v>1287</v>
      </c>
      <c r="U94" s="337" t="str">
        <f>IF(ISBLANK(input_wld_az1_rack5_edge_overlay_gateway_ip),"Value Missing",input_wld_az1_rack5_edge_overlay_gateway_ip)</f>
        <v>Value Missing</v>
      </c>
      <c r="W94" s="4" t="s">
        <v>1287</v>
      </c>
      <c r="X94" s="337" t="str">
        <f>IF(ISBLANK(input_wld_az1_rack6_edge_overlay_gateway_ip),"Value Missing",input_wld_az1_rack6_edge_overlay_gateway_ip)</f>
        <v>Value Missing</v>
      </c>
      <c r="Z94" s="4" t="s">
        <v>1287</v>
      </c>
      <c r="AA94" s="337" t="str">
        <f>IF(ISBLANK(input_wld_az1_rack7_edge_overlay_gateway_ip),"Value Missing",input_wld_az1_rack7_edge_overlay_gateway_ip)</f>
        <v>Value Missing</v>
      </c>
      <c r="AC94" s="4" t="s">
        <v>1287</v>
      </c>
      <c r="AD94" s="337" t="str">
        <f>IF(ISBLANK(input_wld_az1_rack8_edge_overlay_gateway_ip),"Value Missing",input_wld_az1_rack8_edge_overlay_gateway_ip)</f>
        <v>Value Missing</v>
      </c>
      <c r="AG94" s="8"/>
      <c r="AH94" s="8"/>
      <c r="AI94" s="8"/>
      <c r="AJ94" s="8"/>
    </row>
    <row r="95" spans="2:36" s="2" customFormat="1" ht="20.05" customHeight="1" x14ac:dyDescent="0.35">
      <c r="E95" s="4" t="s">
        <v>1289</v>
      </c>
      <c r="F95" s="337" t="str">
        <f>IF(ISBLANK(input_mgmt_az1_rtep_overlay_gateway_ip),"Value Missing",input_mgmt_az1_rtep_overlay_gateway_ip)</f>
        <v>Value Missing</v>
      </c>
      <c r="H95" s="4" t="s">
        <v>1289</v>
      </c>
      <c r="I95" s="337" t="str">
        <f>IF(ISBLANK(input_wld_az1_rtep_overlay_gateway_ip),"Value Missing",input_wld_az1_rtep_overlay_gateway_ip)</f>
        <v>Value Missing</v>
      </c>
      <c r="K95" s="4" t="s">
        <v>1289</v>
      </c>
      <c r="L95" s="337"/>
      <c r="N95" s="4" t="s">
        <v>1289</v>
      </c>
      <c r="O95" s="337"/>
      <c r="Q95" s="4" t="s">
        <v>1289</v>
      </c>
      <c r="R95" s="337"/>
      <c r="T95" s="4" t="s">
        <v>1289</v>
      </c>
      <c r="U95" s="337"/>
      <c r="W95" s="4" t="s">
        <v>1289</v>
      </c>
      <c r="X95" s="337"/>
      <c r="Z95" s="4" t="s">
        <v>1289</v>
      </c>
      <c r="AA95" s="337"/>
      <c r="AC95" s="4" t="s">
        <v>1289</v>
      </c>
      <c r="AD95" s="337"/>
      <c r="AG95" s="8"/>
      <c r="AH95" s="8"/>
      <c r="AI95" s="8"/>
      <c r="AJ95" s="8"/>
    </row>
    <row r="96" spans="2:36" s="2" customFormat="1" ht="20.05" customHeight="1" x14ac:dyDescent="0.35">
      <c r="E96" s="4" t="s">
        <v>1291</v>
      </c>
      <c r="F96" s="337"/>
      <c r="H96" s="4" t="s">
        <v>1291</v>
      </c>
      <c r="I96" s="337" t="str">
        <f>IF(ISBLANK(input_wld_az1_vrms_gateway_ip),"Value Missing",input_wld_az1_vrms_gateway_ip)</f>
        <v>Value Missing</v>
      </c>
      <c r="K96" s="4" t="s">
        <v>1291</v>
      </c>
      <c r="L96" s="337"/>
      <c r="N96" s="4" t="s">
        <v>1291</v>
      </c>
      <c r="O96" s="337"/>
      <c r="Q96" s="4" t="s">
        <v>1291</v>
      </c>
      <c r="R96" s="337"/>
      <c r="T96" s="4" t="s">
        <v>1291</v>
      </c>
      <c r="U96" s="337"/>
      <c r="W96" s="4" t="s">
        <v>1291</v>
      </c>
      <c r="X96" s="337"/>
      <c r="Z96" s="4" t="s">
        <v>1291</v>
      </c>
      <c r="AA96" s="337"/>
      <c r="AC96" s="4" t="s">
        <v>1291</v>
      </c>
      <c r="AD96" s="337"/>
      <c r="AG96" s="8"/>
      <c r="AH96" s="8"/>
      <c r="AI96" s="8"/>
      <c r="AJ96" s="8"/>
    </row>
    <row r="97" spans="2:36" ht="20.05" customHeight="1" x14ac:dyDescent="0.35">
      <c r="B97" s="2"/>
      <c r="C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2:36" ht="20.05" customHeight="1" x14ac:dyDescent="0.35">
      <c r="B98" s="2"/>
      <c r="C98" s="2"/>
      <c r="E98" s="379" t="s">
        <v>1364</v>
      </c>
      <c r="F98" s="381"/>
      <c r="G98" s="2"/>
      <c r="H98" s="379" t="s">
        <v>1365</v>
      </c>
      <c r="I98" s="381"/>
      <c r="J98" s="2"/>
      <c r="K98" s="379" t="s">
        <v>1366</v>
      </c>
      <c r="L98" s="381"/>
      <c r="M98" s="2"/>
      <c r="N98" s="379" t="s">
        <v>1367</v>
      </c>
      <c r="O98" s="381"/>
      <c r="P98" s="7"/>
      <c r="Q98" s="379" t="s">
        <v>1368</v>
      </c>
      <c r="R98" s="381"/>
      <c r="S98" s="2"/>
      <c r="T98" s="379" t="s">
        <v>1369</v>
      </c>
      <c r="U98" s="381"/>
      <c r="V98" s="2"/>
      <c r="W98" s="379" t="s">
        <v>1370</v>
      </c>
      <c r="X98" s="381"/>
      <c r="Y98" s="2"/>
      <c r="Z98" s="379" t="s">
        <v>1371</v>
      </c>
      <c r="AA98" s="381"/>
      <c r="AB98" s="2"/>
      <c r="AC98" s="379" t="s">
        <v>1372</v>
      </c>
      <c r="AD98" s="381"/>
    </row>
    <row r="99" spans="2:36" s="2" customFormat="1" ht="20.05" customHeight="1" x14ac:dyDescent="0.35">
      <c r="E99" s="11" t="s">
        <v>261</v>
      </c>
      <c r="F99" s="14" t="s">
        <v>1269</v>
      </c>
      <c r="H99" s="11" t="s">
        <v>261</v>
      </c>
      <c r="I99" s="14" t="s">
        <v>1269</v>
      </c>
      <c r="K99" s="11" t="s">
        <v>261</v>
      </c>
      <c r="L99" s="14" t="s">
        <v>1269</v>
      </c>
      <c r="N99" s="11" t="s">
        <v>261</v>
      </c>
      <c r="O99" s="14" t="s">
        <v>1269</v>
      </c>
      <c r="P99" s="15"/>
      <c r="Q99" s="11" t="s">
        <v>261</v>
      </c>
      <c r="R99" s="14" t="s">
        <v>1269</v>
      </c>
      <c r="S99" s="15"/>
      <c r="T99" s="11" t="s">
        <v>261</v>
      </c>
      <c r="U99" s="14" t="s">
        <v>1269</v>
      </c>
      <c r="V99" s="15"/>
      <c r="W99" s="11" t="s">
        <v>261</v>
      </c>
      <c r="X99" s="14" t="s">
        <v>1269</v>
      </c>
      <c r="Y99" s="15"/>
      <c r="Z99" s="11" t="s">
        <v>261</v>
      </c>
      <c r="AA99" s="14" t="s">
        <v>1269</v>
      </c>
      <c r="AB99" s="15"/>
      <c r="AC99" s="11" t="s">
        <v>261</v>
      </c>
      <c r="AD99" s="14" t="s">
        <v>1269</v>
      </c>
      <c r="AG99" s="8"/>
      <c r="AH99" s="8"/>
      <c r="AI99" s="8"/>
      <c r="AJ99" s="8"/>
    </row>
    <row r="100" spans="2:36" s="26" customFormat="1" ht="20.05" customHeight="1" x14ac:dyDescent="0.35">
      <c r="B100" s="2"/>
      <c r="C100" s="2"/>
      <c r="E100" s="4" t="s">
        <v>1025</v>
      </c>
      <c r="F100" s="337" t="str">
        <f>IF(ISBLANK(input_mgmt_en_asn),"Value Missing",input_mgmt_en_asn)</f>
        <v>Value Missing</v>
      </c>
      <c r="G100" s="2"/>
      <c r="H100" s="4" t="s">
        <v>1025</v>
      </c>
      <c r="I100" s="337" t="str">
        <f>IF(ISBLANK(input_wld_en_asn),"Value Missing",input_wld_en_asn)</f>
        <v>Value Missing</v>
      </c>
      <c r="J100" s="2"/>
      <c r="K100" s="4" t="s">
        <v>1025</v>
      </c>
      <c r="L100" s="337" t="str">
        <f>IF(ISBLANK(input_wld_rack2_en_asn),"Value Missing",input_wld_rack2_en_asn)</f>
        <v>Value Missing</v>
      </c>
      <c r="M100" s="2"/>
      <c r="N100" s="4" t="s">
        <v>1025</v>
      </c>
      <c r="O100" s="337" t="str">
        <f>IF(ISBLANK(input_wld_rack3_en_asn),"Value Missing",input_wld_rack3_en_asn)</f>
        <v>Value Missing</v>
      </c>
      <c r="P100" s="2"/>
      <c r="Q100" s="4" t="s">
        <v>1025</v>
      </c>
      <c r="R100" s="337" t="str">
        <f>IF(ISBLANK(input_wld_rack4_en_asn),"Value Missing",input_wld_rack4_en_asn)</f>
        <v>Value Missing</v>
      </c>
      <c r="S100" s="2"/>
      <c r="T100" s="4" t="s">
        <v>1025</v>
      </c>
      <c r="U100" s="337" t="str">
        <f>IF(ISBLANK(input_wld_rack5_en_asn),"Value Missing",input_wld_rack5_en_asn)</f>
        <v>Value Missing</v>
      </c>
      <c r="V100" s="2"/>
      <c r="W100" s="4" t="s">
        <v>1025</v>
      </c>
      <c r="X100" s="337" t="str">
        <f>IF(ISBLANK(input_wld_rack6_en_asn),"Value Missing",input_wld_rack6_en_asn)</f>
        <v>Value Missing</v>
      </c>
      <c r="Y100" s="2"/>
      <c r="Z100" s="4" t="s">
        <v>1025</v>
      </c>
      <c r="AA100" s="337" t="str">
        <f>IF(ISBLANK(input_wld_rack7_en_asn),"Value Missing",input_wld_rack7_en_asn)</f>
        <v>Value Missing</v>
      </c>
      <c r="AB100" s="2"/>
      <c r="AC100" s="4" t="s">
        <v>1025</v>
      </c>
      <c r="AD100" s="337" t="str">
        <f>IF(ISBLANK(input_wld_rack8_en_asn),"Value Missing",input_wld_rack8_en_asn)</f>
        <v>Value Missing</v>
      </c>
      <c r="AG100" s="27"/>
      <c r="AH100" s="27"/>
      <c r="AI100" s="27"/>
      <c r="AJ100" s="27"/>
    </row>
    <row r="101" spans="2:36" s="2" customFormat="1" ht="20.05" customHeight="1" x14ac:dyDescent="0.35">
      <c r="E101" s="4" t="s">
        <v>168</v>
      </c>
      <c r="F101" s="337" t="str">
        <f>IF(ISBLANK(input_mgmt_az1_tor1_peer_ip),"Value Missing",input_mgmt_az1_tor1_peer_ip)</f>
        <v>Value Missing</v>
      </c>
      <c r="H101" s="4" t="s">
        <v>168</v>
      </c>
      <c r="I101" s="337" t="str">
        <f>IF(ISBLANK(input_wld_az1_tor1_peer_ip),"Value Missing",input_wld_az1_tor1_peer_ip)</f>
        <v>Value Missing</v>
      </c>
      <c r="K101" s="4" t="s">
        <v>168</v>
      </c>
      <c r="L101" s="337" t="str">
        <f>IF(ISBLANK(input_wld_az1_rack2_tor1_peer_ip),"Value Missing",input_wld_az1_rack2_tor1_peer_ip)</f>
        <v>Value Missing</v>
      </c>
      <c r="N101" s="4" t="s">
        <v>168</v>
      </c>
      <c r="O101" s="337" t="str">
        <f>IF(ISBLANK(input_wld_az1_rack3_tor1_peer_ip),"Value Missing",input_wld_az1_rack3_tor1_peer_ip)</f>
        <v>Value Missing</v>
      </c>
      <c r="Q101" s="4" t="s">
        <v>168</v>
      </c>
      <c r="R101" s="337" t="str">
        <f>IF(ISBLANK(input_wld_az1_rack4_tor1_peer_ip),"Value Missing",input_wld_az1_rack4_tor1_peer_ip)</f>
        <v>Value Missing</v>
      </c>
      <c r="T101" s="4" t="s">
        <v>168</v>
      </c>
      <c r="U101" s="337" t="str">
        <f>IF(ISBLANK(input_wld_az1_rack5_tor1_peer_ip),"Value Missing",input_wld_az1_rack5_tor1_peer_ip)</f>
        <v>Value Missing</v>
      </c>
      <c r="W101" s="4" t="s">
        <v>168</v>
      </c>
      <c r="X101" s="337" t="str">
        <f>IF(ISBLANK(input_wld_az1_rack6_tor1_peer_ip),"Value Missing",input_wld_az1_rack6_tor1_peer_ip)</f>
        <v>Value Missing</v>
      </c>
      <c r="Z101" s="4" t="s">
        <v>168</v>
      </c>
      <c r="AA101" s="337" t="str">
        <f>IF(ISBLANK(input_wld_az1_rack7_tor1_peer_ip),"Value Missing",input_wld_az1_rack7_tor1_peer_ip)</f>
        <v>Value Missing</v>
      </c>
      <c r="AC101" s="4" t="s">
        <v>168</v>
      </c>
      <c r="AD101" s="337" t="str">
        <f>IF(ISBLANK(input_wld_az1_rack8_tor1_peer_ip),"Value Missing",input_wld_az1_rack8_tor1_peer_ip)</f>
        <v>Value Missing</v>
      </c>
      <c r="AG101" s="8"/>
      <c r="AH101" s="8"/>
      <c r="AI101" s="8"/>
      <c r="AJ101" s="8"/>
    </row>
    <row r="102" spans="2:36" s="2" customFormat="1" ht="20.05" customHeight="1" x14ac:dyDescent="0.35">
      <c r="E102" s="4" t="s">
        <v>169</v>
      </c>
      <c r="F102" s="337" t="str">
        <f>IF(ISBLANK(input_mgmt_az1_tor1_peer_asn),"Value Missing",input_mgmt_az1_tor1_peer_asn)</f>
        <v>Value Missing</v>
      </c>
      <c r="H102" s="4" t="s">
        <v>169</v>
      </c>
      <c r="I102" s="337" t="str">
        <f>IF(ISBLANK(input_wld_az1_tor1_peer_asn),"Value Missing",input_wld_az1_tor1_peer_asn)</f>
        <v>Value Missing</v>
      </c>
      <c r="K102" s="4" t="s">
        <v>169</v>
      </c>
      <c r="L102" s="337" t="str">
        <f>IF(ISBLANK(input_wld_az1_rack2_tor1_peer_asn),"Value Missing",input_wld_az1_rack2_tor1_peer_asn)</f>
        <v>Value Missing</v>
      </c>
      <c r="N102" s="4" t="s">
        <v>169</v>
      </c>
      <c r="O102" s="337" t="str">
        <f>IF(ISBLANK(input_wld_az1_rack3_tor1_peer_asn),"Value Missing",input_wld_az1_rack3_tor1_peer_asn)</f>
        <v>Value Missing</v>
      </c>
      <c r="Q102" s="4" t="s">
        <v>169</v>
      </c>
      <c r="R102" s="337" t="str">
        <f>IF(ISBLANK(input_wld_az1_rack4_tor1_peer_asn),"Value Missing",input_wld_az1_rack4_tor1_peer_asn)</f>
        <v>Value Missing</v>
      </c>
      <c r="T102" s="4" t="s">
        <v>169</v>
      </c>
      <c r="U102" s="337" t="str">
        <f>IF(ISBLANK(input_wld_az1_rack5_tor1_peer_asn),"Value Missing",input_wld_az1_rack5_tor1_peer_asn)</f>
        <v>Value Missing</v>
      </c>
      <c r="W102" s="4" t="s">
        <v>169</v>
      </c>
      <c r="X102" s="337" t="str">
        <f>IF(ISBLANK(input_wld_az1_rack6_tor1_peer_asn),"Value Missing",input_wld_az1_rack6_tor1_peer_asn)</f>
        <v>Value Missing</v>
      </c>
      <c r="Z102" s="4" t="s">
        <v>169</v>
      </c>
      <c r="AA102" s="337" t="str">
        <f>IF(ISBLANK(input_wld_az1_rack7_tor1_peer_asn),"Value Missing",input_wld_az1_rack7_tor1_peer_asn)</f>
        <v>Value Missing</v>
      </c>
      <c r="AC102" s="4" t="s">
        <v>169</v>
      </c>
      <c r="AD102" s="337" t="str">
        <f>IF(ISBLANK(input_wld_az1_rack8_tor1_peer_asn),"Value Missing",input_wld_az1_rack8_tor1_peer_asn)</f>
        <v>Value Missing</v>
      </c>
      <c r="AG102" s="8"/>
      <c r="AH102" s="8"/>
      <c r="AI102" s="8"/>
      <c r="AJ102" s="8"/>
    </row>
    <row r="103" spans="2:36" s="2" customFormat="1" ht="20.05" customHeight="1" x14ac:dyDescent="0.35">
      <c r="E103" s="4" t="s">
        <v>170</v>
      </c>
      <c r="F103" s="337" t="str">
        <f>IF(ISBLANK(input_mgmt_az1_tor1_peer_bgp_password),"Value Missing",input_mgmt_az1_tor1_peer_bgp_password)</f>
        <v>Value Missing</v>
      </c>
      <c r="G103" s="15"/>
      <c r="H103" s="4" t="s">
        <v>170</v>
      </c>
      <c r="I103" s="337" t="str">
        <f>IF(ISBLANK(input_wld_az1_tor1_peer_bgp_password),"Value Missing",input_wld_az1_tor1_peer_bgp_password)</f>
        <v>Value Missing</v>
      </c>
      <c r="J103" s="15"/>
      <c r="K103" s="4" t="s">
        <v>170</v>
      </c>
      <c r="L103" s="337" t="str">
        <f>IF(ISBLANK(input_wld_az1_rack2_tor1_peer_bgp_password),"Value Missing",input_wld_az1_rack2_tor1_peer_bgp_password)</f>
        <v>Value Missing</v>
      </c>
      <c r="N103" s="4" t="s">
        <v>170</v>
      </c>
      <c r="O103" s="337" t="str">
        <f>IF(ISBLANK(input_wld_az1_rack3_tor1_peer_bgp_password),"Value Missing",input_wld_az1_rack3_tor1_peer_bgp_password)</f>
        <v>Value Missing</v>
      </c>
      <c r="Q103" s="4" t="s">
        <v>170</v>
      </c>
      <c r="R103" s="337" t="str">
        <f>IF(ISBLANK(input_wld_az1_rack4_tor1_peer_bgp_password),"Value Missing",input_wld_az1_rack4_tor1_peer_bgp_password)</f>
        <v>Value Missing</v>
      </c>
      <c r="T103" s="4" t="s">
        <v>170</v>
      </c>
      <c r="U103" s="337" t="str">
        <f>IF(ISBLANK(input_wld_az1_rack5_tor1_peer_bgp_password),"Value Missing",input_wld_az1_rack5_tor1_peer_bgp_password)</f>
        <v>Value Missing</v>
      </c>
      <c r="W103" s="4" t="s">
        <v>170</v>
      </c>
      <c r="X103" s="337" t="str">
        <f>IF(ISBLANK(input_wld_az1_rack6_tor1_peer_bgp_password),"Value Missing",input_wld_az1_rack6_tor1_peer_bgp_password)</f>
        <v>Value Missing</v>
      </c>
      <c r="Z103" s="4" t="s">
        <v>170</v>
      </c>
      <c r="AA103" s="337" t="str">
        <f>IF(ISBLANK(input_wld_az1_rack7_tor1_peer_bgp_password),"Value Missing",input_wld_az1_rack7_tor1_peer_bgp_password)</f>
        <v>Value Missing</v>
      </c>
      <c r="AC103" s="4" t="s">
        <v>170</v>
      </c>
      <c r="AD103" s="337" t="str">
        <f>IF(ISBLANK(input_wld_az1_rack8_tor1_peer_bgp_password),"Value Missing",input_wld_az1_rack8_tor1_peer_bgp_password)</f>
        <v>Value Missing</v>
      </c>
      <c r="AG103" s="8"/>
      <c r="AH103" s="8"/>
      <c r="AI103" s="8"/>
      <c r="AJ103" s="8"/>
    </row>
    <row r="104" spans="2:36" s="2" customFormat="1" ht="20.05" customHeight="1" x14ac:dyDescent="0.35">
      <c r="E104" s="4" t="s">
        <v>171</v>
      </c>
      <c r="F104" s="337" t="str">
        <f>IF(ISBLANK(input_mgmt_az1_tor2_peer_ip),"Value Missing",input_mgmt_az1_tor2_peer_ip)</f>
        <v>Value Missing</v>
      </c>
      <c r="H104" s="4" t="s">
        <v>171</v>
      </c>
      <c r="I104" s="337" t="str">
        <f>IF(ISBLANK(input_wld_az1_tor2_peer_ip),"Value Missing",input_wld_az1_tor2_peer_ip)</f>
        <v>Value Missing</v>
      </c>
      <c r="K104" s="4" t="s">
        <v>171</v>
      </c>
      <c r="L104" s="337" t="str">
        <f>IF(ISBLANK(input_wld_az1_rack2_tor2_peer_ip),"Value Missing",input_wld_az1_rack2_tor2_peer_ip)</f>
        <v>Value Missing</v>
      </c>
      <c r="M104" s="15"/>
      <c r="N104" s="4" t="s">
        <v>171</v>
      </c>
      <c r="O104" s="337" t="str">
        <f>IF(ISBLANK(input_wld_az1_rack3_tor2_peer_ip),"Value Missing",input_wld_az1_rack3_tor2_peer_ip)</f>
        <v>Value Missing</v>
      </c>
      <c r="Q104" s="4" t="s">
        <v>171</v>
      </c>
      <c r="R104" s="337" t="str">
        <f>IF(ISBLANK(input_wld_az1_rack4_tor2_peer_ip),"Value Missing",input_wld_az1_rack4_tor2_peer_ip)</f>
        <v>Value Missing</v>
      </c>
      <c r="T104" s="4" t="s">
        <v>171</v>
      </c>
      <c r="U104" s="337" t="str">
        <f>IF(ISBLANK(input_wld_az1_rack5_tor2_peer_ip),"Value Missing",input_wld_az1_rack5_tor2_peer_ip)</f>
        <v>Value Missing</v>
      </c>
      <c r="W104" s="4" t="s">
        <v>171</v>
      </c>
      <c r="X104" s="337" t="str">
        <f>IF(ISBLANK(input_wld_az1_rack6_tor2_peer_ip),"Value Missing",input_wld_az1_rack6_tor2_peer_ip)</f>
        <v>Value Missing</v>
      </c>
      <c r="Z104" s="4" t="s">
        <v>171</v>
      </c>
      <c r="AA104" s="337" t="str">
        <f>IF(ISBLANK(input_wld_az1_rack7_tor2_peer_ip),"Value Missing",input_wld_az1_rack7_tor2_peer_ip)</f>
        <v>Value Missing</v>
      </c>
      <c r="AC104" s="4" t="s">
        <v>171</v>
      </c>
      <c r="AD104" s="337" t="str">
        <f>IF(ISBLANK(input_wld_az1_rack8_tor2_peer_ip),"Value Missing",input_wld_az1_rack8_tor2_peer_ip)</f>
        <v>Value Missing</v>
      </c>
      <c r="AG104" s="8"/>
      <c r="AH104" s="8"/>
      <c r="AI104" s="8"/>
      <c r="AJ104" s="8"/>
    </row>
    <row r="105" spans="2:36" s="2" customFormat="1" ht="20.05" customHeight="1" x14ac:dyDescent="0.35">
      <c r="E105" s="4" t="s">
        <v>172</v>
      </c>
      <c r="F105" s="337" t="str">
        <f>IF(ISBLANK(input_mgmt_az1_tor2_peer_asn),"Value Missing",input_mgmt_az1_tor2_peer_asn)</f>
        <v>Value Missing</v>
      </c>
      <c r="H105" s="4" t="s">
        <v>172</v>
      </c>
      <c r="I105" s="337" t="str">
        <f>IF(ISBLANK(input_wld_az1_tor2_peer_asn),"Value Missing",input_wld_az1_tor2_peer_asn)</f>
        <v>Value Missing</v>
      </c>
      <c r="K105" s="4" t="s">
        <v>172</v>
      </c>
      <c r="L105" s="337" t="str">
        <f>IF(ISBLANK(input_wld_az1_rack2_tor2_peer_asn),"Value Missing",input_wld_az1_rack2_tor2_peer_asn)</f>
        <v>Value Missing</v>
      </c>
      <c r="N105" s="4" t="s">
        <v>172</v>
      </c>
      <c r="O105" s="337" t="str">
        <f>IF(ISBLANK(input_wld_az1_rack3_tor2_peer_asn),"Value Missing",input_wld_az1_rack3_tor2_peer_asn)</f>
        <v>Value Missing</v>
      </c>
      <c r="Q105" s="4" t="s">
        <v>172</v>
      </c>
      <c r="R105" s="337" t="str">
        <f>IF(ISBLANK(input_wld_az1_rack4_tor2_peer_asn),"Value Missing",input_wld_az1_rack4_tor2_peer_asn)</f>
        <v>Value Missing</v>
      </c>
      <c r="T105" s="4" t="s">
        <v>172</v>
      </c>
      <c r="U105" s="337" t="str">
        <f>IF(ISBLANK(input_wld_az1_rack5_tor2_peer_asn),"Value Missing",input_wld_az1_rack5_tor2_peer_asn)</f>
        <v>Value Missing</v>
      </c>
      <c r="W105" s="4" t="s">
        <v>172</v>
      </c>
      <c r="X105" s="337" t="str">
        <f>IF(ISBLANK(input_wld_az1_rack6_tor2_peer_asn),"Value Missing",input_wld_az1_rack6_tor2_peer_asn)</f>
        <v>Value Missing</v>
      </c>
      <c r="Z105" s="4" t="s">
        <v>172</v>
      </c>
      <c r="AA105" s="337" t="str">
        <f>IF(ISBLANK(input_wld_az1_rack7_tor2_peer_asn),"Value Missing",input_wld_az1_rack7_tor2_peer_asn)</f>
        <v>Value Missing</v>
      </c>
      <c r="AC105" s="4" t="s">
        <v>172</v>
      </c>
      <c r="AD105" s="337" t="str">
        <f>IF(ISBLANK(input_wld_az1_rack8_tor2_peer_asn),"Value Missing",input_wld_az1_rack8_tor2_peer_asn)</f>
        <v>Value Missing</v>
      </c>
      <c r="AG105" s="8"/>
      <c r="AH105" s="8"/>
      <c r="AI105" s="8"/>
      <c r="AJ105" s="8"/>
    </row>
    <row r="106" spans="2:36" s="7" customFormat="1" ht="20.05" customHeight="1" x14ac:dyDescent="0.35">
      <c r="B106" s="2"/>
      <c r="C106" s="2"/>
      <c r="E106" s="4" t="s">
        <v>173</v>
      </c>
      <c r="F106" s="337" t="str">
        <f>IF(ISBLANK(input_mgmt_az1_tor2_peer_bgp_password),"Value Missing",input_mgmt_az1_tor2_peer_bgp_password)</f>
        <v>Value Missing</v>
      </c>
      <c r="G106" s="2"/>
      <c r="H106" s="4" t="s">
        <v>173</v>
      </c>
      <c r="I106" s="337" t="str">
        <f>IF(ISBLANK(input_wld_az1_tor2_peer_bgp_password),"Value Missing",input_wld_az1_tor2_peer_bgp_password)</f>
        <v>Value Missing</v>
      </c>
      <c r="J106" s="2"/>
      <c r="K106" s="4" t="s">
        <v>173</v>
      </c>
      <c r="L106" s="337" t="str">
        <f>IF(ISBLANK(input_wld_az1_rack2_tor2_peer_bgp_password),"Value Missing",input_wld_az1_rack2_tor2_peer_bgp_password)</f>
        <v>Value Missing</v>
      </c>
      <c r="M106" s="2"/>
      <c r="N106" s="4" t="s">
        <v>173</v>
      </c>
      <c r="O106" s="337" t="str">
        <f>IF(ISBLANK(input_wld_az1_rack3_tor2_peer_bgp_password),"Value Missing",input_wld_az1_rack3_tor2_peer_bgp_password)</f>
        <v>Value Missing</v>
      </c>
      <c r="P106" s="2"/>
      <c r="Q106" s="4" t="s">
        <v>173</v>
      </c>
      <c r="R106" s="337" t="str">
        <f>IF(ISBLANK(input_wld_az1_rack4_tor2_peer_bgp_password),"Value Missing",input_wld_az1_rack4_tor2_peer_bgp_password)</f>
        <v>Value Missing</v>
      </c>
      <c r="S106" s="2"/>
      <c r="T106" s="4" t="s">
        <v>173</v>
      </c>
      <c r="U106" s="337" t="str">
        <f>IF(ISBLANK(input_wld_az1_rack5_tor2_peer_bgp_password),"Value Missing",input_wld_az1_rack5_tor2_peer_bgp_password)</f>
        <v>Value Missing</v>
      </c>
      <c r="V106" s="2"/>
      <c r="W106" s="4" t="s">
        <v>173</v>
      </c>
      <c r="X106" s="337" t="str">
        <f>IF(ISBLANK(input_wld_az1_rack6_tor2_peer_bgp_password),"Value Missing",input_wld_az1_rack6_tor2_peer_bgp_password)</f>
        <v>Value Missing</v>
      </c>
      <c r="Y106" s="2"/>
      <c r="Z106" s="4" t="s">
        <v>173</v>
      </c>
      <c r="AA106" s="337" t="str">
        <f>IF(ISBLANK(input_wld_az1_rack7_tor2_peer_bgp_password),"Value Missing",input_wld_az1_rack7_tor2_peer_bgp_password)</f>
        <v>Value Missing</v>
      </c>
      <c r="AB106" s="2"/>
      <c r="AC106" s="4" t="s">
        <v>173</v>
      </c>
      <c r="AD106" s="337" t="str">
        <f>IF(ISBLANK(input_wld_az1_rack8_tor2_peer_bgp_password),"Value Missing",input_wld_az1_rack8_tor2_peer_bgp_password)</f>
        <v>Value Missing</v>
      </c>
      <c r="AG106" s="8"/>
      <c r="AH106" s="8"/>
      <c r="AI106" s="19"/>
      <c r="AJ106" s="19"/>
    </row>
    <row r="107" spans="2:36" s="2" customFormat="1" ht="20.05" customHeight="1" x14ac:dyDescent="0.35">
      <c r="I107" s="3"/>
      <c r="L107" s="3"/>
      <c r="O107" s="3"/>
      <c r="R107" s="3"/>
      <c r="U107" s="3"/>
      <c r="X107" s="3"/>
      <c r="AA107" s="3"/>
      <c r="AD107" s="3"/>
      <c r="AG107" s="8"/>
      <c r="AH107" s="8"/>
    </row>
    <row r="108" spans="2:36" s="2" customFormat="1" ht="20.05" customHeight="1" x14ac:dyDescent="0.35">
      <c r="E108" s="379" t="s">
        <v>1373</v>
      </c>
      <c r="F108" s="381"/>
      <c r="H108" s="379" t="s">
        <v>1374</v>
      </c>
      <c r="I108" s="381"/>
      <c r="K108" s="379" t="s">
        <v>1375</v>
      </c>
      <c r="L108" s="381"/>
      <c r="N108" s="379" t="s">
        <v>1376</v>
      </c>
      <c r="O108" s="381"/>
      <c r="Q108" s="379" t="s">
        <v>1377</v>
      </c>
      <c r="R108" s="381"/>
      <c r="T108" s="379" t="s">
        <v>1378</v>
      </c>
      <c r="U108" s="381"/>
      <c r="W108" s="379" t="s">
        <v>1379</v>
      </c>
      <c r="X108" s="381"/>
      <c r="Z108" s="379" t="s">
        <v>1380</v>
      </c>
      <c r="AA108" s="381"/>
      <c r="AC108" s="379" t="s">
        <v>1381</v>
      </c>
      <c r="AD108" s="381"/>
      <c r="AG108" s="8"/>
      <c r="AH108" s="8"/>
    </row>
    <row r="109" spans="2:36" s="2" customFormat="1" ht="20.05" customHeight="1" x14ac:dyDescent="0.35">
      <c r="E109" s="11" t="s">
        <v>261</v>
      </c>
      <c r="F109" s="14" t="s">
        <v>1269</v>
      </c>
      <c r="H109" s="11" t="s">
        <v>261</v>
      </c>
      <c r="I109" s="14" t="s">
        <v>1269</v>
      </c>
      <c r="K109" s="11" t="s">
        <v>261</v>
      </c>
      <c r="L109" s="14" t="s">
        <v>1269</v>
      </c>
      <c r="N109" s="11" t="s">
        <v>261</v>
      </c>
      <c r="O109" s="14" t="s">
        <v>1269</v>
      </c>
      <c r="P109" s="15"/>
      <c r="Q109" s="11" t="s">
        <v>261</v>
      </c>
      <c r="R109" s="14" t="s">
        <v>1269</v>
      </c>
      <c r="S109" s="15"/>
      <c r="T109" s="11" t="s">
        <v>261</v>
      </c>
      <c r="U109" s="14" t="s">
        <v>1269</v>
      </c>
      <c r="V109" s="15"/>
      <c r="W109" s="11" t="s">
        <v>261</v>
      </c>
      <c r="X109" s="14" t="s">
        <v>1269</v>
      </c>
      <c r="Y109" s="15"/>
      <c r="Z109" s="11" t="s">
        <v>261</v>
      </c>
      <c r="AA109" s="14" t="s">
        <v>1269</v>
      </c>
      <c r="AB109" s="15"/>
      <c r="AC109" s="11" t="s">
        <v>261</v>
      </c>
      <c r="AD109" s="14" t="s">
        <v>1269</v>
      </c>
      <c r="AG109" s="8"/>
      <c r="AH109" s="8"/>
    </row>
    <row r="110" spans="2:36" s="2" customFormat="1" ht="20.05" customHeight="1" x14ac:dyDescent="0.35">
      <c r="E110" s="4" t="s">
        <v>1272</v>
      </c>
      <c r="F110" s="337" t="str">
        <f>IF(ISBLANK(input_mgmt_cl01_az1_mgmt_vm_pg),"Value Missing",input_mgmt_cl01_az1_mgmt_vm_pg)</f>
        <v>Value Missing</v>
      </c>
      <c r="H110" s="4" t="s">
        <v>1272</v>
      </c>
      <c r="I110" s="337" t="str">
        <f>IF(ISBLANK(input_wld_cl01_az1_mgmt_vm_pg),"Value Missing",input_wld_cl01_az1_mgmt_vm_pg)</f>
        <v>Value Missing</v>
      </c>
      <c r="K110" s="4" t="s">
        <v>1272</v>
      </c>
      <c r="L110" s="337" t="str">
        <f>CONCATENATE(input_wld_cl01_az1_mgmt_vm_pg,"_VLAN_",wld_az1_rack2_mgmt_vm_vlan)</f>
        <v>_VLAN_Value Missing</v>
      </c>
      <c r="N110" s="4" t="s">
        <v>1272</v>
      </c>
      <c r="O110" s="337" t="str">
        <f>CONCATENATE(input_wld_cl01_az1_mgmt_vm_pg,"_VLAN_",wld_az1_rack3_mgmt_vm_vlan)</f>
        <v>_VLAN_Value Missing</v>
      </c>
      <c r="Q110" s="4" t="s">
        <v>1272</v>
      </c>
      <c r="R110" s="337" t="str">
        <f>CONCATENATE(input_wld_cl01_az1_mgmt_vm_pg,"_VLAN_",wld_az1_rack4_mgmt_vm_vlan)</f>
        <v>_VLAN_Value Missing</v>
      </c>
      <c r="T110" s="4" t="s">
        <v>1272</v>
      </c>
      <c r="U110" s="337" t="str">
        <f>CONCATENATE(input_wld_cl01_az1_mgmt_vm_pg,"_VLAN_",wld_az1_rack5_mgmt_vm_vlan)</f>
        <v>_VLAN_Value Missing</v>
      </c>
      <c r="W110" s="4" t="s">
        <v>1272</v>
      </c>
      <c r="X110" s="337" t="str">
        <f>CONCATENATE(input_wld_cl01_az1_mgmt_vm_pg,"_VLAN_",wld_az1_rack6_mgmt_vm_vlan)</f>
        <v>_VLAN_Value Missing</v>
      </c>
      <c r="Z110" s="4" t="s">
        <v>1272</v>
      </c>
      <c r="AA110" s="337" t="str">
        <f>CONCATENATE(input_wld_cl01_az1_mgmt_vm_pg,"_VLAN_",wld_az1_rack7_mgmt_vm_vlan)</f>
        <v>_VLAN_Value Missing</v>
      </c>
      <c r="AC110" s="4" t="s">
        <v>1272</v>
      </c>
      <c r="AD110" s="337" t="str">
        <f>CONCATENATE(input_wld_cl01_az1_mgmt_vm_pg,"_VLAN_",wld_az1_rack8_mgmt_vm_vlan)</f>
        <v>_VLAN_Value Missing</v>
      </c>
      <c r="AG110" s="8"/>
      <c r="AH110" s="8"/>
    </row>
    <row r="111" spans="2:36" s="2" customFormat="1" ht="20.05" customHeight="1" x14ac:dyDescent="0.35">
      <c r="E111" s="4" t="s">
        <v>1274</v>
      </c>
      <c r="F111" s="337" t="str">
        <f>IF(ISBLANK(input_mgmt_cl01_az1_mgmt_pg),"Value Missing",input_mgmt_cl01_az1_mgmt_pg)</f>
        <v>Value Missing</v>
      </c>
      <c r="H111" s="4" t="s">
        <v>1274</v>
      </c>
      <c r="I111" s="337" t="str">
        <f>IF(ISBLANK(input_wld_cl01_az1_mgmt_pg),"Value Missing",input_wld_cl01_az1_mgmt_pg)</f>
        <v>Value Missing</v>
      </c>
      <c r="K111" s="4" t="s">
        <v>1274</v>
      </c>
      <c r="L111" s="331" t="str">
        <f>CONCATENATE(input_wld_cl01_az1_mgmt_pg,"_VLAN_",wld_az1_rack2_mgmt_vlan)</f>
        <v>_VLAN_Value Missing</v>
      </c>
      <c r="N111" s="4" t="s">
        <v>1274</v>
      </c>
      <c r="O111" s="337" t="str">
        <f>CONCATENATE(input_wld_cl01_az1_mgmt_pg,"_VLAN_",wld_az1_rack3_mgmt_vlan)</f>
        <v>_VLAN_Value Missing</v>
      </c>
      <c r="Q111" s="4" t="s">
        <v>1274</v>
      </c>
      <c r="R111" s="337" t="str">
        <f>CONCATENATE(input_wld_cl01_az1_mgmt_pg,"_VLAN_",wld_az1_rack4_mgmt_vlan)</f>
        <v>_VLAN_Value Missing</v>
      </c>
      <c r="T111" s="4" t="s">
        <v>1274</v>
      </c>
      <c r="U111" s="337" t="str">
        <f>CONCATENATE(input_wld_cl01_az1_mgmt_pg,"_VLAN_",wld_az1_rack5_mgmt_vlan)</f>
        <v>_VLAN_Value Missing</v>
      </c>
      <c r="W111" s="4" t="s">
        <v>1274</v>
      </c>
      <c r="X111" s="337" t="str">
        <f>CONCATENATE(input_wld_cl01_az1_mgmt_pg,"_VLAN_",wld_az1_rack6_mgmt_vlan)</f>
        <v>_VLAN_Value Missing</v>
      </c>
      <c r="Z111" s="4" t="s">
        <v>1274</v>
      </c>
      <c r="AA111" s="337" t="str">
        <f>CONCATENATE(input_wld_cl01_az1_mgmt_pg,"_VLAN_",wld_az1_rack7_mgmt_vlan)</f>
        <v>_VLAN_Value Missing</v>
      </c>
      <c r="AC111" s="4" t="s">
        <v>1274</v>
      </c>
      <c r="AD111" s="337" t="str">
        <f>CONCATENATE(input_wld_cl01_az1_mgmt_pg,"_VLAN_",wld_az1_rack8_mgmt_vlan)</f>
        <v>_VLAN_Value Missing</v>
      </c>
      <c r="AG111" s="8"/>
      <c r="AH111" s="8"/>
    </row>
    <row r="112" spans="2:36" s="2" customFormat="1" ht="20.05" customHeight="1" x14ac:dyDescent="0.35">
      <c r="E112" s="4" t="s">
        <v>251</v>
      </c>
      <c r="F112" s="337" t="str">
        <f>IF(ISBLANK(input_mgmt_cl01_az1_vmotion_pg),"Value Missing",input_mgmt_cl01_az1_vmotion_pg)</f>
        <v>Value Missing</v>
      </c>
      <c r="H112" s="4" t="s">
        <v>251</v>
      </c>
      <c r="I112" s="337" t="str">
        <f>IF(ISBLANK(input_wld_cl01_az1_vmotion_pg),"Value Missing",input_wld_cl01_az1_vmotion_pg)</f>
        <v>Value Missing</v>
      </c>
      <c r="K112" s="4" t="s">
        <v>251</v>
      </c>
      <c r="L112" s="337" t="str">
        <f>CONCATENATE(input_wld_cl01_az1_vmotion_pg,"_VLAN_",wld_az1_rack2_vmotion_vlan)</f>
        <v>_VLAN_Value Missing</v>
      </c>
      <c r="N112" s="4" t="s">
        <v>251</v>
      </c>
      <c r="O112" s="337" t="str">
        <f>CONCATENATE(input_wld_cl01_az1_vmotion_pg,"_VLAN_",wld_az1_rack3_vmotion_vlan)</f>
        <v>_VLAN_Value Missing</v>
      </c>
      <c r="Q112" s="4" t="s">
        <v>251</v>
      </c>
      <c r="R112" s="337" t="str">
        <f>CONCATENATE(input_wld_cl01_az1_vmotion_pg,"_VLAN_",wld_az1_rack4_vmotion_vlan)</f>
        <v>_VLAN_Value Missing</v>
      </c>
      <c r="T112" s="4" t="s">
        <v>251</v>
      </c>
      <c r="U112" s="337" t="str">
        <f>CONCATENATE(input_wld_cl01_az1_vmotion_pg,"_VLAN_",wld_az1_rack5_vmotion_vlan)</f>
        <v>_VLAN_Value Missing</v>
      </c>
      <c r="W112" s="4" t="s">
        <v>251</v>
      </c>
      <c r="X112" s="337" t="str">
        <f>CONCATENATE(input_wld_cl01_az1_vmotion_pg,"_VLAN_",wld_az1_rack6_vmotion_vlan)</f>
        <v>_VLAN_Value Missing</v>
      </c>
      <c r="Z112" s="4" t="s">
        <v>251</v>
      </c>
      <c r="AA112" s="337" t="str">
        <f>CONCATENATE(input_wld_cl01_az1_vmotion_pg,"_VLAN_",wld_az1_rack7_vmotion_vlan)</f>
        <v>_VLAN_Value Missing</v>
      </c>
      <c r="AC112" s="4" t="s">
        <v>251</v>
      </c>
      <c r="AD112" s="337" t="str">
        <f>CONCATENATE(input_wld_cl01_az1_vmotion_pg,"_VLAN_",wld_az1_rack8_vmotion_vlan)</f>
        <v>_VLAN_Value Missing</v>
      </c>
      <c r="AG112" s="8"/>
      <c r="AH112" s="8"/>
    </row>
    <row r="113" spans="2:34" s="2" customFormat="1" ht="20.05" customHeight="1" x14ac:dyDescent="0.35">
      <c r="E113" s="4" t="s">
        <v>257</v>
      </c>
      <c r="F113" s="337" t="str">
        <f>IF(ISBLANK(input_mgmt_cl01_az1_vsan_pg),"Value Missing",input_mgmt_cl01_az1_vsan_pg)</f>
        <v>Value Missing</v>
      </c>
      <c r="H113" s="4" t="s">
        <v>257</v>
      </c>
      <c r="I113" s="337" t="str">
        <f>IF(ISBLANK(input_wld_cl01_az1_principal_storage_pg),"Value Missing",input_wld_cl01_az1_principal_storage_pg)</f>
        <v>Value Missing</v>
      </c>
      <c r="K113" s="4" t="s">
        <v>257</v>
      </c>
      <c r="L113" s="337" t="str">
        <f>CONCATENATE(input_wld_cl01_az1_principal_storage_pg,"_VLAN_",wld_az1_rack2_principal_storage_vlan)</f>
        <v>_VLAN_Value Missing</v>
      </c>
      <c r="N113" s="4" t="s">
        <v>257</v>
      </c>
      <c r="O113" s="337" t="str">
        <f>CONCATENATE(input_wld_cl01_az1_principal_storage_pg,"_VLAN_",wld_az1_rack3_principal_storage_vlan)</f>
        <v>_VLAN_Value Missing</v>
      </c>
      <c r="Q113" s="4" t="s">
        <v>257</v>
      </c>
      <c r="R113" s="337" t="str">
        <f>CONCATENATE(input_wld_cl01_az1_principal_storage_pg,"_VLAN_",wld_az1_rack4_principal_storage_vlan)</f>
        <v>_VLAN_Value Missing</v>
      </c>
      <c r="T113" s="4" t="s">
        <v>257</v>
      </c>
      <c r="U113" s="337" t="str">
        <f>CONCATENATE(input_wld_cl01_az1_principal_storage_pg,"_VLAN_",wld_az1_rack5_principal_storage_vlan)</f>
        <v>_VLAN_Value Missing</v>
      </c>
      <c r="W113" s="4" t="s">
        <v>257</v>
      </c>
      <c r="X113" s="337" t="str">
        <f>CONCATENATE(input_wld_cl01_az1_principal_storage_pg,"_VLAN_",wld_az1_rack6_principal_storage_vlan)</f>
        <v>_VLAN_Value Missing</v>
      </c>
      <c r="Z113" s="4" t="s">
        <v>257</v>
      </c>
      <c r="AA113" s="337" t="str">
        <f>CONCATENATE(input_wld_cl01_az1_principal_storage_pg,"_VLAN_",wld_az1_rack7_principal_storage_vlan)</f>
        <v>_VLAN_Value Missing</v>
      </c>
      <c r="AC113" s="4" t="s">
        <v>257</v>
      </c>
      <c r="AD113" s="337" t="str">
        <f>CONCATENATE(input_wld_cl01_az1_principal_storage_pg,"_VLAN_",wld_az1_rack8_principal_storage_vlan)</f>
        <v>_VLAN_Value Missing</v>
      </c>
      <c r="AG113" s="8"/>
      <c r="AH113" s="8"/>
    </row>
    <row r="114" spans="2:34" s="2" customFormat="1" ht="20.05" customHeight="1" x14ac:dyDescent="0.35">
      <c r="E114" s="4" t="s">
        <v>1278</v>
      </c>
      <c r="F114" s="337" t="s">
        <v>632</v>
      </c>
      <c r="H114" s="4" t="s">
        <v>1278</v>
      </c>
      <c r="I114" s="337" t="s">
        <v>632</v>
      </c>
      <c r="K114" s="4" t="s">
        <v>1283</v>
      </c>
      <c r="L114" s="337" t="str">
        <f>CONCATENATE(input_wld_cl01_az1_uplink01_pg,"_VLAN_",wld_az1_rack2_uplink01_vlan)</f>
        <v>_VLAN_Value Missing</v>
      </c>
      <c r="N114" s="4" t="s">
        <v>1283</v>
      </c>
      <c r="O114" s="337" t="str">
        <f>CONCATENATE(input_wld_cl01_az1_uplink01_pg,"_VLAN_",wld_az1_rack3_uplink01_vlan)</f>
        <v>_VLAN_Value Missing</v>
      </c>
      <c r="Q114" s="4" t="s">
        <v>1283</v>
      </c>
      <c r="R114" s="337" t="str">
        <f>CONCATENATE(input_wld_cl01_az1_uplink01_pg,"_VLAN_",wld_az1_rack4_uplink01_vlan)</f>
        <v>_VLAN_Value Missing</v>
      </c>
      <c r="T114" s="4" t="s">
        <v>1283</v>
      </c>
      <c r="U114" s="337" t="str">
        <f>CONCATENATE(input_wld_cl01_az1_uplink01_pg,"_VLAN_",wld_az1_rack5_uplink01_vlan)</f>
        <v>_VLAN_Value Missing</v>
      </c>
      <c r="W114" s="4" t="s">
        <v>1283</v>
      </c>
      <c r="X114" s="337" t="str">
        <f>CONCATENATE(input_wld_cl01_az1_uplink01_pg,"_VLAN_",wld_az1_rack6_uplink01_vlan)</f>
        <v>_VLAN_Value Missing</v>
      </c>
      <c r="Z114" s="4" t="s">
        <v>1283</v>
      </c>
      <c r="AA114" s="337" t="str">
        <f>CONCATENATE(input_wld_cl01_az1_uplink01_pg,"_VLAN_",wld_az1_rack7_uplink01_vlan)</f>
        <v>_VLAN_Value Missing</v>
      </c>
      <c r="AC114" s="4" t="s">
        <v>1283</v>
      </c>
      <c r="AD114" s="337" t="str">
        <f>CONCATENATE(input_wld_cl01_az1_uplink01_pg,"_VLAN_",wld_az1_rack8_uplink01_vlan)</f>
        <v>_VLAN_Value Missing</v>
      </c>
      <c r="AG114" s="8"/>
      <c r="AH114" s="8"/>
    </row>
    <row r="115" spans="2:34" s="2" customFormat="1" ht="20.05" customHeight="1" x14ac:dyDescent="0.35">
      <c r="E115" s="4" t="s">
        <v>1291</v>
      </c>
      <c r="F115" s="337" t="str">
        <f>mgmt_vrms_pg</f>
        <v>Value Missing</v>
      </c>
      <c r="G115" s="6"/>
      <c r="H115" s="4" t="s">
        <v>1291</v>
      </c>
      <c r="I115" s="337" t="str">
        <f>wld_vrms_pg</f>
        <v>Value Missing</v>
      </c>
      <c r="K115" s="4" t="s">
        <v>1285</v>
      </c>
      <c r="L115" s="337" t="str">
        <f>CONCATENATE(input_wld_cl01_az1_uplink02_pg,"_VLAN_",wld_az1_rack2_uplink02_vlan)</f>
        <v>_VLAN_Value Missing</v>
      </c>
      <c r="N115" s="4" t="s">
        <v>1285</v>
      </c>
      <c r="O115" s="337" t="str">
        <f>CONCATENATE(input_wld_cl01_az1_uplink02_pg,"_VLAN_",wld_az1_rack3_uplink02_vlan)</f>
        <v>_VLAN_Value Missing</v>
      </c>
      <c r="Q115" s="4" t="s">
        <v>1285</v>
      </c>
      <c r="R115" s="337" t="str">
        <f>CONCATENATE(input_wld_cl01_az1_uplink02_pg,"_VLAN_",wld_az1_rack4_uplink02_vlan)</f>
        <v>_VLAN_Value Missing</v>
      </c>
      <c r="T115" s="4" t="s">
        <v>1285</v>
      </c>
      <c r="U115" s="337" t="str">
        <f>CONCATENATE(input_wld_cl01_az1_uplink02_pg,"_VLAN_",wld_az1_rack5_uplink02_vlan)</f>
        <v>_VLAN_Value Missing</v>
      </c>
      <c r="W115" s="4" t="s">
        <v>1285</v>
      </c>
      <c r="X115" s="337" t="str">
        <f>CONCATENATE(input_wld_cl01_az1_uplink02_pg,"_VLAN_",wld_az1_rack6_uplink02_vlan)</f>
        <v>_VLAN_Value Missing</v>
      </c>
      <c r="Z115" s="4" t="s">
        <v>1285</v>
      </c>
      <c r="AA115" s="337" t="str">
        <f>CONCATENATE(input_wld_cl01_az1_uplink02_pg,"_VLAN_",wld_az1_rack7_uplink02_vlan)</f>
        <v>_VLAN_Value Missing</v>
      </c>
      <c r="AC115" s="4" t="s">
        <v>1285</v>
      </c>
      <c r="AD115" s="337" t="str">
        <f>CONCATENATE(input_wld_cl01_az1_uplink02_pg,"_VLAN_",wld_az1_rack8_uplink02_vlan)</f>
        <v>_VLAN_Value Missing</v>
      </c>
      <c r="AG115" s="8"/>
      <c r="AH115" s="8"/>
    </row>
    <row r="116" spans="2:34" s="2" customFormat="1" ht="20.05" customHeight="1" x14ac:dyDescent="0.35">
      <c r="E116" s="4" t="s">
        <v>1283</v>
      </c>
      <c r="F116" s="337" t="str">
        <f>IF(ISBLANK(input_mgmt_cl01_az1_uplink01_pg),"Value Missing",input_mgmt_cl01_az1_uplink01_pg)</f>
        <v>Value Missing</v>
      </c>
      <c r="H116" s="4" t="s">
        <v>1283</v>
      </c>
      <c r="I116" s="337" t="str">
        <f>IF(ISBLANK(input_wld_cl01_az1_uplink01_pg),"Value Missing",input_wld_cl01_az1_uplink01_pg)</f>
        <v>Value Missing</v>
      </c>
      <c r="K116" s="6"/>
      <c r="L116" s="6"/>
      <c r="N116" s="6"/>
      <c r="O116" s="6"/>
      <c r="Q116" s="6"/>
      <c r="R116" s="6"/>
      <c r="T116" s="6"/>
      <c r="U116" s="6"/>
      <c r="W116" s="6"/>
      <c r="X116" s="6"/>
      <c r="Z116" s="6"/>
      <c r="AA116" s="6"/>
      <c r="AC116" s="6"/>
      <c r="AD116" s="6"/>
      <c r="AG116" s="8"/>
      <c r="AH116" s="8"/>
    </row>
    <row r="117" spans="2:34" s="2" customFormat="1" ht="20.05" customHeight="1" x14ac:dyDescent="0.35">
      <c r="E117" s="4" t="s">
        <v>1285</v>
      </c>
      <c r="F117" s="337" t="str">
        <f>IF(ISBLANK(input_mgmt_cl01_az1_uplink02_pg),"Value Missing",input_mgmt_cl01_az1_uplink02_pg)</f>
        <v>Value Missing</v>
      </c>
      <c r="H117" s="4" t="s">
        <v>1285</v>
      </c>
      <c r="I117" s="337" t="str">
        <f>IF(ISBLANK(input_wld_cl01_az1_uplink02_pg),"Value Missing",input_wld_cl01_az1_uplink02_pg)</f>
        <v>Value Missing</v>
      </c>
      <c r="K117" s="6"/>
      <c r="L117" s="6"/>
      <c r="N117" s="6"/>
      <c r="O117" s="6"/>
      <c r="Q117" s="6"/>
      <c r="R117" s="6"/>
      <c r="T117" s="6"/>
      <c r="U117" s="6"/>
      <c r="W117" s="6"/>
      <c r="X117" s="6"/>
      <c r="Z117" s="6"/>
      <c r="AA117" s="6"/>
      <c r="AC117" s="6"/>
      <c r="AD117" s="6"/>
      <c r="AG117" s="8"/>
      <c r="AH117" s="8"/>
    </row>
    <row r="118" spans="2:34" s="2" customFormat="1" ht="20.05" customHeight="1" x14ac:dyDescent="0.35">
      <c r="E118" s="17" t="s">
        <v>1287</v>
      </c>
      <c r="F118" s="337" t="s">
        <v>632</v>
      </c>
      <c r="H118" s="17" t="s">
        <v>1287</v>
      </c>
      <c r="I118" s="337" t="s">
        <v>632</v>
      </c>
      <c r="K118" s="6"/>
      <c r="L118" s="6"/>
      <c r="N118" s="6"/>
      <c r="O118" s="6"/>
      <c r="Q118" s="6"/>
      <c r="R118" s="6"/>
      <c r="T118" s="6"/>
      <c r="U118" s="6"/>
      <c r="W118" s="6"/>
      <c r="X118" s="6"/>
      <c r="Z118" s="6"/>
      <c r="AA118" s="6"/>
      <c r="AC118" s="6"/>
      <c r="AD118" s="6"/>
      <c r="AG118" s="8"/>
      <c r="AH118" s="8"/>
    </row>
    <row r="119" spans="2:34" s="2" customFormat="1" ht="20.05" customHeight="1" x14ac:dyDescent="0.35">
      <c r="B119" s="7"/>
      <c r="C119" s="7"/>
      <c r="E119" s="4" t="s">
        <v>1289</v>
      </c>
      <c r="F119" s="337" t="s">
        <v>632</v>
      </c>
      <c r="H119" s="4" t="s">
        <v>1382</v>
      </c>
      <c r="I119" s="337" t="s">
        <v>632</v>
      </c>
      <c r="K119" s="6"/>
      <c r="L119" s="6"/>
      <c r="N119" s="6"/>
      <c r="O119" s="6"/>
      <c r="Q119" s="6"/>
      <c r="R119" s="6"/>
      <c r="T119" s="6"/>
      <c r="U119" s="6"/>
      <c r="W119" s="6"/>
      <c r="X119" s="6"/>
      <c r="Z119" s="6"/>
      <c r="AA119" s="6"/>
      <c r="AC119" s="6"/>
      <c r="AD119" s="6"/>
      <c r="AG119" s="8"/>
      <c r="AH119" s="8"/>
    </row>
    <row r="120" spans="2:34" s="2" customFormat="1" ht="20.05" customHeight="1" x14ac:dyDescent="0.35">
      <c r="E120" s="4" t="s">
        <v>1383</v>
      </c>
      <c r="F120" s="337" t="str">
        <f>IF(ISBLANK(input_mgmt_cl01_az1_nfs_pg),"Value Missing",input_mgmt_cl01_az1_nfs_pg)</f>
        <v>Value Missing</v>
      </c>
      <c r="H120" s="4" t="s">
        <v>1384</v>
      </c>
      <c r="I120" s="337" t="str">
        <f>IF(ISBLANK(input_wld_cl01_az1_vsan_storage_client_pg),"Value Missing",input_wld_cl01_az1_vsan_storage_client_pg)</f>
        <v>Value Missing</v>
      </c>
      <c r="K120" s="6"/>
      <c r="L120" s="6"/>
      <c r="N120" s="6"/>
      <c r="O120" s="6"/>
      <c r="Q120" s="6"/>
      <c r="R120" s="6"/>
      <c r="T120" s="6"/>
      <c r="U120" s="6"/>
      <c r="W120" s="6"/>
      <c r="X120" s="6"/>
      <c r="Z120" s="6"/>
      <c r="AA120" s="6"/>
      <c r="AC120" s="6"/>
      <c r="AD120" s="6"/>
      <c r="AG120" s="8"/>
      <c r="AH120" s="8"/>
    </row>
    <row r="121" spans="2:34" s="2" customFormat="1" ht="20.05" customHeight="1" x14ac:dyDescent="0.35">
      <c r="E121" s="6"/>
      <c r="F121" s="6"/>
      <c r="H121" s="6"/>
      <c r="I121" s="6"/>
      <c r="K121" s="6"/>
      <c r="L121" s="6"/>
      <c r="N121" s="6"/>
      <c r="O121" s="6"/>
      <c r="Q121" s="6"/>
      <c r="R121" s="6"/>
      <c r="T121" s="6"/>
      <c r="U121" s="6"/>
      <c r="W121" s="6"/>
      <c r="X121" s="6"/>
      <c r="Z121" s="6"/>
      <c r="AA121" s="6"/>
      <c r="AC121" s="6"/>
      <c r="AD121" s="6"/>
      <c r="AG121" s="8"/>
      <c r="AH121" s="8"/>
    </row>
    <row r="122" spans="2:34" s="2" customFormat="1" ht="20.05" customHeight="1" x14ac:dyDescent="0.35">
      <c r="E122" s="379" t="s">
        <v>1373</v>
      </c>
      <c r="F122" s="381"/>
      <c r="H122" s="379" t="s">
        <v>1385</v>
      </c>
      <c r="I122" s="381"/>
      <c r="K122" s="6"/>
      <c r="L122" s="6"/>
      <c r="N122" s="6"/>
      <c r="O122" s="6"/>
      <c r="Q122" s="6"/>
      <c r="R122" s="6"/>
      <c r="T122" s="6"/>
      <c r="U122" s="6"/>
      <c r="W122" s="6"/>
      <c r="X122" s="6"/>
      <c r="Z122" s="6"/>
      <c r="AA122" s="6"/>
      <c r="AC122" s="6"/>
      <c r="AD122" s="6"/>
      <c r="AG122" s="8"/>
      <c r="AH122" s="8"/>
    </row>
    <row r="123" spans="2:34" s="2" customFormat="1" ht="20.05" customHeight="1" x14ac:dyDescent="0.35">
      <c r="E123" s="11" t="s">
        <v>261</v>
      </c>
      <c r="F123" s="14" t="s">
        <v>1269</v>
      </c>
      <c r="H123" s="11" t="s">
        <v>261</v>
      </c>
      <c r="I123" s="14" t="s">
        <v>1269</v>
      </c>
      <c r="K123" s="6"/>
      <c r="L123" s="6"/>
      <c r="N123" s="6"/>
      <c r="O123" s="6"/>
      <c r="Q123" s="6"/>
      <c r="R123" s="6"/>
      <c r="T123" s="6"/>
      <c r="U123" s="6"/>
      <c r="W123" s="6"/>
      <c r="X123" s="6"/>
      <c r="Z123" s="6"/>
      <c r="AA123" s="6"/>
      <c r="AC123" s="6"/>
      <c r="AD123" s="6"/>
      <c r="AG123" s="8"/>
      <c r="AH123" s="8"/>
    </row>
    <row r="124" spans="2:34" s="2" customFormat="1" ht="20.05" customHeight="1" x14ac:dyDescent="0.35">
      <c r="E124" s="4" t="s">
        <v>1386</v>
      </c>
      <c r="F124" s="337" t="str">
        <f>IF(ISBLANK(mgmt_cl01_az1_mgmt_vm_uplink1_chosen),"Value Missing",mgmt_cl01_az1_mgmt_vm_uplink1_chosen)</f>
        <v>Active</v>
      </c>
      <c r="H124" s="4" t="s">
        <v>1386</v>
      </c>
      <c r="I124" s="337" t="str">
        <f>IF(ISBLANK(wld_cl01_az1_mgmt_vm_uplink1_chosen),"Value Missing",wld_cl01_az1_mgmt_vm_uplink1_chosen)</f>
        <v>Active</v>
      </c>
      <c r="K124" s="6"/>
      <c r="L124" s="6"/>
      <c r="N124" s="6"/>
      <c r="O124" s="6"/>
      <c r="Q124" s="6"/>
      <c r="R124" s="6"/>
      <c r="T124" s="6"/>
      <c r="U124" s="6"/>
      <c r="W124" s="6"/>
      <c r="X124" s="6"/>
      <c r="Z124" s="6"/>
      <c r="AA124" s="6"/>
      <c r="AC124" s="6"/>
      <c r="AD124" s="6"/>
      <c r="AG124" s="8"/>
      <c r="AH124" s="8"/>
    </row>
    <row r="125" spans="2:34" s="2" customFormat="1" ht="20.05" customHeight="1" x14ac:dyDescent="0.35">
      <c r="E125" s="4" t="s">
        <v>1387</v>
      </c>
      <c r="F125" s="337" t="str">
        <f>IF(ISBLANK(mgmt_cl01_az1_mgmt_vm_uplink2_chosen),"Value Missing",mgmt_cl01_az1_mgmt_vm_uplink2_chosen)</f>
        <v>Active</v>
      </c>
      <c r="H125" s="4" t="s">
        <v>1387</v>
      </c>
      <c r="I125" s="337" t="str">
        <f>IF(ISBLANK(wld_cl01_az1_mgmt_vm_uplink2_chosen),"Value Missing",wld_cl01_az1_mgmt_vm_uplink2_chosen)</f>
        <v>Active</v>
      </c>
      <c r="K125" s="6"/>
      <c r="L125" s="6"/>
      <c r="N125" s="6"/>
      <c r="O125" s="6"/>
      <c r="Q125" s="6"/>
      <c r="R125" s="6"/>
      <c r="T125" s="6"/>
      <c r="U125" s="6"/>
      <c r="W125" s="6"/>
      <c r="X125" s="6"/>
      <c r="Z125" s="6"/>
      <c r="AA125" s="6"/>
      <c r="AC125" s="6"/>
      <c r="AD125" s="6"/>
      <c r="AG125" s="8"/>
      <c r="AH125" s="8"/>
    </row>
    <row r="126" spans="2:34" s="2" customFormat="1" ht="20.05" customHeight="1" x14ac:dyDescent="0.35">
      <c r="E126" s="4" t="s">
        <v>1388</v>
      </c>
      <c r="F126" s="337" t="str">
        <f>IF(ISBLANK(mgmt_cl01_az1_mgmt_uplink1_chosen),"Value Missing",mgmt_cl01_az1_mgmt_uplink1_chosen)</f>
        <v>Active</v>
      </c>
      <c r="H126" s="4" t="s">
        <v>1388</v>
      </c>
      <c r="I126" s="337" t="str">
        <f>IF(ISBLANK(wld_cl01_az1_mgmt_uplink1_chosen),"Value Missing",wld_cl01_az1_mgmt_uplink1_chosen)</f>
        <v>Active</v>
      </c>
      <c r="K126" s="6"/>
      <c r="L126" s="6"/>
      <c r="N126" s="6"/>
      <c r="O126" s="6"/>
      <c r="Q126" s="6"/>
      <c r="R126" s="6"/>
      <c r="T126" s="6"/>
      <c r="U126" s="6"/>
      <c r="W126" s="6"/>
      <c r="X126" s="6"/>
      <c r="Z126" s="6"/>
      <c r="AA126" s="6"/>
      <c r="AC126" s="6"/>
      <c r="AD126" s="6"/>
      <c r="AG126" s="8"/>
      <c r="AH126" s="8"/>
    </row>
    <row r="127" spans="2:34" s="2" customFormat="1" ht="20.05" customHeight="1" x14ac:dyDescent="0.35">
      <c r="E127" s="4" t="s">
        <v>1389</v>
      </c>
      <c r="F127" s="337" t="str">
        <f>IF(ISBLANK(mgmt_cl01_az1_mgmt_uplink2_chosen),"Value Missing",mgmt_cl01_az1_mgmt_uplink2_chosen)</f>
        <v>Active</v>
      </c>
      <c r="H127" s="4" t="s">
        <v>1389</v>
      </c>
      <c r="I127" s="337" t="str">
        <f>IF(ISBLANK(wld_cl01_az1_mgmt_uplink2_chosen),"Value Missing",wld_cl01_az1_mgmt_uplink2_chosen)</f>
        <v>Active</v>
      </c>
      <c r="K127" s="6"/>
      <c r="L127" s="6"/>
      <c r="N127" s="6"/>
      <c r="O127" s="6"/>
      <c r="Q127" s="6"/>
      <c r="R127" s="6"/>
      <c r="T127" s="6"/>
      <c r="U127" s="6"/>
      <c r="W127" s="6"/>
      <c r="X127" s="6"/>
      <c r="Z127" s="6"/>
      <c r="AA127" s="6"/>
      <c r="AC127" s="6"/>
      <c r="AD127" s="6"/>
      <c r="AG127" s="8"/>
      <c r="AH127" s="8"/>
    </row>
    <row r="128" spans="2:34" s="2" customFormat="1" ht="20.05" customHeight="1" x14ac:dyDescent="0.35">
      <c r="E128" s="4" t="s">
        <v>1390</v>
      </c>
      <c r="F128" s="337" t="str">
        <f>IF(ISBLANK(mgmt_cl01_az1_vmotion_uplink1_chosen),"Value Missing",mgmt_cl01_az1_vmotion_uplink1_chosen)</f>
        <v>Active</v>
      </c>
      <c r="H128" s="4" t="s">
        <v>1390</v>
      </c>
      <c r="I128" s="337" t="str">
        <f>IF(ISBLANK(wld_cl01_az1_vmotion_uplink1_chosen),"Value Missing",wld_cl01_az1_vmotion_uplink1_chosen)</f>
        <v>Active</v>
      </c>
      <c r="K128" s="6"/>
      <c r="L128" s="6"/>
      <c r="N128" s="6"/>
      <c r="O128" s="6"/>
      <c r="Q128" s="6"/>
      <c r="R128" s="6"/>
      <c r="T128" s="6"/>
      <c r="U128" s="6"/>
      <c r="W128" s="6"/>
      <c r="X128" s="6"/>
      <c r="Z128" s="6"/>
      <c r="AA128" s="6"/>
      <c r="AC128" s="6"/>
      <c r="AD128" s="6"/>
      <c r="AG128" s="8"/>
      <c r="AH128" s="8"/>
    </row>
    <row r="129" spans="5:34" s="2" customFormat="1" ht="20.05" customHeight="1" x14ac:dyDescent="0.35">
      <c r="E129" s="4" t="s">
        <v>1391</v>
      </c>
      <c r="F129" s="337" t="str">
        <f>IF(ISBLANK(mgmt_cl01_az1_vmotion_uplink2_chosen),"Value Missing",mgmt_cl01_az1_vmotion_uplink2_chosen)</f>
        <v>Active</v>
      </c>
      <c r="H129" s="4" t="s">
        <v>1391</v>
      </c>
      <c r="I129" s="337" t="str">
        <f>IF(ISBLANK(wld_cl01_az1_vmotion_uplink2_chosen),"Value Missing",wld_cl01_az1_vmotion_uplink2_chosen)</f>
        <v>Active</v>
      </c>
      <c r="K129" s="6"/>
      <c r="L129" s="6"/>
      <c r="N129" s="6"/>
      <c r="O129" s="6"/>
      <c r="Q129" s="6"/>
      <c r="R129" s="6"/>
      <c r="T129" s="6"/>
      <c r="U129" s="6"/>
      <c r="W129" s="6"/>
      <c r="X129" s="6"/>
      <c r="Z129" s="6"/>
      <c r="AA129" s="6"/>
      <c r="AC129" s="6"/>
      <c r="AD129" s="6"/>
      <c r="AG129" s="8"/>
      <c r="AH129" s="8"/>
    </row>
    <row r="130" spans="5:34" s="2" customFormat="1" ht="20.05" customHeight="1" x14ac:dyDescent="0.35">
      <c r="E130" s="4" t="s">
        <v>1392</v>
      </c>
      <c r="F130" s="337" t="str">
        <f>IF(ISBLANK(mgmt_cl01_az1_vsan_uplink1_chosen),"Value Missing",mgmt_cl01_az1_vsan_uplink1_chosen)</f>
        <v>Active</v>
      </c>
      <c r="H130" s="4" t="s">
        <v>1392</v>
      </c>
      <c r="I130" s="337" t="str">
        <f>IF(ISBLANK(wld_cl01_az1_vsan_uplink1_chosen),"Value Missing",wld_cl01_az1_vsan_uplink1_chosen)</f>
        <v>Active</v>
      </c>
      <c r="K130" s="6"/>
      <c r="L130" s="6"/>
      <c r="N130" s="6"/>
      <c r="O130" s="6"/>
      <c r="Q130" s="6"/>
      <c r="R130" s="6"/>
      <c r="T130" s="6"/>
      <c r="U130" s="6"/>
      <c r="W130" s="6"/>
      <c r="X130" s="6"/>
      <c r="Z130" s="6"/>
      <c r="AA130" s="6"/>
      <c r="AC130" s="6"/>
      <c r="AD130" s="6"/>
      <c r="AG130" s="8"/>
      <c r="AH130" s="8"/>
    </row>
    <row r="131" spans="5:34" s="2" customFormat="1" ht="20.05" customHeight="1" x14ac:dyDescent="0.35">
      <c r="E131" s="4" t="s">
        <v>1393</v>
      </c>
      <c r="F131" s="337" t="str">
        <f>IF(ISBLANK(mgmt_cl01_az1_vsan_uplink2_chosen),"Value Missing",mgmt_cl01_az1_vsan_uplink2_chosen)</f>
        <v>Active</v>
      </c>
      <c r="H131" s="4" t="s">
        <v>1393</v>
      </c>
      <c r="I131" s="337" t="str">
        <f>IF(ISBLANK(wld_cl01_az1_vsan_uplink2_chosen),"Value Missing",wld_cl01_az1_vsan_uplink2_chosen)</f>
        <v>Active</v>
      </c>
      <c r="K131" s="6"/>
      <c r="L131" s="6"/>
      <c r="N131" s="6"/>
      <c r="O131" s="6"/>
      <c r="Q131" s="6"/>
      <c r="R131" s="6"/>
      <c r="T131" s="6"/>
      <c r="U131" s="6"/>
      <c r="W131" s="6"/>
      <c r="X131" s="6"/>
      <c r="Z131" s="6"/>
      <c r="AA131" s="6"/>
      <c r="AC131" s="6"/>
      <c r="AD131" s="6"/>
      <c r="AG131" s="8"/>
      <c r="AH131" s="8"/>
    </row>
    <row r="132" spans="5:34" s="2" customFormat="1" ht="20.05" customHeight="1" x14ac:dyDescent="0.35">
      <c r="E132" s="17" t="s">
        <v>1394</v>
      </c>
      <c r="F132" s="337" t="str">
        <f>IF(ISBLANK(mgmt_cl01_az1_nsx_uplink1_chosen),"Value Missing",mgmt_cl01_az1_nsx_uplink1_chosen)</f>
        <v>Active</v>
      </c>
      <c r="H132" s="17" t="s">
        <v>1394</v>
      </c>
      <c r="I132" s="337" t="str">
        <f>IF(ISBLANK(wld_cl01_az1_nsx_uplink1_chosen),"Value Missing",wld_cl01_az1_nsx_uplink1_chosen)</f>
        <v>uplink1</v>
      </c>
      <c r="K132" s="6"/>
      <c r="L132" s="6"/>
      <c r="N132" s="6"/>
      <c r="O132" s="6"/>
      <c r="Q132" s="6"/>
      <c r="R132" s="6"/>
      <c r="T132" s="6"/>
      <c r="U132" s="6"/>
      <c r="W132" s="6"/>
      <c r="X132" s="6"/>
      <c r="Z132" s="6"/>
      <c r="AA132" s="6"/>
      <c r="AC132" s="6"/>
      <c r="AD132" s="6"/>
      <c r="AG132" s="8"/>
      <c r="AH132" s="8"/>
    </row>
    <row r="133" spans="5:34" s="2" customFormat="1" ht="20.05" customHeight="1" x14ac:dyDescent="0.35">
      <c r="E133" s="4" t="s">
        <v>1395</v>
      </c>
      <c r="F133" s="337" t="str">
        <f>IF(ISBLANK(mgmt_cl01_az1_nsx_uplink2_chosen),"Value Missing",mgmt_cl01_az1_nsx_uplink2_chosen)</f>
        <v>Active</v>
      </c>
      <c r="H133" s="4" t="s">
        <v>1395</v>
      </c>
      <c r="I133" s="337" t="str">
        <f>IF(ISBLANK(wld_cl01_az1_nsx_uplink2_chosen),"Value Missing",wld_cl01_az1_nsx_uplink2_chosen)</f>
        <v>uplink2</v>
      </c>
      <c r="K133" s="6"/>
      <c r="L133" s="6"/>
      <c r="N133" s="6"/>
      <c r="O133" s="6"/>
      <c r="Q133" s="6"/>
      <c r="R133" s="6"/>
      <c r="T133" s="6"/>
      <c r="U133" s="6"/>
      <c r="W133" s="6"/>
      <c r="X133" s="6"/>
      <c r="Z133" s="6"/>
      <c r="AA133" s="6"/>
      <c r="AC133" s="6"/>
      <c r="AD133" s="6"/>
      <c r="AG133" s="8"/>
      <c r="AH133" s="8"/>
    </row>
    <row r="134" spans="5:34" s="2" customFormat="1" ht="20.05" customHeight="1" x14ac:dyDescent="0.35">
      <c r="E134" s="4" t="s">
        <v>1396</v>
      </c>
      <c r="F134" s="337" t="str">
        <f>IF(ISBLANK(mgmt_cl01_az1_nfs_uplink1_chosen),"Value Missing",mgmt_cl01_az1_nfs_uplink1_chosen)</f>
        <v>Active</v>
      </c>
      <c r="H134" s="4" t="s">
        <v>1397</v>
      </c>
      <c r="I134" s="337" t="str">
        <f>wld_cl01_az1_vsan_storage_client_uplink1_chosen</f>
        <v>Active</v>
      </c>
      <c r="K134" s="6"/>
      <c r="L134" s="6"/>
      <c r="N134" s="6"/>
      <c r="O134" s="6"/>
      <c r="Q134" s="6"/>
      <c r="R134" s="6"/>
      <c r="T134" s="6"/>
      <c r="U134" s="6"/>
      <c r="W134" s="6"/>
      <c r="X134" s="6"/>
      <c r="Z134" s="6"/>
      <c r="AA134" s="6"/>
      <c r="AC134" s="6"/>
      <c r="AD134" s="6"/>
      <c r="AG134" s="8"/>
      <c r="AH134" s="8"/>
    </row>
    <row r="135" spans="5:34" s="2" customFormat="1" ht="20.05" customHeight="1" x14ac:dyDescent="0.35">
      <c r="E135" s="4" t="s">
        <v>1398</v>
      </c>
      <c r="F135" s="337" t="str">
        <f>IF(ISBLANK(mgmt_cl01_az1_nfs_uplink2_chosen),"Value Missing",mgmt_cl01_az1_nfs_uplink2_chosen)</f>
        <v>Active</v>
      </c>
      <c r="H135" s="4" t="s">
        <v>1397</v>
      </c>
      <c r="I135" s="337" t="str">
        <f>wld_cl01_az1_vsan_storage_client_uplink2_chosen</f>
        <v>Active</v>
      </c>
      <c r="K135" s="6"/>
      <c r="L135" s="6"/>
      <c r="N135" s="6"/>
      <c r="O135" s="6"/>
      <c r="Q135" s="6"/>
      <c r="R135" s="6"/>
      <c r="T135" s="6"/>
      <c r="U135" s="6"/>
      <c r="W135" s="6"/>
      <c r="X135" s="6"/>
      <c r="Z135" s="6"/>
      <c r="AA135" s="6"/>
      <c r="AC135" s="6"/>
      <c r="AD135" s="6"/>
      <c r="AG135" s="8"/>
      <c r="AH135" s="8"/>
    </row>
    <row r="136" spans="5:34" s="2" customFormat="1" ht="20.05" customHeight="1" x14ac:dyDescent="0.35">
      <c r="E136" s="6"/>
      <c r="F136" s="6"/>
      <c r="H136" s="6"/>
      <c r="I136" s="6"/>
      <c r="K136" s="6"/>
      <c r="L136" s="6"/>
      <c r="N136" s="6"/>
      <c r="O136" s="6"/>
      <c r="Q136" s="6"/>
      <c r="R136" s="6"/>
      <c r="T136" s="6"/>
      <c r="U136" s="6"/>
      <c r="W136" s="6"/>
      <c r="X136" s="6"/>
      <c r="Z136" s="6"/>
      <c r="AA136" s="6"/>
      <c r="AC136" s="6"/>
      <c r="AD136" s="6"/>
      <c r="AG136" s="8"/>
      <c r="AH136" s="8"/>
    </row>
    <row r="137" spans="5:34" s="2" customFormat="1" ht="20.05" customHeight="1" x14ac:dyDescent="0.35">
      <c r="E137" s="379" t="s">
        <v>1399</v>
      </c>
      <c r="F137" s="381"/>
      <c r="H137" s="379" t="s">
        <v>1400</v>
      </c>
      <c r="I137" s="381"/>
      <c r="K137" s="6"/>
      <c r="L137" s="6"/>
      <c r="N137" s="6"/>
      <c r="O137" s="6"/>
      <c r="Q137" s="6"/>
      <c r="R137" s="6"/>
      <c r="T137" s="6"/>
      <c r="U137" s="6"/>
      <c r="W137" s="6"/>
      <c r="X137" s="6"/>
      <c r="Z137" s="6"/>
      <c r="AA137" s="6"/>
      <c r="AC137" s="6"/>
      <c r="AD137" s="6"/>
      <c r="AG137" s="8"/>
      <c r="AH137" s="8"/>
    </row>
    <row r="138" spans="5:34" s="2" customFormat="1" ht="20.05" customHeight="1" x14ac:dyDescent="0.35">
      <c r="E138" s="11" t="s">
        <v>261</v>
      </c>
      <c r="F138" s="14" t="s">
        <v>1269</v>
      </c>
      <c r="H138" s="11" t="s">
        <v>261</v>
      </c>
      <c r="I138" s="14" t="s">
        <v>1269</v>
      </c>
      <c r="K138" s="6"/>
      <c r="L138" s="6"/>
      <c r="N138" s="6"/>
      <c r="O138" s="6"/>
      <c r="Q138" s="6"/>
      <c r="R138" s="6"/>
      <c r="T138" s="6"/>
      <c r="U138" s="6"/>
      <c r="W138" s="6"/>
      <c r="X138" s="6"/>
      <c r="Z138" s="6"/>
      <c r="AA138" s="6"/>
      <c r="AC138" s="6"/>
      <c r="AD138" s="6"/>
      <c r="AG138" s="8"/>
      <c r="AH138" s="8"/>
    </row>
    <row r="139" spans="5:34" s="2" customFormat="1" ht="20.05" customHeight="1" x14ac:dyDescent="0.35">
      <c r="E139" s="4" t="s">
        <v>1401</v>
      </c>
      <c r="F139" s="337" t="str">
        <f>IF(ISBLANK(mgmt_cl01_az1_mgmt_vm_lbt_chosen),"Value Missing",mgmt_cl01_az1_mgmt_vm_lbt_chosen)</f>
        <v>Route Based on Physical NIC Load</v>
      </c>
      <c r="H139" s="4" t="s">
        <v>1401</v>
      </c>
      <c r="I139" s="337" t="str">
        <f>IF(ISBLANK(wld_cl01_az1_mgmt_vm_lbt_chosen),"Value Missing",wld_cl01_az1_mgmt_vm_lbt_chosen)</f>
        <v>Route Based on Physical NIC Load</v>
      </c>
      <c r="K139" s="6"/>
      <c r="N139" s="6"/>
      <c r="O139" s="6"/>
      <c r="Q139" s="6"/>
      <c r="R139" s="6"/>
      <c r="T139" s="6"/>
      <c r="U139" s="6"/>
      <c r="W139" s="6"/>
      <c r="X139" s="6"/>
      <c r="Z139" s="6"/>
      <c r="AA139" s="6"/>
      <c r="AC139" s="6"/>
      <c r="AD139" s="6"/>
      <c r="AG139" s="8"/>
      <c r="AH139" s="8"/>
    </row>
    <row r="140" spans="5:34" s="2" customFormat="1" ht="20.05" customHeight="1" x14ac:dyDescent="0.35">
      <c r="E140" s="4" t="s">
        <v>1402</v>
      </c>
      <c r="F140" s="337" t="str">
        <f>IF(ISBLANK(mgmt_cl01_az1_mgmt_lbt_chosen),"Value Missing",mgmt_cl01_az1_mgmt_lbt_chosen)</f>
        <v>Route Based on Physical NIC Load</v>
      </c>
      <c r="H140" s="4" t="s">
        <v>1402</v>
      </c>
      <c r="I140" s="337" t="str">
        <f>IF(ISBLANK(wld_cl01_az1_mgmt_lbt_chosen),"Value Missing",wld_cl01_az1_mgmt_lbt_chosen)</f>
        <v>Route Based on Physical NIC Load</v>
      </c>
      <c r="K140" s="6"/>
      <c r="L140" s="6"/>
      <c r="N140" s="6"/>
      <c r="O140" s="6"/>
      <c r="Q140" s="6"/>
      <c r="R140" s="6"/>
      <c r="T140" s="6"/>
      <c r="U140" s="6"/>
      <c r="W140" s="6"/>
      <c r="X140" s="6"/>
      <c r="Z140" s="6"/>
      <c r="AA140" s="6"/>
      <c r="AC140" s="6"/>
      <c r="AD140" s="6"/>
      <c r="AG140" s="8"/>
      <c r="AH140" s="8"/>
    </row>
    <row r="141" spans="5:34" s="2" customFormat="1" ht="20.05" customHeight="1" x14ac:dyDescent="0.35">
      <c r="E141" s="4" t="s">
        <v>1403</v>
      </c>
      <c r="F141" s="337" t="str">
        <f>IF(ISBLANK(mgmt_cl01_az1_vmotion_lbt_chosen),"Value Missing",mgmt_cl01_az1_vmotion_lbt_chosen)</f>
        <v>Route Based on Physical NIC Load</v>
      </c>
      <c r="H141" s="4" t="s">
        <v>1403</v>
      </c>
      <c r="I141" s="337" t="str">
        <f>IF(ISBLANK(wld_cl01_az1_vmotion_lbt_chosen),"Value Missing",wld_cl01_az1_vmotion_lbt_chosen)</f>
        <v>Route Based on Physical NIC Load</v>
      </c>
      <c r="K141" s="6"/>
      <c r="L141" s="6"/>
      <c r="M141" s="3"/>
      <c r="N141" s="6"/>
      <c r="O141" s="6"/>
      <c r="Q141" s="6"/>
      <c r="R141" s="6"/>
      <c r="T141" s="6"/>
      <c r="U141" s="6"/>
      <c r="W141" s="6"/>
      <c r="X141" s="6"/>
      <c r="Z141" s="6"/>
      <c r="AA141" s="6"/>
      <c r="AC141" s="6"/>
      <c r="AD141" s="6"/>
      <c r="AG141" s="8"/>
      <c r="AH141" s="8"/>
    </row>
    <row r="142" spans="5:34" s="2" customFormat="1" ht="20.05" customHeight="1" x14ac:dyDescent="0.35">
      <c r="E142" s="4" t="s">
        <v>1404</v>
      </c>
      <c r="F142" s="337" t="str">
        <f>IF(ISBLANK(mgmt_cl01_az1_vsan_lbt_chosen),"Value Missing",mgmt_cl01_az1_vsan_lbt_chosen)</f>
        <v>Route Based on Physical NIC Load</v>
      </c>
      <c r="G142" s="15"/>
      <c r="H142" s="4" t="s">
        <v>1404</v>
      </c>
      <c r="I142" s="337" t="str">
        <f>IF(ISBLANK(wld_cl01_az1_vsan_lbt_chosen),"Value Missing",wld_cl01_az1_vsan_lbt_chosen)</f>
        <v>Route Based on Physical NIC Load</v>
      </c>
      <c r="J142" s="15"/>
      <c r="K142" s="6"/>
      <c r="L142" s="6"/>
      <c r="N142" s="6"/>
      <c r="O142" s="6"/>
      <c r="Q142" s="6"/>
      <c r="R142" s="6"/>
      <c r="T142" s="6"/>
      <c r="U142" s="6"/>
      <c r="W142" s="6"/>
      <c r="X142" s="6"/>
      <c r="Z142" s="6"/>
      <c r="AA142" s="6"/>
      <c r="AC142" s="6"/>
      <c r="AD142" s="6"/>
      <c r="AG142" s="8"/>
      <c r="AH142" s="8"/>
    </row>
    <row r="143" spans="5:34" s="2" customFormat="1" ht="20.05" customHeight="1" x14ac:dyDescent="0.35">
      <c r="E143" s="4" t="s">
        <v>1405</v>
      </c>
      <c r="F143" s="337" t="str">
        <f>IF(ISBLANK(mgmt_cl01_az1_nsx_lbt_chosen),"Value Missing",mgmt_cl01_az1_nsx_lbt_chosen)</f>
        <v>Route Based on the Source of the Port ID</v>
      </c>
      <c r="H143" s="4" t="s">
        <v>1274</v>
      </c>
      <c r="I143" s="337" t="str">
        <f>IF(ISBLANK(wld_cl01_az1_nsx_lbt_chosen),"Value Missing",wld_cl01_az1_nsx_lbt_chosen)</f>
        <v>Load Balance Source</v>
      </c>
      <c r="K143" s="6"/>
      <c r="L143" s="6"/>
      <c r="M143" s="15"/>
      <c r="N143" s="6"/>
      <c r="O143" s="6"/>
      <c r="Q143" s="6"/>
      <c r="R143" s="6"/>
      <c r="T143" s="6"/>
      <c r="U143" s="6"/>
      <c r="W143" s="6"/>
      <c r="X143" s="6"/>
      <c r="Z143" s="6"/>
      <c r="AA143" s="6"/>
      <c r="AC143" s="6"/>
      <c r="AD143" s="6"/>
      <c r="AG143" s="8"/>
      <c r="AH143" s="8"/>
    </row>
    <row r="144" spans="5:34" s="2" customFormat="1" ht="20.05" customHeight="1" x14ac:dyDescent="0.35">
      <c r="E144" s="4" t="s">
        <v>1406</v>
      </c>
      <c r="F144" s="337"/>
      <c r="H144" s="4" t="s">
        <v>1406</v>
      </c>
      <c r="I144" s="337" t="str">
        <f>IF(ISBLANK(wld_cl01_az1_vsan_storage_client_lbt_chosen),"Value Missing",wld_cl01_az1_vsan_storage_client_lbt_chosen)</f>
        <v>Route Based on Physical NIC Load</v>
      </c>
      <c r="K144" s="6"/>
      <c r="L144" s="6"/>
      <c r="N144" s="6"/>
      <c r="O144" s="6"/>
      <c r="Q144" s="6"/>
      <c r="R144" s="6"/>
      <c r="T144" s="6"/>
      <c r="U144" s="6"/>
      <c r="W144" s="6"/>
      <c r="X144" s="6"/>
      <c r="Z144" s="6"/>
      <c r="AA144" s="6"/>
      <c r="AC144" s="6"/>
      <c r="AD144" s="6"/>
      <c r="AG144" s="8"/>
      <c r="AH144" s="8"/>
    </row>
    <row r="145" spans="5:35" s="2" customFormat="1" ht="20.05" customHeight="1" x14ac:dyDescent="0.35">
      <c r="E145" s="4" t="s">
        <v>1407</v>
      </c>
      <c r="F145" s="337" t="str">
        <f>IF(ISBLANK(mgmt_cl01_az1_nfs_lbt_chosen),"Value Missing",mgmt_cl01_az1_nfs_lbt_chosen)</f>
        <v>Route Based on Physical NIC Load</v>
      </c>
      <c r="H145" s="6"/>
      <c r="I145" s="3"/>
      <c r="K145" s="6"/>
      <c r="L145" s="6"/>
      <c r="N145" s="6"/>
      <c r="O145" s="6"/>
      <c r="Q145" s="6"/>
      <c r="R145" s="6"/>
      <c r="T145" s="6"/>
      <c r="U145" s="6"/>
      <c r="W145" s="6"/>
      <c r="X145" s="6"/>
      <c r="Z145" s="6"/>
      <c r="AA145" s="6"/>
      <c r="AC145" s="6"/>
      <c r="AD145" s="6"/>
      <c r="AG145" s="8"/>
      <c r="AH145" s="8"/>
      <c r="AI145" s="8"/>
    </row>
    <row r="146" spans="5:35" s="2" customFormat="1" ht="20.05" customHeight="1" x14ac:dyDescent="0.35">
      <c r="I146" s="3"/>
      <c r="L146" s="3"/>
      <c r="AG146" s="8"/>
      <c r="AH146" s="8"/>
      <c r="AI146" s="8"/>
    </row>
    <row r="147" spans="5:35" s="2" customFormat="1" ht="20.05" customHeight="1" x14ac:dyDescent="0.35">
      <c r="E147" s="20" t="s">
        <v>1408</v>
      </c>
      <c r="F147" s="381"/>
      <c r="H147" s="20" t="s">
        <v>1409</v>
      </c>
      <c r="I147" s="381"/>
      <c r="K147" s="20" t="s">
        <v>1410</v>
      </c>
      <c r="L147" s="381"/>
      <c r="N147" s="20" t="s">
        <v>1411</v>
      </c>
      <c r="O147" s="381"/>
      <c r="Q147" s="20" t="s">
        <v>1412</v>
      </c>
      <c r="R147" s="381"/>
      <c r="T147" s="20" t="s">
        <v>1413</v>
      </c>
      <c r="U147" s="381"/>
      <c r="W147" s="20" t="s">
        <v>1414</v>
      </c>
      <c r="X147" s="381"/>
      <c r="Z147" s="20" t="s">
        <v>1415</v>
      </c>
      <c r="AA147" s="381"/>
      <c r="AC147" s="20" t="s">
        <v>1416</v>
      </c>
      <c r="AD147" s="381"/>
      <c r="AG147" s="8"/>
      <c r="AH147" s="8"/>
      <c r="AI147" s="8"/>
    </row>
    <row r="148" spans="5:35" s="2" customFormat="1" ht="20.05" customHeight="1" x14ac:dyDescent="0.35">
      <c r="E148" s="13" t="s">
        <v>261</v>
      </c>
      <c r="F148" s="14" t="s">
        <v>1269</v>
      </c>
      <c r="H148" s="11" t="s">
        <v>261</v>
      </c>
      <c r="I148" s="14" t="s">
        <v>19</v>
      </c>
      <c r="K148" s="13" t="s">
        <v>261</v>
      </c>
      <c r="L148" s="14" t="s">
        <v>19</v>
      </c>
      <c r="N148" s="13" t="s">
        <v>261</v>
      </c>
      <c r="O148" s="14" t="s">
        <v>19</v>
      </c>
      <c r="P148" s="15"/>
      <c r="Q148" s="13" t="s">
        <v>261</v>
      </c>
      <c r="R148" s="14" t="s">
        <v>19</v>
      </c>
      <c r="S148" s="15"/>
      <c r="T148" s="13" t="s">
        <v>261</v>
      </c>
      <c r="U148" s="14" t="s">
        <v>19</v>
      </c>
      <c r="V148" s="15"/>
      <c r="W148" s="13" t="s">
        <v>261</v>
      </c>
      <c r="X148" s="14" t="s">
        <v>19</v>
      </c>
      <c r="Y148" s="15"/>
      <c r="Z148" s="13" t="s">
        <v>261</v>
      </c>
      <c r="AA148" s="14" t="s">
        <v>19</v>
      </c>
      <c r="AB148" s="15"/>
      <c r="AC148" s="13" t="s">
        <v>261</v>
      </c>
      <c r="AD148" s="14" t="s">
        <v>19</v>
      </c>
      <c r="AG148" s="8"/>
      <c r="AH148" s="8"/>
      <c r="AI148" s="8"/>
    </row>
    <row r="149" spans="5:35" s="2" customFormat="1" ht="20.05" customHeight="1" x14ac:dyDescent="0.35">
      <c r="E149" s="361" t="s">
        <v>1417</v>
      </c>
      <c r="F149" s="337" t="str">
        <f>IF(ISBLANK(input_mgmt_az1_vmotion_pool_start_ip),"Value Missing",input_mgmt_az1_vmotion_pool_start_ip)</f>
        <v>Value Missing</v>
      </c>
      <c r="H149" s="361" t="s">
        <v>1417</v>
      </c>
      <c r="I149" s="337" t="str">
        <f>IF(ISBLANK(input_wld_az1_vmotion_pool_start_ip),"Value Missing",input_wld_az1_vmotion_pool_start_ip)</f>
        <v>Value Missing</v>
      </c>
      <c r="K149" s="361" t="s">
        <v>1417</v>
      </c>
      <c r="L149" s="337" t="str">
        <f>IF(ISBLANK(input_wld_az1_rack2_vmotion_pool_start_ip),"Value Missing",input_wld_az1_rack2_vmotion_pool_start_ip)</f>
        <v>Value Missing</v>
      </c>
      <c r="N149" s="361" t="s">
        <v>1417</v>
      </c>
      <c r="O149" s="337" t="str">
        <f>IF(ISBLANK(input_wld_az1_rack3_vmotion_pool_start_ip),"Value Missing",input_wld_az1_rack3_vmotion_pool_start_ip)</f>
        <v>Value Missing</v>
      </c>
      <c r="Q149" s="361" t="s">
        <v>1417</v>
      </c>
      <c r="R149" s="337" t="str">
        <f>IF(ISBLANK(input_wld_az1_rack4_vmotion_pool_start_ip),"Value Missing",input_wld_az1_rack4_vmotion_pool_start_ip)</f>
        <v>Value Missing</v>
      </c>
      <c r="T149" s="361" t="s">
        <v>1417</v>
      </c>
      <c r="U149" s="337" t="str">
        <f>IF(ISBLANK(input_wld_az1_rack5_vmotion_pool_start_ip),"Value Missing",input_wld_az1_rack5_vmotion_pool_start_ip)</f>
        <v>Value Missing</v>
      </c>
      <c r="W149" s="361" t="s">
        <v>1417</v>
      </c>
      <c r="X149" s="337" t="str">
        <f>IF(ISBLANK(input_wld_az1_rack6_vmotion_pool_start_ip),"Value Missing",input_wld_az1_rack6_vmotion_pool_start_ip)</f>
        <v>Value Missing</v>
      </c>
      <c r="Z149" s="361" t="s">
        <v>1417</v>
      </c>
      <c r="AA149" s="337" t="str">
        <f>IF(ISBLANK(input_wld_az1_rack7_vmotion_pool_start_ip),"Value Missing",input_wld_az1_rack7_vmotion_pool_start_ip)</f>
        <v>Value Missing</v>
      </c>
      <c r="AC149" s="361" t="s">
        <v>1417</v>
      </c>
      <c r="AD149" s="337" t="str">
        <f>IF(ISBLANK(input_wld_az1_rack8_vmotion_pool_start_ip),"Value Missing",input_wld_az1_rack8_vmotion_pool_start_ip)</f>
        <v>Value Missing</v>
      </c>
      <c r="AG149" s="8"/>
      <c r="AH149" s="8"/>
      <c r="AI149" s="8"/>
    </row>
    <row r="150" spans="5:35" s="2" customFormat="1" ht="20.05" customHeight="1" x14ac:dyDescent="0.35">
      <c r="E150" s="361" t="s">
        <v>1418</v>
      </c>
      <c r="F150" s="337" t="str">
        <f>IF(ISBLANK(input_mgmt_az1_vmotion_pool_end_ip),"Value Missing",input_mgmt_az1_vmotion_pool_end_ip)</f>
        <v>Value Missing</v>
      </c>
      <c r="H150" s="361" t="s">
        <v>1418</v>
      </c>
      <c r="I150" s="337" t="str">
        <f>IF(ISBLANK(input_wld_az1_vmotion_pool_end_ip),"Value Missing",input_wld_az1_vmotion_pool_end_ip)</f>
        <v>Value Missing</v>
      </c>
      <c r="K150" s="361" t="s">
        <v>1418</v>
      </c>
      <c r="L150" s="337" t="str">
        <f>IF(ISBLANK(input_wld_az1_rack2_vmotion_pool_end_ip),"Value Missing",input_wld_az1_rack2_vmotion_pool_end_ip)</f>
        <v>Value Missing</v>
      </c>
      <c r="N150" s="361" t="s">
        <v>1418</v>
      </c>
      <c r="O150" s="337" t="str">
        <f>IF(ISBLANK(input_wld_az1_rack3_vmotion_pool_end_ip),"Value Missing",input_wld_az1_rack3_vmotion_pool_end_ip)</f>
        <v>Value Missing</v>
      </c>
      <c r="Q150" s="361" t="s">
        <v>1418</v>
      </c>
      <c r="R150" s="337" t="str">
        <f>IF(ISBLANK(input_wld_az1_rack4_vmotion_pool_end_ip),"Value Missing",input_wld_az1_rack4_vmotion_pool_end_ip)</f>
        <v>Value Missing</v>
      </c>
      <c r="T150" s="361" t="s">
        <v>1418</v>
      </c>
      <c r="U150" s="337" t="str">
        <f>IF(ISBLANK(input_wld_az1_rack5_vmotion_pool_end_ip),"Value Missing",input_wld_az1_rack5_vmotion_pool_end_ip)</f>
        <v>Value Missing</v>
      </c>
      <c r="W150" s="361" t="s">
        <v>1418</v>
      </c>
      <c r="X150" s="337" t="str">
        <f>IF(ISBLANK(input_wld_az1_rack6_vmotion_pool_end_ip),"Value Missing",input_wld_az1_rack6_vmotion_pool_end_ip)</f>
        <v>Value Missing</v>
      </c>
      <c r="Z150" s="361" t="s">
        <v>1418</v>
      </c>
      <c r="AA150" s="337" t="str">
        <f>IF(ISBLANK(input_wld_az1_rack7_vmotion_pool_end_ip),"Value Missing",input_wld_az1_rack7_vmotion_pool_end_ip)</f>
        <v>Value Missing</v>
      </c>
      <c r="AC150" s="361" t="s">
        <v>1418</v>
      </c>
      <c r="AD150" s="337" t="str">
        <f>IF(ISBLANK(input_wld_az1_rack8_vmotion_pool_end_ip),"Value Missing",input_wld_az1_rack8_vmotion_pool_end_ip)</f>
        <v>Value Missing</v>
      </c>
      <c r="AG150" s="8"/>
      <c r="AH150" s="8"/>
      <c r="AI150" s="8"/>
    </row>
    <row r="151" spans="5:35" s="2" customFormat="1" ht="20.05" customHeight="1" x14ac:dyDescent="0.35">
      <c r="E151" s="361" t="s">
        <v>1419</v>
      </c>
      <c r="F151" s="337" t="str">
        <f>IF(ISBLANK(input_mgmt_az1_vsan_pool_start_ip),"Value Missing",input_mgmt_az1_vsan_pool_start_ip)</f>
        <v>Value Missing</v>
      </c>
      <c r="H151" s="361" t="s">
        <v>1419</v>
      </c>
      <c r="I151" s="337" t="str">
        <f>IF(ISBLANK(input_wld_az1_principal_storage_pool_start_ip),"Value Missing",input_wld_az1_principal_storage_pool_start_ip)</f>
        <v>Value Missing</v>
      </c>
      <c r="K151" s="361" t="s">
        <v>1419</v>
      </c>
      <c r="L151" s="337" t="str">
        <f>IF(ISBLANK(input_wld_az1_rack2_principal_storage_pool_start_ip),"Value Missing",input_wld_az1_rack2_principal_storage_pool_start_ip)</f>
        <v>Value Missing</v>
      </c>
      <c r="N151" s="361" t="s">
        <v>1419</v>
      </c>
      <c r="O151" s="337" t="str">
        <f>IF(ISBLANK(input_wld_az1_rack3_principal_storage_pool_start_ip),"Value Missing",input_wld_az1_rack3_principal_storage_pool_start_ip)</f>
        <v>Value Missing</v>
      </c>
      <c r="Q151" s="361" t="s">
        <v>1419</v>
      </c>
      <c r="R151" s="337" t="str">
        <f>IF(ISBLANK(input_wld_az1_rack4_principal_storage_pool_start_ip),"Value Missing",input_wld_az1_rack4_principal_storage_pool_start_ip)</f>
        <v>Value Missing</v>
      </c>
      <c r="T151" s="361" t="s">
        <v>1419</v>
      </c>
      <c r="U151" s="337" t="str">
        <f>IF(ISBLANK(input_wld_az1_rack5_principal_storage_pool_start_ip),"Value Missing",input_wld_az1_rack5_principal_storage_pool_start_ip)</f>
        <v>Value Missing</v>
      </c>
      <c r="W151" s="361" t="s">
        <v>1419</v>
      </c>
      <c r="X151" s="337" t="str">
        <f>IF(ISBLANK(input_wld_az1_rack6_principal_storage_pool_start_ip),"Value Missing",input_wld_az1_rack6_principal_storage_pool_start_ip)</f>
        <v>Value Missing</v>
      </c>
      <c r="Z151" s="361" t="s">
        <v>1419</v>
      </c>
      <c r="AA151" s="337" t="str">
        <f>IF(ISBLANK(input_wld_az1_rack7_principal_storage_pool_start_ip),"Value Missing",input_wld_az1_rack7_principal_storage_pool_start_ip)</f>
        <v>Value Missing</v>
      </c>
      <c r="AC151" s="361" t="s">
        <v>1419</v>
      </c>
      <c r="AD151" s="337" t="str">
        <f>IF(ISBLANK(input_wld_az1_rack8_principal_storage_pool_start_ip),"Value Missing",input_wld_az1_rack8_principal_storage_pool_start_ip)</f>
        <v>Value Missing</v>
      </c>
      <c r="AG151" s="8"/>
      <c r="AH151" s="8"/>
      <c r="AI151" s="8"/>
    </row>
    <row r="152" spans="5:35" s="2" customFormat="1" ht="20.05" customHeight="1" x14ac:dyDescent="0.35">
      <c r="E152" s="361" t="s">
        <v>1420</v>
      </c>
      <c r="F152" s="337" t="str">
        <f>IF(ISBLANK(input_mgmt_az1_vsan_pool_end_ip),"Value Missing",input_mgmt_az1_vsan_pool_end_ip)</f>
        <v>Value Missing</v>
      </c>
      <c r="H152" s="361" t="s">
        <v>1420</v>
      </c>
      <c r="I152" s="337" t="str">
        <f>IF(ISBLANK(input_wld_az1_principal_storage_pool_end_ip),"Value Missing",input_wld_az1_principal_storage_pool_end_ip)</f>
        <v>Value Missing</v>
      </c>
      <c r="K152" s="361" t="s">
        <v>1420</v>
      </c>
      <c r="L152" s="337" t="str">
        <f>IF(ISBLANK(input_wld_az1_rack2_principal_storage_pool_end_ip),"Value Missing",input_wld_az1_rack2_principal_storage_pool_end_ip)</f>
        <v>Value Missing</v>
      </c>
      <c r="N152" s="361" t="s">
        <v>1420</v>
      </c>
      <c r="O152" s="337" t="str">
        <f>IF(ISBLANK(input_wld_az1_rack3_principal_storage_pool_end_ip),"Value Missing",input_wld_az1_rack3_principal_storage_pool_end_ip)</f>
        <v>Value Missing</v>
      </c>
      <c r="Q152" s="361" t="s">
        <v>1420</v>
      </c>
      <c r="R152" s="337" t="str">
        <f>IF(ISBLANK(input_wld_az1_rack4_principal_storage_pool_end_ip),"Value Missing",input_wld_az1_rack4_principal_storage_pool_end_ip)</f>
        <v>Value Missing</v>
      </c>
      <c r="T152" s="361" t="s">
        <v>1420</v>
      </c>
      <c r="U152" s="337" t="str">
        <f>IF(ISBLANK(input_wld_az1_rack5_principal_storage_pool_end_ip),"Value Missing",input_wld_az1_rack5_principal_storage_pool_end_ip)</f>
        <v>Value Missing</v>
      </c>
      <c r="W152" s="361" t="s">
        <v>1420</v>
      </c>
      <c r="X152" s="337" t="str">
        <f>IF(ISBLANK(input_wld_az1_rack6_principal_storage_pool_end_ip),"Value Missing",input_wld_az1_rack6_principal_storage_pool_end_ip)</f>
        <v>Value Missing</v>
      </c>
      <c r="Z152" s="361" t="s">
        <v>1420</v>
      </c>
      <c r="AA152" s="337" t="str">
        <f>IF(ISBLANK(input_wld_az1_rack7_principal_storage_pool_end_ip),"Value Missing",input_wld_az1_rack7_principal_storage_pool_end_ip)</f>
        <v>Value Missing</v>
      </c>
      <c r="AC152" s="361" t="s">
        <v>1420</v>
      </c>
      <c r="AD152" s="337" t="str">
        <f>IF(ISBLANK(input_wld_az1_rack8_principal_storage_pool_end_ip),"Value Missing",input_wld_az1_rack8_principal_storage_pool_end_ip)</f>
        <v>Value Missing</v>
      </c>
      <c r="AG152" s="8"/>
      <c r="AH152" s="8"/>
      <c r="AI152" s="8"/>
    </row>
    <row r="153" spans="5:35" s="2" customFormat="1" ht="20.05" customHeight="1" x14ac:dyDescent="0.35">
      <c r="E153" s="361" t="s">
        <v>1421</v>
      </c>
      <c r="F153" s="337" t="str">
        <f>IF(ISBLANK(input_mgmt_az1_host_overlay_pool_start_ip),"Value Missing",input_mgmt_az1_host_overlay_pool_start_ip)</f>
        <v>Value Missing</v>
      </c>
      <c r="H153" s="361" t="s">
        <v>1421</v>
      </c>
      <c r="I153" s="337" t="str">
        <f>IF(ISBLANK(input_wld_az1_host_overlay_pool_start_ip),"Value Missing",input_wld_az1_host_overlay_pool_start_ip)</f>
        <v>Value Missing</v>
      </c>
      <c r="K153" s="361" t="s">
        <v>1421</v>
      </c>
      <c r="L153" s="337" t="str">
        <f>IF(ISBLANK(input_wld_az1_rack2_host_overlay_pool_start_ip),"Value Missing",input_wld_az1_rack2_host_overlay_pool_start_ip)</f>
        <v>Value Missing</v>
      </c>
      <c r="N153" s="361" t="s">
        <v>1421</v>
      </c>
      <c r="O153" s="337" t="str">
        <f>IF(ISBLANK(input_wld_az1_rack3_host_overlay_pool_start_ip),"Value Missing",input_wld_az1_rack3_host_overlay_pool_start_ip)</f>
        <v>Value Missing</v>
      </c>
      <c r="Q153" s="361" t="s">
        <v>1421</v>
      </c>
      <c r="R153" s="337" t="str">
        <f>IF(ISBLANK(input_wld_az1_rack4_host_overlay_pool_start_ip),"Value Missing",input_wld_az1_rack4_host_overlay_pool_start_ip)</f>
        <v>Value Missing</v>
      </c>
      <c r="T153" s="361" t="s">
        <v>1421</v>
      </c>
      <c r="U153" s="337" t="str">
        <f>IF(ISBLANK(input_wld_az1_rack5_host_overlay_pool_start_ip),"Value Missing",input_wld_az1_rack5_host_overlay_pool_start_ip)</f>
        <v>Value Missing</v>
      </c>
      <c r="W153" s="361" t="s">
        <v>1421</v>
      </c>
      <c r="X153" s="337" t="str">
        <f>IF(ISBLANK(input_wld_az1_rack6_host_overlay_pool_start_ip),"Value Missing",input_wld_az1_rack6_host_overlay_pool_start_ip)</f>
        <v>Value Missing</v>
      </c>
      <c r="Z153" s="361" t="s">
        <v>1421</v>
      </c>
      <c r="AA153" s="337" t="str">
        <f>IF(ISBLANK(input_wld_az1_rack7_host_overlay_pool_start_ip),"Value Missing",input_wld_az1_rack7_host_overlay_pool_start_ip)</f>
        <v>Value Missing</v>
      </c>
      <c r="AC153" s="361" t="s">
        <v>1421</v>
      </c>
      <c r="AD153" s="337" t="str">
        <f>IF(ISBLANK(input_wld_az1_rack8_host_overlay_pool_start_ip),"Value Missing",input_wld_az1_rack8_host_overlay_pool_start_ip)</f>
        <v>Value Missing</v>
      </c>
      <c r="AG153" s="8"/>
      <c r="AH153" s="8"/>
      <c r="AI153" s="8"/>
    </row>
    <row r="154" spans="5:35" s="2" customFormat="1" ht="20.05" customHeight="1" x14ac:dyDescent="0.35">
      <c r="E154" s="361" t="s">
        <v>1422</v>
      </c>
      <c r="F154" s="337" t="str">
        <f>IF(ISBLANK(input_mgmt_az1_host_overlay_pool_end_ip),"Value Missing",input_mgmt_az1_host_overlay_pool_end_ip)</f>
        <v>Value Missing</v>
      </c>
      <c r="H154" s="361" t="s">
        <v>1422</v>
      </c>
      <c r="I154" s="337" t="str">
        <f>IF(ISBLANK(input_wld_az1_host_overlay_pool_end_ip),"Value Missing",input_wld_az1_host_overlay_pool_end_ip)</f>
        <v>Value Missing</v>
      </c>
      <c r="K154" s="361" t="s">
        <v>1422</v>
      </c>
      <c r="L154" s="337" t="str">
        <f>IF(ISBLANK(input_wld_az1_rack2_host_overlay_pool_end_ip),"Value Missing",input_wld_az1_rack2_host_overlay_pool_end_ip)</f>
        <v>Value Missing</v>
      </c>
      <c r="N154" s="361" t="s">
        <v>1422</v>
      </c>
      <c r="O154" s="337" t="str">
        <f>IF(ISBLANK(input_wld_az1_rack3_host_overlay_pool_end_ip),"Value Missing",input_wld_az1_rack3_host_overlay_pool_end_ip)</f>
        <v>Value Missing</v>
      </c>
      <c r="Q154" s="361" t="s">
        <v>1422</v>
      </c>
      <c r="R154" s="337" t="str">
        <f>IF(ISBLANK(input_wld_az1_rack4_host_overlay_pool_end_ip),"Value Missing",input_wld_az1_rack4_host_overlay_pool_end_ip)</f>
        <v>Value Missing</v>
      </c>
      <c r="T154" s="361" t="s">
        <v>1422</v>
      </c>
      <c r="U154" s="337" t="str">
        <f>IF(ISBLANK(input_wld_az1_rack5_host_overlay_pool_end_ip),"Value Missing",input_wld_az1_rack5_host_overlay_pool_end_ip)</f>
        <v>Value Missing</v>
      </c>
      <c r="W154" s="361" t="s">
        <v>1422</v>
      </c>
      <c r="X154" s="337" t="str">
        <f>IF(ISBLANK(input_wld_az1_rack6_host_overlay_pool_end_ip),"Value Missing",input_wld_az1_rack6_host_overlay_pool_end_ip)</f>
        <v>Value Missing</v>
      </c>
      <c r="Z154" s="361" t="s">
        <v>1422</v>
      </c>
      <c r="AA154" s="337" t="str">
        <f>IF(ISBLANK(input_wld_az1_rack7_host_overlay_pool_end_ip),"Value Missing",input_wld_az1_rack7_host_overlay_pool_end_ip)</f>
        <v>Value Missing</v>
      </c>
      <c r="AC154" s="361" t="s">
        <v>1422</v>
      </c>
      <c r="AD154" s="337" t="str">
        <f>IF(ISBLANK(input_wld_az1_rack8_host_overlay_pool_end_ip),"Value Missing",input_wld_az1_rack8_host_overlay_pool_end_ip)</f>
        <v>Value Missing</v>
      </c>
      <c r="AG154" s="8"/>
      <c r="AH154" s="8"/>
      <c r="AI154" s="8"/>
    </row>
    <row r="155" spans="5:35" s="2" customFormat="1" ht="20.05" customHeight="1" x14ac:dyDescent="0.35">
      <c r="E155" s="5" t="s">
        <v>1423</v>
      </c>
      <c r="F155" s="337" t="str">
        <f>IF(ISBLANK(input_mgmt_az1_secondary_storage_pool_start_ip),"Value Missing",input_mgmt_az1_secondary_storage_pool_start_ip)</f>
        <v>Value Missing</v>
      </c>
      <c r="H155" s="17" t="s">
        <v>1423</v>
      </c>
      <c r="I155" s="337" t="str">
        <f>IF(ISBLANK(input_wld_az1_secondary_storage_pool_start_ip),"Value Missing",input_wld_az1_secondary_storage_pool_start_ip)</f>
        <v>Value Missing</v>
      </c>
      <c r="K155" s="17" t="s">
        <v>1423</v>
      </c>
      <c r="L155" s="337" t="str">
        <f>IF(ISBLANK(input_wld_az1_rack2_secondary_storage_pool_start_ip),"Value Missing",input_wld_az1_rack2_secondary_storage_pool_start_ip)</f>
        <v>Value Missing</v>
      </c>
      <c r="N155" s="17" t="s">
        <v>1423</v>
      </c>
      <c r="O155" s="337" t="str">
        <f>IF(ISBLANK(input_wld_az1_rack3_secondary_storage_pool_start_ip),"Value Missing",input_wld_az1_rack3_secondary_storage_pool_start_ip)</f>
        <v>Value Missing</v>
      </c>
      <c r="Q155" s="17" t="s">
        <v>1423</v>
      </c>
      <c r="R155" s="337" t="str">
        <f>IF(ISBLANK(input_wld_az1_rack4_secondary_storage_pool_start_ip),"Value Missing",input_wld_az1_rack4_secondary_storage_pool_start_ip)</f>
        <v>Value Missing</v>
      </c>
      <c r="T155" s="17" t="s">
        <v>1423</v>
      </c>
      <c r="U155" s="337" t="str">
        <f>IF(ISBLANK(input_wld_az1_rack5_secondary_storage_pool_start_ip),"Value Missing",input_wld_az1_rack5_secondary_storage_pool_start_ip)</f>
        <v>Value Missing</v>
      </c>
      <c r="W155" s="17" t="s">
        <v>1423</v>
      </c>
      <c r="X155" s="337" t="str">
        <f>IF(ISBLANK(input_wld_az1_rack6_secondary_storage_pool_start_ip),"Value Missing",input_wld_az1_rack6_secondary_storage_pool_start_ip)</f>
        <v>Value Missing</v>
      </c>
      <c r="Z155" s="17" t="s">
        <v>1423</v>
      </c>
      <c r="AA155" s="337" t="str">
        <f>IF(ISBLANK(input_wld_az1_rack7_secondary_storage_pool_start_ip),"Value Missing",input_wld_az1_rack7_secondary_storage_pool_start_ip)</f>
        <v>Value Missing</v>
      </c>
      <c r="AC155" s="17" t="s">
        <v>1423</v>
      </c>
      <c r="AD155" s="337" t="str">
        <f>IF(ISBLANK(input_wld_az1_rack8_secondary_storage_pool_start_ip),"Value Missing",input_wld_az1_rack8_secondary_storage_pool_start_ip)</f>
        <v>Value Missing</v>
      </c>
      <c r="AG155" s="8"/>
      <c r="AH155" s="8"/>
      <c r="AI155" s="8"/>
    </row>
    <row r="156" spans="5:35" s="2" customFormat="1" ht="20.05" customHeight="1" x14ac:dyDescent="0.35">
      <c r="E156" s="21" t="s">
        <v>1424</v>
      </c>
      <c r="F156" s="337" t="str">
        <f>IF(ISBLANK(input_mgmt_az1_secondary_storage_pool_end_ip),"Value Missing",input_mgmt_az1_secondary_storage_pool_end_ip)</f>
        <v>Value Missing</v>
      </c>
      <c r="H156" s="22" t="s">
        <v>1424</v>
      </c>
      <c r="I156" s="337" t="str">
        <f>IF(ISBLANK(input_wld_az1_secondary_storage_pool_end_ip),"Value Missing",input_wld_az1_secondary_storage_pool_end_ip)</f>
        <v>Value Missing</v>
      </c>
      <c r="K156" s="22" t="s">
        <v>1424</v>
      </c>
      <c r="L156" s="337" t="str">
        <f>IF(ISBLANK(input_wld_az1_rack2_secondary_storage_pool_end_ip),"Value Missing",input_wld_az1_rack2_secondary_storage_pool_end_ip)</f>
        <v>Value Missing</v>
      </c>
      <c r="N156" s="22" t="s">
        <v>1424</v>
      </c>
      <c r="O156" s="337" t="str">
        <f>IF(ISBLANK(input_wld_az1_rack3_secondary_storage_pool_end_ip),"Value Missing",input_wld_az1_rack3_secondary_storage_pool_end_ip)</f>
        <v>Value Missing</v>
      </c>
      <c r="Q156" s="22" t="s">
        <v>1424</v>
      </c>
      <c r="R156" s="337" t="str">
        <f>IF(ISBLANK(input_wld_az1_rack4_secondary_storage_pool_end_ip),"Value Missing",input_wld_az1_rack4_secondary_storage_pool_end_ip)</f>
        <v>Value Missing</v>
      </c>
      <c r="T156" s="22" t="s">
        <v>1424</v>
      </c>
      <c r="U156" s="337" t="str">
        <f>IF(ISBLANK(input_wld_az1_rack5_secondary_storage_pool_end_ip),"Value Missing",input_wld_az1_rack5_secondary_storage_pool_end_ip)</f>
        <v>Value Missing</v>
      </c>
      <c r="W156" s="22" t="s">
        <v>1424</v>
      </c>
      <c r="X156" s="337" t="str">
        <f>IF(ISBLANK(input_wld_az1_rack6_secondary_storage_pool_end_ip),"Value Missing",input_wld_az1_rack6_secondary_storage_pool_end_ip)</f>
        <v>Value Missing</v>
      </c>
      <c r="Z156" s="22" t="s">
        <v>1424</v>
      </c>
      <c r="AA156" s="337" t="str">
        <f>IF(ISBLANK(input_wld_az1_rack7_secondary_storage_pool_end_ip),"Value Missing",input_wld_az1_rack7_secondary_storage_pool_end_ip)</f>
        <v>Value Missing</v>
      </c>
      <c r="AC156" s="22" t="s">
        <v>1424</v>
      </c>
      <c r="AD156" s="337" t="str">
        <f>IF(ISBLANK(input_wld_az1_rack8_secondary_storage_pool_end_ip),"Value Missing",input_wld_az1_rack8_secondary_storage_pool_end_ip)</f>
        <v>Value Missing</v>
      </c>
      <c r="AG156" s="8"/>
      <c r="AH156" s="8"/>
      <c r="AI156" s="8"/>
    </row>
    <row r="157" spans="5:35" s="2" customFormat="1" ht="20.05" customHeight="1" x14ac:dyDescent="0.35">
      <c r="E157" s="21"/>
      <c r="F157" s="337"/>
      <c r="G157" s="24"/>
      <c r="H157" s="28" t="s">
        <v>1425</v>
      </c>
      <c r="I157" s="337" t="str">
        <f>IF(ISBLANK(input_wld_az1_storage_cluster_pool_start_ip),"Value Missing",input_wld_az1_storage_cluster_pool_start_ip)</f>
        <v>Value Missing</v>
      </c>
      <c r="J157" s="24"/>
      <c r="K157" s="22"/>
      <c r="L157" s="337"/>
      <c r="N157" s="22"/>
      <c r="O157" s="337"/>
      <c r="Q157" s="22"/>
      <c r="R157" s="337"/>
      <c r="T157" s="22"/>
      <c r="U157" s="337"/>
      <c r="W157" s="22"/>
      <c r="X157" s="337"/>
      <c r="Z157" s="22"/>
      <c r="AA157" s="337"/>
      <c r="AC157" s="22"/>
      <c r="AD157" s="337"/>
      <c r="AG157" s="8"/>
      <c r="AH157" s="8"/>
      <c r="AI157" s="8"/>
    </row>
    <row r="158" spans="5:35" s="2" customFormat="1" ht="20.05" customHeight="1" x14ac:dyDescent="0.35">
      <c r="E158" s="21"/>
      <c r="F158" s="337"/>
      <c r="G158" s="8"/>
      <c r="H158" s="261" t="s">
        <v>1426</v>
      </c>
      <c r="I158" s="337" t="str">
        <f>IF(ISBLANK(input_wld_az1_storage_cluster_pool_end_ip),"Value Missing",input_wld_az1_storage_cluster_pool_end_ip)</f>
        <v>Value Missing</v>
      </c>
      <c r="J158" s="8"/>
      <c r="K158" s="22"/>
      <c r="L158" s="337"/>
      <c r="N158" s="22"/>
      <c r="O158" s="337"/>
      <c r="Q158" s="22"/>
      <c r="R158" s="337"/>
      <c r="T158" s="22"/>
      <c r="U158" s="337"/>
      <c r="W158" s="22"/>
      <c r="X158" s="337"/>
      <c r="Z158" s="22"/>
      <c r="AA158" s="337"/>
      <c r="AC158" s="22"/>
      <c r="AD158" s="337"/>
      <c r="AG158" s="8"/>
      <c r="AH158" s="8"/>
      <c r="AI158" s="8"/>
    </row>
    <row r="159" spans="5:35" s="2" customFormat="1" ht="20.05" customHeight="1" x14ac:dyDescent="0.35">
      <c r="E159" s="361" t="s">
        <v>122</v>
      </c>
      <c r="F159" s="337" t="str">
        <f>IF(ISBLANK(input_mgmt_az1_edge_overlay_pool_start_ip),"Value Missing",input_mgmt_az1_edge_overlay_pool_start_ip)</f>
        <v>Value Missing</v>
      </c>
      <c r="H159" s="361" t="s">
        <v>122</v>
      </c>
      <c r="I159" s="337" t="str">
        <f>IF(ISBLANK(input_wld_az1_edge_overlay_pool_start_ip),"Value Missing",input_wld_az1_edge_overlay_pool_start_ip)</f>
        <v>Value Missing</v>
      </c>
      <c r="K159" s="361" t="s">
        <v>122</v>
      </c>
      <c r="L159" s="337" t="str">
        <f t="array" ref="L159">IF(ISBLANK(input_wld_az1_rack2_edge_overlay_pool_start_ip),"Value Missing",input_wld_az1_rack2_edge_overlay_pool_start_ip)</f>
        <v>Value Missing</v>
      </c>
      <c r="N159" s="361" t="s">
        <v>122</v>
      </c>
      <c r="O159" s="337" t="str">
        <f t="array" ref="O159">IF(ISBLANK(input_wld_az1_rack3_edge_overlay_pool_start_ip),"Value Missing",input_wld_az1_rack3_edge_overlay_pool_start_ip)</f>
        <v>Value Missing</v>
      </c>
      <c r="Q159" s="361" t="s">
        <v>122</v>
      </c>
      <c r="R159" s="337" t="str">
        <f t="array" ref="R159">IF(ISBLANK(input_wld_az1_rack4_edge_overlay_pool_start_ip),"Value Missing",input_wld_az1_rack4_edge_overlay_pool_start_ip)</f>
        <v>Value Missing</v>
      </c>
      <c r="T159" s="361" t="s">
        <v>122</v>
      </c>
      <c r="U159" s="337" t="str">
        <f t="array" ref="U159">IF(ISBLANK(input_wld_az1_rack5_edge_overlay_pool_start_ip),"Value Missing",input_wld_az1_rack5_edge_overlay_pool_start_ip)</f>
        <v>Value Missing</v>
      </c>
      <c r="W159" s="361" t="s">
        <v>122</v>
      </c>
      <c r="X159" s="337" t="str">
        <f t="array" ref="X159">IF(ISBLANK(input_wld_az1_rack6_edge_overlay_pool_start_ip),"Value Missing",input_wld_az1_rack6_edge_overlay_pool_start_ip)</f>
        <v>Value Missing</v>
      </c>
      <c r="Z159" s="361" t="s">
        <v>122</v>
      </c>
      <c r="AA159" s="337" t="str">
        <f t="array" ref="AA159">IF(ISBLANK(input_wld_az1_rack7_edge_overlay_pool_start_ip),"Value Missing",input_wld_az1_rack7_edge_overlay_pool_start_ip)</f>
        <v>Value Missing</v>
      </c>
      <c r="AC159" s="361" t="s">
        <v>122</v>
      </c>
      <c r="AD159" s="337" t="str">
        <f t="array" ref="AD159">IF(ISBLANK(input_wld_az1_rack8_edge_overlay_pool_start_ip),"Value Missing",input_wld_az1_rack8_edge_overlay_pool_start_ip)</f>
        <v>Value Missing</v>
      </c>
      <c r="AG159" s="8"/>
      <c r="AH159" s="8"/>
      <c r="AI159" s="8"/>
    </row>
    <row r="160" spans="5:35" s="2" customFormat="1" ht="20.05" customHeight="1" x14ac:dyDescent="0.35">
      <c r="E160" s="361" t="s">
        <v>123</v>
      </c>
      <c r="F160" s="337" t="str">
        <f>IF(ISBLANK(input_mgmt_az1_edge_overlay_pool_end_ip),"Value Missing",input_mgmt_az1_edge_overlay_pool_end_ip)</f>
        <v>Value Missing</v>
      </c>
      <c r="G160" s="26"/>
      <c r="H160" s="361" t="s">
        <v>123</v>
      </c>
      <c r="I160" s="337" t="str">
        <f>IF(ISBLANK(input_wld_az1_edge_overlay_pool_end_ip),"Value Missing",input_wld_az1_edge_overlay_pool_end_ip)</f>
        <v>Value Missing</v>
      </c>
      <c r="J160" s="26"/>
      <c r="K160" s="361" t="s">
        <v>123</v>
      </c>
      <c r="L160" s="337" t="str">
        <f t="array" ref="L160">IF(ISBLANK(input_wld_az1_rack2_edge_overlay_pool_end_ip),"Value Missing",input_wld_az1_rack2_edge_overlay_pool_end_ip)</f>
        <v>Value Missing</v>
      </c>
      <c r="M160" s="24"/>
      <c r="N160" s="361" t="s">
        <v>123</v>
      </c>
      <c r="O160" s="337" t="str">
        <f t="array" ref="O160">IF(ISBLANK(input_wld_az1_rack3_edge_overlay_pool_end_ip),"Value Missing",input_wld_az1_rack3_edge_overlay_pool_end_ip)</f>
        <v>Value Missing</v>
      </c>
      <c r="Q160" s="361" t="s">
        <v>123</v>
      </c>
      <c r="R160" s="337" t="str">
        <f t="array" ref="R160">IF(ISBLANK(input_wld_az1_rack4_edge_overlay_pool_end_ip),"Value Missing",input_wld_az1_rack4_edge_overlay_pool_end_ip)</f>
        <v>Value Missing</v>
      </c>
      <c r="T160" s="361" t="s">
        <v>123</v>
      </c>
      <c r="U160" s="337" t="str">
        <f t="array" ref="U160">IF(ISBLANK(input_wld_az1_rack5_edge_overlay_pool_end_ip),"Value Missing",input_wld_az1_rack5_edge_overlay_pool_end_ip)</f>
        <v>Value Missing</v>
      </c>
      <c r="W160" s="361" t="s">
        <v>123</v>
      </c>
      <c r="X160" s="337" t="str">
        <f t="array" ref="X160">IF(ISBLANK(input_wld_az1_rack6_edge_overlay_pool_end_ip),"Value Missing",input_wld_az1_rack6_edge_overlay_pool_end_ip)</f>
        <v>Value Missing</v>
      </c>
      <c r="Z160" s="361" t="s">
        <v>123</v>
      </c>
      <c r="AA160" s="337" t="str">
        <f t="array" ref="AA160">IF(ISBLANK(input_wld_az1_rack7_edge_overlay_pool_end_ip),"Value Missing",input_wld_az1_rack7_edge_overlay_pool_end_ip)</f>
        <v>Value Missing</v>
      </c>
      <c r="AC160" s="361" t="s">
        <v>123</v>
      </c>
      <c r="AD160" s="337" t="str">
        <f t="array" ref="AD160">IF(ISBLANK(input_wld_az1_rack8_edge_overlay_pool_end_ip),"Value Missing",input_wld_az1_rack8_edge_overlay_pool_end_ip)</f>
        <v>Value Missing</v>
      </c>
      <c r="AG160" s="8"/>
      <c r="AH160" s="8"/>
      <c r="AI160" s="8"/>
    </row>
    <row r="161" spans="5:36" s="2" customFormat="1" ht="20.05" customHeight="1" x14ac:dyDescent="0.35">
      <c r="E161" s="361" t="s">
        <v>1427</v>
      </c>
      <c r="F161" s="337" t="str">
        <f>IF(ISBLANK(input_mgmt_rtep_overlay_pool_start_ip),"Value Missing",input_mgmt_rtep_overlay_pool_start_ip)</f>
        <v>Value Missing</v>
      </c>
      <c r="H161" s="361" t="s">
        <v>1427</v>
      </c>
      <c r="I161" s="337" t="str">
        <f>IF(ISBLANK(input_wld_rtep_overlay_pool_start_ip),"Value Missing",input_wld_rtep_overlay_pool_start_ip)</f>
        <v>Value Missing</v>
      </c>
      <c r="K161" s="361" t="s">
        <v>1427</v>
      </c>
      <c r="L161" s="337"/>
      <c r="M161" s="8"/>
      <c r="N161" s="361" t="s">
        <v>1427</v>
      </c>
      <c r="O161" s="337"/>
      <c r="Q161" s="361" t="s">
        <v>1427</v>
      </c>
      <c r="R161" s="337"/>
      <c r="T161" s="361" t="s">
        <v>1427</v>
      </c>
      <c r="U161" s="337"/>
      <c r="W161" s="361" t="s">
        <v>1427</v>
      </c>
      <c r="X161" s="337"/>
      <c r="Z161" s="361" t="s">
        <v>1427</v>
      </c>
      <c r="AA161" s="337"/>
      <c r="AC161" s="361" t="s">
        <v>1427</v>
      </c>
      <c r="AD161" s="337"/>
      <c r="AG161" s="8"/>
      <c r="AH161" s="8"/>
      <c r="AI161" s="8"/>
      <c r="AJ161" s="8"/>
    </row>
    <row r="162" spans="5:36" s="2" customFormat="1" ht="20.05" customHeight="1" x14ac:dyDescent="0.35">
      <c r="E162" s="361" t="s">
        <v>1428</v>
      </c>
      <c r="F162" s="337" t="str">
        <f>IF(ISBLANK(input_mgmt_rtep_overlay_pool_end_ip),"Value Missing",input_mgmt_rtep_overlay_pool_end_ip)</f>
        <v>Value Missing</v>
      </c>
      <c r="H162" s="361" t="s">
        <v>1428</v>
      </c>
      <c r="I162" s="337" t="str">
        <f>IF(ISBLANK(input_wld_rtep_overlay_pool_end_ip),"Value Missing",input_wld_rtep_overlay_pool_end_ip)</f>
        <v>Value Missing</v>
      </c>
      <c r="K162" s="361" t="s">
        <v>1428</v>
      </c>
      <c r="L162" s="337"/>
      <c r="N162" s="361" t="s">
        <v>1428</v>
      </c>
      <c r="O162" s="337"/>
      <c r="Q162" s="361" t="s">
        <v>1428</v>
      </c>
      <c r="R162" s="337"/>
      <c r="T162" s="361" t="s">
        <v>1428</v>
      </c>
      <c r="U162" s="337"/>
      <c r="W162" s="361" t="s">
        <v>1428</v>
      </c>
      <c r="X162" s="337"/>
      <c r="Z162" s="361" t="s">
        <v>1428</v>
      </c>
      <c r="AA162" s="337"/>
      <c r="AC162" s="361" t="s">
        <v>1428</v>
      </c>
      <c r="AD162" s="337"/>
      <c r="AG162" s="8"/>
      <c r="AH162" s="8"/>
      <c r="AI162" s="8"/>
      <c r="AJ162" s="8"/>
    </row>
    <row r="163" spans="5:36" s="2" customFormat="1" ht="20.05" customHeight="1" x14ac:dyDescent="0.35">
      <c r="H163" s="358"/>
      <c r="K163" s="23"/>
      <c r="M163" s="26"/>
      <c r="N163" s="23"/>
      <c r="Q163" s="23"/>
      <c r="T163" s="23"/>
      <c r="W163" s="23"/>
      <c r="Z163" s="23"/>
      <c r="AC163" s="23"/>
      <c r="AG163" s="8"/>
      <c r="AH163" s="8"/>
      <c r="AI163" s="8"/>
      <c r="AJ163" s="8"/>
    </row>
    <row r="164" spans="5:36" s="2" customFormat="1" ht="20.05" customHeight="1" x14ac:dyDescent="0.35">
      <c r="E164" s="20" t="s">
        <v>1429</v>
      </c>
      <c r="F164" s="381"/>
      <c r="H164" s="20" t="s">
        <v>1430</v>
      </c>
      <c r="I164" s="381"/>
      <c r="K164" s="20" t="s">
        <v>1431</v>
      </c>
      <c r="L164" s="381"/>
      <c r="N164" s="20" t="s">
        <v>1432</v>
      </c>
      <c r="O164" s="381"/>
      <c r="Q164" s="20" t="s">
        <v>1433</v>
      </c>
      <c r="R164" s="381"/>
      <c r="T164" s="20" t="s">
        <v>1434</v>
      </c>
      <c r="U164" s="381"/>
      <c r="W164" s="20" t="s">
        <v>1435</v>
      </c>
      <c r="X164" s="381"/>
      <c r="Z164" s="20" t="s">
        <v>1436</v>
      </c>
      <c r="AA164" s="381"/>
      <c r="AC164" s="20" t="s">
        <v>1437</v>
      </c>
      <c r="AD164" s="381"/>
      <c r="AG164" s="8"/>
      <c r="AH164" s="8"/>
      <c r="AI164" s="8"/>
      <c r="AJ164" s="8"/>
    </row>
    <row r="165" spans="5:36" s="2" customFormat="1" ht="20.05" customHeight="1" x14ac:dyDescent="0.35">
      <c r="E165" s="11" t="s">
        <v>261</v>
      </c>
      <c r="F165" s="14" t="s">
        <v>1269</v>
      </c>
      <c r="H165" s="11" t="s">
        <v>261</v>
      </c>
      <c r="I165" s="14" t="s">
        <v>19</v>
      </c>
      <c r="K165" s="13" t="s">
        <v>261</v>
      </c>
      <c r="L165" s="14" t="s">
        <v>19</v>
      </c>
      <c r="N165" s="13" t="s">
        <v>261</v>
      </c>
      <c r="O165" s="14" t="s">
        <v>19</v>
      </c>
      <c r="P165" s="24"/>
      <c r="Q165" s="13" t="s">
        <v>261</v>
      </c>
      <c r="R165" s="14" t="s">
        <v>19</v>
      </c>
      <c r="S165" s="24"/>
      <c r="T165" s="13" t="s">
        <v>261</v>
      </c>
      <c r="U165" s="14" t="s">
        <v>19</v>
      </c>
      <c r="V165" s="24"/>
      <c r="W165" s="13" t="s">
        <v>261</v>
      </c>
      <c r="X165" s="14" t="s">
        <v>19</v>
      </c>
      <c r="Y165" s="24"/>
      <c r="Z165" s="13" t="s">
        <v>261</v>
      </c>
      <c r="AA165" s="14" t="s">
        <v>19</v>
      </c>
      <c r="AB165" s="24"/>
      <c r="AC165" s="13" t="s">
        <v>261</v>
      </c>
      <c r="AD165" s="14" t="s">
        <v>19</v>
      </c>
      <c r="AG165" s="8"/>
      <c r="AH165" s="8"/>
      <c r="AI165" s="8"/>
      <c r="AJ165" s="8"/>
    </row>
    <row r="166" spans="5:36" s="2" customFormat="1" ht="20.05" customHeight="1" x14ac:dyDescent="0.35">
      <c r="E166" s="361" t="s">
        <v>250</v>
      </c>
      <c r="F166" s="337" t="str">
        <f>CONCATENATE(this_instance,"01-m01","-r01-network-pool-01")</f>
        <v>sfo01-m01-r01-network-pool-01</v>
      </c>
      <c r="H166" s="361" t="s">
        <v>1438</v>
      </c>
      <c r="I166" s="337" t="str">
        <f>IF(ISBLANK(input_wld_az1_pool_name),"Value Missing",input_wld_az1_pool_name)</f>
        <v>Value Missing</v>
      </c>
      <c r="K166" s="361" t="s">
        <v>250</v>
      </c>
      <c r="L166" s="337" t="str">
        <f>IF(ISBLANK(input_wld_az1_rack2_pool_name),"Value Missing",input_wld_az1_rack2_pool_name)</f>
        <v>Value Missing</v>
      </c>
      <c r="N166" s="361" t="s">
        <v>1438</v>
      </c>
      <c r="O166" s="337" t="str">
        <f>IF(ISBLANK(input_wld_az1_rack3_pool_name),"Value Missing",input_wld_az1_rack3_pool_name)</f>
        <v>Value Missing</v>
      </c>
      <c r="P166" s="8"/>
      <c r="Q166" s="361" t="s">
        <v>1438</v>
      </c>
      <c r="R166" s="337" t="str">
        <f>IF(ISBLANK(input_wld_az1_rack4_pool_name),"Value Missing",input_wld_az1_rack4_pool_name)</f>
        <v>Value Missing</v>
      </c>
      <c r="S166" s="8"/>
      <c r="T166" s="361" t="s">
        <v>1438</v>
      </c>
      <c r="U166" s="337" t="str">
        <f>IF(ISBLANK(input_wld_az1_rack5_pool_name),"Value Missing",input_wld_az1_rack5_pool_name)</f>
        <v>Value Missing</v>
      </c>
      <c r="V166" s="8"/>
      <c r="W166" s="361" t="s">
        <v>1438</v>
      </c>
      <c r="X166" s="337" t="str">
        <f>IF(ISBLANK(input_wld_az1_rack6_pool_name),"Value Missing",input_wld_az1_rack6_pool_name)</f>
        <v>Value Missing</v>
      </c>
      <c r="Y166" s="8"/>
      <c r="Z166" s="361" t="s">
        <v>1438</v>
      </c>
      <c r="AA166" s="337" t="str">
        <f>IF(ISBLANK(input_wld_az1_rack7_pool_name),"Value Missing",input_wld_az1_rack7_pool_name)</f>
        <v>Value Missing</v>
      </c>
      <c r="AB166" s="8"/>
      <c r="AC166" s="361" t="s">
        <v>1438</v>
      </c>
      <c r="AD166" s="337" t="str">
        <f>IF(ISBLANK(input_wld_az1_rack8_pool_name),"Value Missing",input_wld_az1_rack8_pool_name)</f>
        <v>Value Missing</v>
      </c>
      <c r="AG166" s="8"/>
      <c r="AH166" s="8"/>
      <c r="AI166" s="8"/>
    </row>
    <row r="167" spans="5:36" s="2" customFormat="1" ht="20.05" customHeight="1" x14ac:dyDescent="0.35">
      <c r="E167" s="361" t="s">
        <v>1439</v>
      </c>
      <c r="F167" s="337" t="str">
        <f>CONCATENATE(this_instance,"01-",sample_mgmt_cl01_cluster,"-r01-network-profile")</f>
        <v>sfo01-sfo-m01-cl01-r01-network-profile</v>
      </c>
      <c r="G167" s="7"/>
      <c r="H167" s="361" t="s">
        <v>1439</v>
      </c>
      <c r="I167" s="337" t="str">
        <f>IF(ISBLANK(input_wld_az1_rack1_host_overlay_network_profile_name),"Value Missing",input_wld_az1_rack1_host_overlay_network_profile_name)</f>
        <v>Value Missing</v>
      </c>
      <c r="J167" s="7"/>
      <c r="K167" s="361" t="s">
        <v>1439</v>
      </c>
      <c r="L167" s="337" t="str">
        <f>IF(ISBLANK(input_wld_az1_rack2_host_overlay_network_profile_name),"Value Missing",input_wld_az1_rack2_host_overlay_network_profile_name)</f>
        <v>Value Missing</v>
      </c>
      <c r="N167" s="361" t="s">
        <v>1439</v>
      </c>
      <c r="O167" s="337" t="str">
        <f>IF(ISBLANK(input_wld_az1_rack3_host_overlay_network_profile_name),"Value Missing",input_wld_az1_rack3_host_overlay_network_profile_name)</f>
        <v>Value Missing</v>
      </c>
      <c r="Q167" s="361" t="s">
        <v>1439</v>
      </c>
      <c r="R167" s="337" t="str">
        <f>IF(ISBLANK(input_wld_az1_rack4_host_overlay_network_profile_name),"Value Missing",input_wld_az1_rack4_host_overlay_network_profile_name)</f>
        <v>Value Missing</v>
      </c>
      <c r="T167" s="361" t="s">
        <v>1439</v>
      </c>
      <c r="U167" s="337" t="str">
        <f>IF(ISBLANK(input_wld_az1_rack5_host_overlay_network_profile_name),"Value Missing",input_wld_az1_rack5_host_overlay_network_profile_name)</f>
        <v>Value Missing</v>
      </c>
      <c r="W167" s="361" t="s">
        <v>1439</v>
      </c>
      <c r="X167" s="337" t="str">
        <f>IF(ISBLANK(input_wld_az1_rack6_host_overlay_network_profile_name),"Value Missing",input_wld_az1_rack6_host_overlay_network_profile_name)</f>
        <v>Value Missing</v>
      </c>
      <c r="Z167" s="361" t="s">
        <v>1439</v>
      </c>
      <c r="AA167" s="337" t="str">
        <f>IF(ISBLANK(input_wld_az1_rack7_host_overlay_network_profile_name),"Value Missing",input_wld_az1_rack7_host_overlay_network_profile_name)</f>
        <v>Value Missing</v>
      </c>
      <c r="AC167" s="361" t="s">
        <v>1439</v>
      </c>
      <c r="AD167" s="337" t="str">
        <f>IF(ISBLANK(input_wld_az1_rack8_host_overlay_network_profile_name),"Value Missing",input_wld_az1_rack8_host_overlay_network_profile_name)</f>
        <v>Value Missing</v>
      </c>
      <c r="AG167" s="8"/>
      <c r="AH167" s="8"/>
      <c r="AI167" s="8"/>
      <c r="AJ167" s="8"/>
    </row>
    <row r="168" spans="5:36" s="2" customFormat="1" ht="20.05" customHeight="1" x14ac:dyDescent="0.35">
      <c r="E168" s="361" t="s">
        <v>1440</v>
      </c>
      <c r="F168" s="25" t="str">
        <f>IF(ISBLANK(sample_mgmt_az1_host_overlay_network_pool_description),"Value Missing",sample_mgmt_az1_host_overlay_network_pool_description)</f>
        <v>ESX Host Overlay TEP IP Pool</v>
      </c>
      <c r="H168" s="361" t="s">
        <v>1440</v>
      </c>
      <c r="I168" s="25" t="str">
        <f>IF(ISBLANK(sample_wld_az1_host_overlay_network_pool_description),"Value Missing",sample_wld_az1_host_overlay_network_pool_description)</f>
        <v>ESX Host Overlay TEP IP Pool</v>
      </c>
      <c r="K168" s="361" t="s">
        <v>1440</v>
      </c>
      <c r="L168" s="25"/>
      <c r="N168" s="361" t="s">
        <v>1440</v>
      </c>
      <c r="O168" s="25"/>
      <c r="P168" s="26"/>
      <c r="Q168" s="361" t="s">
        <v>1440</v>
      </c>
      <c r="R168" s="25"/>
      <c r="S168" s="26"/>
      <c r="T168" s="361" t="s">
        <v>1440</v>
      </c>
      <c r="U168" s="25"/>
      <c r="V168" s="26"/>
      <c r="W168" s="361" t="s">
        <v>1440</v>
      </c>
      <c r="X168" s="25"/>
      <c r="Y168" s="26"/>
      <c r="Z168" s="361" t="s">
        <v>1440</v>
      </c>
      <c r="AA168" s="25"/>
      <c r="AB168" s="26"/>
      <c r="AC168" s="361" t="s">
        <v>1440</v>
      </c>
      <c r="AD168" s="25"/>
      <c r="AG168" s="8"/>
      <c r="AH168" s="8"/>
      <c r="AI168" s="8"/>
      <c r="AJ168" s="8"/>
    </row>
    <row r="169" spans="5:36" s="2" customFormat="1" ht="20.05" customHeight="1" x14ac:dyDescent="0.35">
      <c r="E169" s="361" t="s">
        <v>1441</v>
      </c>
      <c r="F169" s="337" t="str">
        <f>IF(ISBLANK(input_mgmt_az1_host_overlay_network_pool_name),"Value Missing",input_mgmt_az1_host_overlay_network_pool_name)</f>
        <v>Value Missing</v>
      </c>
      <c r="G169" s="15"/>
      <c r="H169" s="361" t="s">
        <v>1442</v>
      </c>
      <c r="I169" s="337" t="str">
        <f>IF(ISBLANK(input_wld_az1_host_overlay_network_pool_name),"Value Missing",input_wld_az1_host_overlay_network_pool_name)</f>
        <v>Value Missing</v>
      </c>
      <c r="J169" s="15"/>
      <c r="K169" s="361" t="s">
        <v>1441</v>
      </c>
      <c r="L169" s="337" t="str">
        <f>IF(ISBLANK(input_wld_az1_rack2_host_overlay_network_pool_name),"Value Missing",input_wld_az1_rack2_host_overlay_network_pool_name)</f>
        <v>Value Missing</v>
      </c>
      <c r="N169" s="361" t="s">
        <v>1442</v>
      </c>
      <c r="O169" s="337" t="str">
        <f>IF(ISBLANK(input_wld_az1_rack3_host_overlay_network_pool_name),"Value Missing",input_wld_az1_rack3_host_overlay_network_pool_name)</f>
        <v>Value Missing</v>
      </c>
      <c r="Q169" s="361" t="s">
        <v>1442</v>
      </c>
      <c r="R169" s="337" t="str">
        <f>IF(ISBLANK(input_wld_az1_rack4_host_overlay_network_pool_name),"Value Missing",input_wld_az1_rack4_host_overlay_network_pool_name)</f>
        <v>Value Missing</v>
      </c>
      <c r="T169" s="361" t="s">
        <v>1442</v>
      </c>
      <c r="U169" s="337" t="str">
        <f>IF(ISBLANK(input_wld_az1_rack5_host_overlay_network_pool_name),"Value Missing",input_wld_az1_rack5_host_overlay_network_pool_name)</f>
        <v>Value Missing</v>
      </c>
      <c r="W169" s="361" t="s">
        <v>1442</v>
      </c>
      <c r="X169" s="337" t="str">
        <f>IF(ISBLANK(input_wld_az1_rack6_host_overlay_network_pool_name),"Value Missing",input_wld_az1_rack6_host_overlay_network_pool_name)</f>
        <v>Value Missing</v>
      </c>
      <c r="Z169" s="361" t="s">
        <v>1442</v>
      </c>
      <c r="AA169" s="337" t="str">
        <f>IF(ISBLANK(input_wld_az1_rack7_host_overlay_network_pool_name),"Value Missing",input_wld_az1_rack7_host_overlay_network_pool_name)</f>
        <v>Value Missing</v>
      </c>
      <c r="AC169" s="361" t="s">
        <v>1442</v>
      </c>
      <c r="AD169" s="337" t="str">
        <f>IF(ISBLANK(input_wld_az1_rack8_host_overlay_network_pool_name),"Value Missing",input_wld_az1_rack8_host_overlay_network_pool_name)</f>
        <v>Value Missing</v>
      </c>
      <c r="AG169" s="8"/>
      <c r="AH169" s="8"/>
      <c r="AI169" s="8"/>
      <c r="AJ169" s="8"/>
    </row>
    <row r="170" spans="5:36" s="2" customFormat="1" ht="20.05" customHeight="1" x14ac:dyDescent="0.35">
      <c r="E170" s="4" t="s">
        <v>1443</v>
      </c>
      <c r="F170" s="337" t="str">
        <f>IF(ISBLANK(input_mgmt_host_overlay_transportzone),"Value Missing",input_mgmt_host_overlay_transportzone)</f>
        <v>Value Missing</v>
      </c>
      <c r="G170" s="15"/>
      <c r="H170" s="361" t="s">
        <v>1444</v>
      </c>
      <c r="I170" s="337" t="str">
        <f>IF(ISBLANK(input_wld_host_overlay_transportzone),"Value Missing",input_wld_host_overlay_transportzone)</f>
        <v>Value Missing</v>
      </c>
      <c r="J170" s="15"/>
      <c r="K170" s="361"/>
      <c r="L170" s="337"/>
      <c r="M170" s="7"/>
      <c r="N170" s="361"/>
      <c r="O170" s="337"/>
      <c r="Q170" s="361"/>
      <c r="R170" s="337"/>
      <c r="T170" s="361"/>
      <c r="U170" s="337"/>
      <c r="W170" s="361"/>
      <c r="X170" s="337"/>
      <c r="Z170" s="361"/>
      <c r="AA170" s="337"/>
      <c r="AC170" s="361"/>
      <c r="AD170" s="337"/>
      <c r="AG170" s="8"/>
      <c r="AH170" s="8"/>
      <c r="AI170" s="8"/>
      <c r="AJ170" s="8"/>
    </row>
    <row r="171" spans="5:36" s="2" customFormat="1" ht="20.05" customHeight="1" x14ac:dyDescent="0.35">
      <c r="E171" s="361" t="s">
        <v>1445</v>
      </c>
      <c r="F171" s="337" t="str">
        <f>CONCATENATE(this_instance,"01-m01","-r01-uplink-profile01")</f>
        <v>sfo01-m01-r01-uplink-profile01</v>
      </c>
      <c r="H171" s="361" t="s">
        <v>1445</v>
      </c>
      <c r="I171" s="337" t="str">
        <f>IF(ISBLANK(input_wld_az1_host_overlay_uplink_profile_name),"Value Missing",input_wld_az1_host_overlay_uplink_profile_name)</f>
        <v>Value Missing</v>
      </c>
      <c r="K171" s="361" t="s">
        <v>1445</v>
      </c>
      <c r="L171" s="337" t="str">
        <f>IF(ISBLANK(input_wld_az1_rack2_host_overlay_uplink_profile_name),"Value Missing",input_wld_az1_rack2_host_overlay_uplink_profile_name)</f>
        <v>Value Missing</v>
      </c>
      <c r="M171" s="3"/>
      <c r="N171" s="361" t="s">
        <v>1445</v>
      </c>
      <c r="O171" s="337" t="str">
        <f>IF(ISBLANK(input_wld_az1_rack3_host_overlay_uplink_profile_name),"Value Missing",input_wld_az1_rack3_host_overlay_uplink_profile_name)</f>
        <v>Value Missing</v>
      </c>
      <c r="Q171" s="361" t="s">
        <v>1445</v>
      </c>
      <c r="R171" s="337" t="str">
        <f>IF(ISBLANK(input_wld_az1_rack4_host_overlay_uplink_profile_name),"Value Missing",input_wld_az1_rack4_host_overlay_uplink_profile_name)</f>
        <v>Value Missing</v>
      </c>
      <c r="T171" s="361" t="s">
        <v>1445</v>
      </c>
      <c r="U171" s="337" t="str">
        <f>IF(ISBLANK(input_wld_az1_rack5_host_overlay_uplink_profile_name),"Value Missing",input_wld_az1_rack5_host_overlay_uplink_profile_name)</f>
        <v>Value Missing</v>
      </c>
      <c r="W171" s="361" t="s">
        <v>1445</v>
      </c>
      <c r="X171" s="337" t="str">
        <f>IF(ISBLANK(input_wld_az1_rack6_host_overlay_uplink_profile_name),"Value Missing",input_wld_az1_rack6_host_overlay_uplink_profile_name)</f>
        <v>Value Missing</v>
      </c>
      <c r="Z171" s="361" t="s">
        <v>1445</v>
      </c>
      <c r="AA171" s="337" t="str">
        <f>IF(ISBLANK(input_wld_az1_rack7_host_overlay_uplink_profile_name),"Value Missing",input_wld_az1_rack7_host_overlay_uplink_profile_name)</f>
        <v>Value Missing</v>
      </c>
      <c r="AC171" s="361" t="s">
        <v>1445</v>
      </c>
      <c r="AD171" s="337" t="str">
        <f>IF(ISBLANK(input_wld_az1_rack8_host_overlay_uplink_profile_name),"Value Missing",input_wld_az1_rack8_host_overlay_uplink_profile_name)</f>
        <v>Value Missing</v>
      </c>
      <c r="AG171" s="8"/>
      <c r="AH171" s="8"/>
      <c r="AI171" s="8"/>
      <c r="AJ171" s="8"/>
    </row>
    <row r="172" spans="5:36" s="2" customFormat="1" ht="20.05" customHeight="1" x14ac:dyDescent="0.35">
      <c r="E172" s="361" t="s">
        <v>1446</v>
      </c>
      <c r="F172" s="337" t="str">
        <f>IF(ISBLANK(input_mgmt_az1_edge_overlay_network_pool_name),"Value Missing",input_mgmt_az1_edge_overlay_network_pool_name)</f>
        <v>Value Missing</v>
      </c>
      <c r="H172" s="361" t="s">
        <v>1446</v>
      </c>
      <c r="I172" s="337" t="str">
        <f>IF(ISBLANK(input_wld_az1_edge_overlay_network_pool_name),"Value Missing",input_wld_az1_edge_overlay_network_pool_name)</f>
        <v>Value Missing</v>
      </c>
      <c r="K172" s="361" t="s">
        <v>1446</v>
      </c>
      <c r="L172" s="337" t="str">
        <f>IF(ISBLANK(input_wld_az1_rack2_edge_overlay_network_pool_name),"Value Missing",input_wld_az1_rack2_edge_overlay_network_pool_name)</f>
        <v>Value Missing</v>
      </c>
      <c r="M172" s="15"/>
      <c r="N172" s="361" t="s">
        <v>1446</v>
      </c>
      <c r="O172" s="337" t="str">
        <f>IF(ISBLANK(input_wld_az1_rack3_edge_overlay_network_pool_name),"Value Missing",input_wld_az1_rack3_edge_overlay_network_pool_name)</f>
        <v>Value Missing</v>
      </c>
      <c r="Q172" s="361" t="s">
        <v>1446</v>
      </c>
      <c r="R172" s="337" t="str">
        <f>IF(ISBLANK(input_wld_az1_rack4_edge_overlay_network_pool_name),"Value Missing",input_wld_az1_rack4_edge_overlay_network_pool_name)</f>
        <v>Value Missing</v>
      </c>
      <c r="T172" s="361" t="s">
        <v>1446</v>
      </c>
      <c r="U172" s="337" t="str">
        <f>IF(ISBLANK(input_wld_az1_rack5_edge_overlay_network_pool_name),"Value Missing",input_wld_az1_rack5_edge_overlay_network_pool_name)</f>
        <v>Value Missing</v>
      </c>
      <c r="W172" s="361" t="s">
        <v>1446</v>
      </c>
      <c r="X172" s="337" t="str">
        <f>IF(ISBLANK(input_wld_az1_rack6_edge_overlay_network_pool_name),"Value Missing",input_wld_az1_rack6_edge_overlay_network_pool_name)</f>
        <v>Value Missing</v>
      </c>
      <c r="Z172" s="361" t="s">
        <v>1446</v>
      </c>
      <c r="AA172" s="337" t="str">
        <f>IF(ISBLANK(input_wld_az1_rack7_edge_overlay_network_pool_name),"Value Missing",input_wld_az1_rack7_edge_overlay_network_pool_name)</f>
        <v>Value Missing</v>
      </c>
      <c r="AC172" s="28" t="s">
        <v>1446</v>
      </c>
      <c r="AD172" s="337" t="str">
        <f>IF(ISBLANK(input_wld_az1_rack8_edge_overlay_network_pool_name),"Value Missing",input_wld_az1_rack8_edge_overlay_network_pool_name)</f>
        <v>Value Missing</v>
      </c>
      <c r="AG172" s="8"/>
      <c r="AH172" s="8"/>
      <c r="AI172" s="8"/>
      <c r="AJ172" s="8"/>
    </row>
    <row r="173" spans="5:36" s="2" customFormat="1" ht="20.05" customHeight="1" x14ac:dyDescent="0.35">
      <c r="E173" s="361" t="s">
        <v>1447</v>
      </c>
      <c r="F173" s="337" t="str">
        <f>IF(ISBLANK(input_mgmt_az1_rtep_ip_pool_name),"Value Missing",input_mgmt_az1_rtep_ip_pool_name)</f>
        <v>Value Missing</v>
      </c>
      <c r="H173" s="361" t="s">
        <v>1447</v>
      </c>
      <c r="I173" s="337" t="str">
        <f>IF(ISBLANK(input_wld_az1_rtep_ip_pool_name),"Value Missing",input_wld_az1_rtep_ip_pool_name)</f>
        <v>Value Missing</v>
      </c>
      <c r="K173" s="361" t="s">
        <v>1447</v>
      </c>
      <c r="L173" s="337" t="str">
        <f>IF(ISBLANK(input_wld_az1_rack2_rtep_ip_pool_name),"Value Missing",input_wld_az1_rack2_rtep_ip_pool_name)</f>
        <v>Value Missing</v>
      </c>
      <c r="M173" s="15"/>
      <c r="N173" s="361" t="s">
        <v>1447</v>
      </c>
      <c r="O173" s="337" t="str">
        <f>IF(ISBLANK(input_wld_az1_rack3_rtep_ip_pool_name),"Value Missing",input_wld_az1_rack3_rtep_ip_pool_name)</f>
        <v>Value Missing</v>
      </c>
      <c r="Q173" s="361" t="s">
        <v>1447</v>
      </c>
      <c r="R173" s="337" t="str">
        <f>IF(ISBLANK(input_wld_az1_rack4_rtep_ip_pool_name),"Value Missing",input_wld_az1_rack4_rtep_ip_pool_name)</f>
        <v>Value Missing</v>
      </c>
      <c r="T173" s="361" t="s">
        <v>1447</v>
      </c>
      <c r="U173" s="337" t="str">
        <f>IF(ISBLANK(input_wld_az1_rack5_rtep_ip_pool_name),"Value Missing",input_wld_az1_rack5_rtep_ip_pool_name)</f>
        <v>Value Missing</v>
      </c>
      <c r="W173" s="361" t="s">
        <v>1447</v>
      </c>
      <c r="X173" s="337" t="str">
        <f>IF(ISBLANK(input_wld_az1_rack6_rtep_ip_pool_name),"Value Missing",input_wld_az1_rack6_rtep_ip_pool_name)</f>
        <v>Value Missing</v>
      </c>
      <c r="Z173" s="361" t="s">
        <v>1447</v>
      </c>
      <c r="AA173" s="337" t="str">
        <f>IF(ISBLANK(input_wld_az1_rack7_rtep_ip_pool_name),"Value Missing",input_wld_az1_rack7_rtep_ip_pool_name)</f>
        <v>Value Missing</v>
      </c>
      <c r="AC173" s="361" t="s">
        <v>1447</v>
      </c>
      <c r="AD173" s="337" t="str">
        <f>IF(ISBLANK(input_wld_az1_rack8_rtep_ip_pool_name),"Value Missing",input_wld_az1_rack8_rtep_ip_pool_name)</f>
        <v>Value Missing</v>
      </c>
      <c r="AG173" s="8"/>
      <c r="AH173" s="8"/>
      <c r="AI173" s="8"/>
      <c r="AJ173" s="8"/>
    </row>
    <row r="174" spans="5:36" s="2" customFormat="1" ht="20.05" customHeight="1" x14ac:dyDescent="0.35">
      <c r="E174" s="361" t="s">
        <v>1448</v>
      </c>
      <c r="F174" s="337"/>
      <c r="H174" s="361" t="s">
        <v>1448</v>
      </c>
      <c r="I174" s="337"/>
      <c r="K174" s="361" t="s">
        <v>1448</v>
      </c>
      <c r="L174" s="337" t="str">
        <f>IF(ISBLANK(input_wld_az1_rack2_vsan_fault_domain),"Value Missing",input_wld_az1_rack2_vsan_fault_domain)</f>
        <v>Value Missing</v>
      </c>
      <c r="N174" s="361" t="s">
        <v>1448</v>
      </c>
      <c r="O174" s="337" t="str">
        <f>IF(ISBLANK(input_wld_az1_rack3_vsan_fault_domain),"Value Missing",input_wld_az1_rack3_vsan_fault_domain)</f>
        <v>Value Missing</v>
      </c>
      <c r="Q174" s="361" t="s">
        <v>1448</v>
      </c>
      <c r="R174" s="337" t="str">
        <f>IF(ISBLANK(input_wld_az1_rack4_vsan_fault_domain),"Value Missing",input_wld_az1_rack4_vsan_fault_domain)</f>
        <v>Value Missing</v>
      </c>
      <c r="T174" s="361" t="s">
        <v>1448</v>
      </c>
      <c r="U174" s="337" t="str">
        <f>IF(ISBLANK(input_wld_az1_rack5_vsan_fault_domain),"Value Missing",input_wld_az1_rack5_vsan_fault_domain)</f>
        <v>Value Missing</v>
      </c>
      <c r="W174" s="361" t="s">
        <v>1448</v>
      </c>
      <c r="X174" s="337" t="str">
        <f>IF(ISBLANK(input_wld_az1_rack6_vsan_fault_domain),"Value Missing",input_wld_az1_rack6_vsan_fault_domain)</f>
        <v>Value Missing</v>
      </c>
      <c r="Z174" s="361" t="s">
        <v>1448</v>
      </c>
      <c r="AA174" s="337" t="str">
        <f>IF(ISBLANK(input_wld_az1_rack7_vsan_fault_domain),"Value Missing",input_wld_az1_rack7_vsan_fault_domain)</f>
        <v>Value Missing</v>
      </c>
      <c r="AC174" s="361" t="s">
        <v>1448</v>
      </c>
      <c r="AD174" s="337" t="str">
        <f>IF(ISBLANK(input_wld_az1_rack8_vsan_fault_domain),"Value Missing",input_wld_az1_rack8_vsan_fault_domain)</f>
        <v>Value Missing</v>
      </c>
      <c r="AG174" s="8"/>
      <c r="AH174" s="8"/>
      <c r="AI174" s="8"/>
      <c r="AJ174" s="8"/>
    </row>
    <row r="175" spans="5:36" s="2" customFormat="1" ht="20.05" customHeight="1" x14ac:dyDescent="0.35">
      <c r="E175" s="7"/>
      <c r="F175" s="7"/>
      <c r="H175" s="29"/>
      <c r="I175" s="29"/>
      <c r="K175" s="29"/>
      <c r="L175" s="19"/>
      <c r="N175" s="29"/>
      <c r="O175" s="19"/>
      <c r="P175" s="7"/>
      <c r="Q175" s="29"/>
      <c r="R175" s="19"/>
      <c r="S175" s="7"/>
      <c r="T175" s="29"/>
      <c r="U175" s="19"/>
      <c r="V175" s="7"/>
      <c r="W175" s="29"/>
      <c r="X175" s="19"/>
      <c r="Y175" s="7"/>
      <c r="Z175" s="29"/>
      <c r="AA175" s="19"/>
      <c r="AB175" s="7"/>
      <c r="AC175" s="29"/>
      <c r="AD175" s="19"/>
      <c r="AG175" s="8"/>
      <c r="AH175" s="8"/>
      <c r="AI175" s="8"/>
      <c r="AJ175" s="8"/>
    </row>
    <row r="176" spans="5:36" s="2" customFormat="1" ht="20.05" customHeight="1" x14ac:dyDescent="0.35">
      <c r="E176" s="576" t="s">
        <v>1449</v>
      </c>
      <c r="F176" s="577"/>
      <c r="H176" s="576" t="s">
        <v>1450</v>
      </c>
      <c r="I176" s="577"/>
      <c r="K176" s="576" t="s">
        <v>1451</v>
      </c>
      <c r="L176" s="577"/>
      <c r="N176" s="576" t="s">
        <v>1452</v>
      </c>
      <c r="O176" s="577"/>
      <c r="Q176" s="576" t="s">
        <v>1453</v>
      </c>
      <c r="R176" s="577"/>
      <c r="T176" s="576" t="s">
        <v>1453</v>
      </c>
      <c r="U176" s="577"/>
      <c r="W176" s="576" t="s">
        <v>1453</v>
      </c>
      <c r="X176" s="577"/>
      <c r="Z176" s="576" t="s">
        <v>1453</v>
      </c>
      <c r="AA176" s="577"/>
      <c r="AC176" s="576" t="s">
        <v>1453</v>
      </c>
      <c r="AD176" s="577"/>
      <c r="AG176" s="8"/>
      <c r="AH176" s="8"/>
      <c r="AI176" s="8"/>
      <c r="AJ176" s="8"/>
    </row>
    <row r="177" spans="2:37" s="2" customFormat="1" ht="20.05" customHeight="1" x14ac:dyDescent="0.35">
      <c r="E177" s="11" t="s">
        <v>261</v>
      </c>
      <c r="F177" s="14" t="s">
        <v>1269</v>
      </c>
      <c r="H177" s="11" t="s">
        <v>261</v>
      </c>
      <c r="I177" s="14" t="s">
        <v>19</v>
      </c>
      <c r="K177" s="13" t="s">
        <v>261</v>
      </c>
      <c r="L177" s="14" t="s">
        <v>19</v>
      </c>
      <c r="N177" s="13" t="s">
        <v>261</v>
      </c>
      <c r="O177" s="14" t="s">
        <v>19</v>
      </c>
      <c r="P177" s="15"/>
      <c r="Q177" s="13" t="s">
        <v>261</v>
      </c>
      <c r="R177" s="14" t="s">
        <v>19</v>
      </c>
      <c r="S177" s="15"/>
      <c r="T177" s="13" t="s">
        <v>261</v>
      </c>
      <c r="U177" s="14" t="s">
        <v>19</v>
      </c>
      <c r="V177" s="15"/>
      <c r="W177" s="13" t="s">
        <v>261</v>
      </c>
      <c r="X177" s="14" t="s">
        <v>19</v>
      </c>
      <c r="Y177" s="15"/>
      <c r="Z177" s="13" t="s">
        <v>261</v>
      </c>
      <c r="AA177" s="14" t="s">
        <v>19</v>
      </c>
      <c r="AB177" s="15"/>
      <c r="AC177" s="13" t="s">
        <v>261</v>
      </c>
      <c r="AD177" s="14" t="s">
        <v>19</v>
      </c>
      <c r="AG177" s="8"/>
      <c r="AH177" s="8"/>
      <c r="AI177" s="8"/>
      <c r="AJ177" s="8"/>
    </row>
    <row r="178" spans="2:37" s="2" customFormat="1" ht="20.05" customHeight="1" x14ac:dyDescent="0.35">
      <c r="E178" s="4" t="s">
        <v>1454</v>
      </c>
      <c r="F178" s="356"/>
      <c r="H178" s="4" t="s">
        <v>1455</v>
      </c>
      <c r="I178" s="337"/>
      <c r="K178" s="4" t="s">
        <v>1456</v>
      </c>
      <c r="L178" s="356" t="str">
        <f>IF(ISBLANK(input_wld_az1_rack2_mgmt_vm_cidr),"Value Missing",VLOOKUP(INT(RIGHT(input_wld_az1_rack2_mgmt_vm_cidr,LEN(input_wld_az1_rack2_mgmt_vm_cidr)-FIND("/",input_wld_az1_rack2_mgmt_vm_cidr))),table_cidr_to_mask,2,FALSE))</f>
        <v>Value Missing</v>
      </c>
      <c r="N178" s="4" t="s">
        <v>1457</v>
      </c>
      <c r="O178" s="356" t="str">
        <f>IF(ISBLANK(input_wld_az1_rack3_mgmt_vm_cidr),"Value Missing",VLOOKUP(INT(RIGHT(input_wld_az1_rack3_mgmt_vm_cidr,LEN(input_wld_az1_rack3_mgmt_vm_cidr)-FIND("/",input_wld_az1_rack3_mgmt_vm_cidr))),table_cidr_to_mask,2,FALSE))</f>
        <v>Value Missing</v>
      </c>
      <c r="P178" s="15"/>
      <c r="Q178" s="4" t="s">
        <v>1458</v>
      </c>
      <c r="R178" s="356" t="str">
        <f>IF(ISBLANK(input_wld_az1_rack4_mgmt_vm_cidr),"Value Missing",VLOOKUP(INT(RIGHT(input_wld_az1_rack4_mgmt_vm_cidr,LEN(input_wld_az1_rack4_mgmt_vm_cidr)-FIND("/",input_wld_az1_rack4_mgmt_vm_cidr))),table_cidr_to_mask,2,FALSE))</f>
        <v>Value Missing</v>
      </c>
      <c r="S178" s="15"/>
      <c r="T178" s="4" t="s">
        <v>1459</v>
      </c>
      <c r="U178" s="356" t="str">
        <f>IF(ISBLANK(input_wld_az1_rack5_mgmt_vm_cidr),"Value Missing",VLOOKUP(INT(RIGHT(input_wld_az1_rack5_mgmt_vm_cidr,LEN(input_wld_az1_rack5_mgmt_vm_cidr)-FIND("/",input_wld_az1_rack5_mgmt_vm_cidr))),table_cidr_to_mask,2,FALSE))</f>
        <v>Value Missing</v>
      </c>
      <c r="V178" s="15"/>
      <c r="W178" s="4" t="s">
        <v>1460</v>
      </c>
      <c r="X178" s="356" t="str">
        <f>IF(ISBLANK(input_wld_az1_rack6_mgmt_vm_cidr),"Value Missing",VLOOKUP(INT(RIGHT(input_wld_az1_rack6_mgmt_vm_cidr,LEN(input_wld_az1_rack6_mgmt_vm_cidr)-FIND("/",input_wld_az1_rack6_mgmt_vm_cidr))),table_cidr_to_mask,2,FALSE))</f>
        <v>Value Missing</v>
      </c>
      <c r="Y178" s="15"/>
      <c r="Z178" s="4" t="s">
        <v>1461</v>
      </c>
      <c r="AA178" s="356" t="str">
        <f>IF(ISBLANK(input_wld_az1_rack7_mgmt_vm_cidr),"Value Missing",VLOOKUP(INT(RIGHT(input_wld_az1_rack7_mgmt_vm_cidr,LEN(input_wld_az1_rack7_mgmt_vm_cidr)-FIND("/",input_wld_az1_rack7_mgmt_vm_cidr))),table_cidr_to_mask,2,FALSE))</f>
        <v>Value Missing</v>
      </c>
      <c r="AB178" s="15"/>
      <c r="AC178" s="4" t="s">
        <v>1462</v>
      </c>
      <c r="AD178" s="356" t="str">
        <f>IF(ISBLANK(input_wld_az1_rack8_mgmt_vm_cidr),"Value Missing",VLOOKUP(INT(RIGHT(input_wld_az1_rack8_mgmt_vm_cidr,LEN(input_wld_az1_rack8_mgmt_vm_cidr)-FIND("/",input_wld_az1_rack8_mgmt_vm_cidr))),table_cidr_to_mask,2,FALSE))</f>
        <v>Value Missing</v>
      </c>
      <c r="AG178" s="8"/>
      <c r="AH178" s="8"/>
      <c r="AI178" s="8"/>
      <c r="AJ178" s="8"/>
    </row>
    <row r="179" spans="2:37" s="2" customFormat="1" ht="20.05" customHeight="1" x14ac:dyDescent="0.35">
      <c r="E179" s="4" t="s">
        <v>1463</v>
      </c>
      <c r="F179" s="337"/>
      <c r="G179" s="15"/>
      <c r="H179" s="4" t="s">
        <v>1464</v>
      </c>
      <c r="I179" s="337"/>
      <c r="J179" s="15"/>
      <c r="K179" s="4" t="s">
        <v>1465</v>
      </c>
      <c r="L179" s="337" t="str">
        <f>IF(ISBLANK(input_wld_az1_rack2_mgmt_cidr),"Value Missing",VLOOKUP(INT(RIGHT(input_wld_az1_rack2_mgmt_cidr,LEN(input_wld_az1_rack2_mgmt_cidr)-FIND("/",input_wld_az1_rack2_mgmt_cidr))),table_cidr_to_mask,2,FALSE))</f>
        <v>Value Missing</v>
      </c>
      <c r="N179" s="4" t="s">
        <v>1466</v>
      </c>
      <c r="O179" s="337" t="str">
        <f>IF(ISBLANK(input_wld_az1_rack3_mgmt_cidr),"Value Missing",VLOOKUP(INT(RIGHT(input_wld_az1_rack3_mgmt_cidr,LEN(input_wld_az1_rack3_mgmt_cidr)-FIND("/",input_wld_az1_rack3_mgmt_cidr))),table_cidr_to_mask,2,FALSE))</f>
        <v>Value Missing</v>
      </c>
      <c r="Q179" s="4" t="s">
        <v>1467</v>
      </c>
      <c r="R179" s="337" t="str">
        <f>IF(ISBLANK(input_wld_az1_rack4_mgmt_cidr),"Value Missing",VLOOKUP(INT(RIGHT(input_wld_az1_rack4_mgmt_cidr,LEN(input_wld_az1_rack4_mgmt_cidr)-FIND("/",input_wld_az1_rack4_mgmt_cidr))),table_cidr_to_mask,2,FALSE))</f>
        <v>Value Missing</v>
      </c>
      <c r="T179" s="4" t="s">
        <v>1468</v>
      </c>
      <c r="U179" s="337" t="str">
        <f>IF(ISBLANK(input_wld_az1_rack5_mgmt_cidr),"Value Missing",VLOOKUP(INT(RIGHT(input_wld_az1_rack5_mgmt_cidr,LEN(input_wld_az1_rack5_mgmt_cidr)-FIND("/",input_wld_az1_rack5_mgmt_cidr))),table_cidr_to_mask,2,FALSE))</f>
        <v>Value Missing</v>
      </c>
      <c r="W179" s="4" t="s">
        <v>1469</v>
      </c>
      <c r="X179" s="337" t="str">
        <f>IF(ISBLANK(input_wld_az1_rack6_mgmt_cidr),"Value Missing",VLOOKUP(INT(RIGHT(input_wld_az1_rack6_mgmt_cidr,LEN(input_wld_az1_rack6_mgmt_cidr)-FIND("/",input_wld_az1_rack6_mgmt_cidr))),table_cidr_to_mask,2,FALSE))</f>
        <v>Value Missing</v>
      </c>
      <c r="Z179" s="4" t="s">
        <v>1470</v>
      </c>
      <c r="AA179" s="337" t="str">
        <f>IF(ISBLANK(input_wld_az1_rack7_mgmt_cidr),"Value Missing",VLOOKUP(INT(RIGHT(input_wld_az1_rack7_mgmt_cidr,LEN(input_wld_az1_rack7_mgmt_cidr)-FIND("/",input_wld_az1_rack7_mgmt_cidr))),table_cidr_to_mask,2,FALSE))</f>
        <v>Value Missing</v>
      </c>
      <c r="AC179" s="4" t="s">
        <v>1471</v>
      </c>
      <c r="AD179" s="337" t="str">
        <f>IF(ISBLANK(input_wld_az1_rack8_mgmt_cidr),"Value Missing",VLOOKUP(INT(RIGHT(input_wld_az1_rack8_mgmt_cidr,LEN(input_wld_az1_rack8_mgmt_cidr)-FIND("/",input_wld_az1_rack8_mgmt_cidr))),table_cidr_to_mask,2,FALSE))</f>
        <v>Value Missing</v>
      </c>
      <c r="AG179" s="8"/>
      <c r="AH179" s="8"/>
      <c r="AI179" s="8"/>
      <c r="AJ179" s="8"/>
    </row>
    <row r="180" spans="2:37" s="2" customFormat="1" ht="20.05" customHeight="1" x14ac:dyDescent="0.35">
      <c r="B180" s="8"/>
      <c r="C180" s="8"/>
      <c r="AE180" s="8"/>
      <c r="AF180" s="8"/>
      <c r="AG180" s="8"/>
      <c r="AH180" s="8"/>
      <c r="AI180" s="8"/>
      <c r="AJ180" s="8"/>
      <c r="AK180" s="8"/>
    </row>
    <row r="181" spans="2:37" s="2" customFormat="1" ht="20.05" customHeight="1" x14ac:dyDescent="0.35">
      <c r="B181" s="8"/>
      <c r="C181" s="8"/>
      <c r="E181" s="20" t="s">
        <v>1472</v>
      </c>
      <c r="F181" s="20"/>
      <c r="H181" s="20" t="s">
        <v>1473</v>
      </c>
      <c r="I181" s="20"/>
      <c r="K181" s="20" t="s">
        <v>1474</v>
      </c>
      <c r="L181" s="20"/>
      <c r="N181" s="20" t="s">
        <v>1475</v>
      </c>
      <c r="O181" s="20"/>
      <c r="P181" s="15"/>
      <c r="Q181" s="20" t="s">
        <v>1476</v>
      </c>
      <c r="R181" s="20"/>
      <c r="S181" s="15"/>
      <c r="T181" s="20" t="s">
        <v>1477</v>
      </c>
      <c r="U181" s="20"/>
      <c r="V181" s="15"/>
      <c r="W181" s="20" t="s">
        <v>1478</v>
      </c>
      <c r="X181" s="20"/>
      <c r="Y181" s="15"/>
      <c r="Z181" s="20" t="s">
        <v>1479</v>
      </c>
      <c r="AA181" s="20"/>
      <c r="AB181" s="15"/>
      <c r="AC181" s="20" t="s">
        <v>1480</v>
      </c>
      <c r="AD181" s="20"/>
      <c r="AE181" s="8"/>
      <c r="AF181" s="8"/>
      <c r="AG181" s="8"/>
      <c r="AH181" s="8"/>
      <c r="AI181" s="8"/>
      <c r="AJ181" s="8"/>
      <c r="AK181" s="8"/>
    </row>
    <row r="182" spans="2:37" s="2" customFormat="1" ht="20.05" customHeight="1" x14ac:dyDescent="0.35">
      <c r="B182" s="8"/>
      <c r="C182" s="8"/>
      <c r="E182" s="11" t="s">
        <v>261</v>
      </c>
      <c r="F182" s="14" t="s">
        <v>1269</v>
      </c>
      <c r="H182" s="11" t="s">
        <v>261</v>
      </c>
      <c r="I182" s="14" t="s">
        <v>19</v>
      </c>
      <c r="K182" s="13" t="s">
        <v>261</v>
      </c>
      <c r="L182" s="14" t="s">
        <v>19</v>
      </c>
      <c r="N182" s="13" t="s">
        <v>261</v>
      </c>
      <c r="O182" s="14" t="s">
        <v>19</v>
      </c>
      <c r="P182" s="15"/>
      <c r="Q182" s="13" t="s">
        <v>261</v>
      </c>
      <c r="R182" s="14" t="s">
        <v>19</v>
      </c>
      <c r="S182" s="15"/>
      <c r="T182" s="13" t="s">
        <v>261</v>
      </c>
      <c r="U182" s="14" t="s">
        <v>19</v>
      </c>
      <c r="V182" s="15"/>
      <c r="W182" s="13" t="s">
        <v>261</v>
      </c>
      <c r="X182" s="14" t="s">
        <v>19</v>
      </c>
      <c r="Y182" s="15"/>
      <c r="Z182" s="13" t="s">
        <v>261</v>
      </c>
      <c r="AA182" s="14" t="s">
        <v>19</v>
      </c>
      <c r="AB182" s="15"/>
      <c r="AC182" s="13" t="s">
        <v>261</v>
      </c>
      <c r="AD182" s="14" t="s">
        <v>19</v>
      </c>
      <c r="AE182" s="8"/>
      <c r="AF182" s="8"/>
      <c r="AG182" s="8"/>
      <c r="AH182" s="8"/>
      <c r="AI182" s="8"/>
      <c r="AJ182" s="8"/>
      <c r="AK182" s="8"/>
    </row>
    <row r="183" spans="2:37" s="2" customFormat="1" ht="20.05" customHeight="1" x14ac:dyDescent="0.35">
      <c r="B183" s="8"/>
      <c r="C183" s="8"/>
      <c r="E183" s="4" t="s">
        <v>1481</v>
      </c>
      <c r="F183" s="337" t="str">
        <f>IF(ISBLANK(input_mgmt_az1_host1_mgmt_ip),"Value Missing",input_mgmt_az1_host1_mgmt_ip)</f>
        <v>Value Missing</v>
      </c>
      <c r="H183" s="4" t="s">
        <v>1481</v>
      </c>
      <c r="I183" s="337" t="str">
        <f>IF(ISBLANK(input_wld_az1_host1_mgmt_ip),"Value Missing",input_wld_az1_host1_mgmt_ip)</f>
        <v>Value Missing</v>
      </c>
      <c r="K183" s="4" t="s">
        <v>1481</v>
      </c>
      <c r="L183" s="337" t="str">
        <f>IF(ISBLANK(input_wld_az1_rack2_host1_mgmt_ip),"Value Missing",input_wld_az1_rack2_host1_mgmt_ip)</f>
        <v>Value Missing</v>
      </c>
      <c r="N183" s="4" t="s">
        <v>1481</v>
      </c>
      <c r="O183" s="337" t="str">
        <f>IF(ISBLANK(input_wld_az1_rack3_host1_mgmt_ip),"Value Missing",input_wld_az1_rack3_host1_mgmt_ip)</f>
        <v>Value Missing</v>
      </c>
      <c r="Q183" s="4" t="s">
        <v>1481</v>
      </c>
      <c r="R183" s="337" t="str">
        <f>IF(ISBLANK(input_wld_az1_rack4_host1_mgmt_ip),"Value Missing",input_wld_az1_rack4_host1_mgmt_ip)</f>
        <v>Value Missing</v>
      </c>
      <c r="T183" s="4" t="s">
        <v>1481</v>
      </c>
      <c r="U183" s="337" t="str">
        <f>IF(ISBLANK(input_wld_az1_rack5_host1_mgmt_ip),"Value Missing",input_wld_az1_rack5_host1_mgmt_ip)</f>
        <v>Value Missing</v>
      </c>
      <c r="W183" s="4" t="s">
        <v>1481</v>
      </c>
      <c r="X183" s="337" t="str">
        <f>IF(ISBLANK(input_wld_az1_rack6_host1_mgmt_ip),"Value Missing",input_wld_az1_rack6_host1_mgmt_ip)</f>
        <v>Value Missing</v>
      </c>
      <c r="Z183" s="4" t="s">
        <v>1481</v>
      </c>
      <c r="AA183" s="337" t="str">
        <f>IF(ISBLANK(input_wld_az1_rack7_host1_mgmt_ip),"Value Missing",input_wld_az1_rack7_host1_mgmt_ip)</f>
        <v>Value Missing</v>
      </c>
      <c r="AC183" s="4" t="s">
        <v>1481</v>
      </c>
      <c r="AD183" s="337" t="str">
        <f>IF(ISBLANK(input_wld_az1_rack8_host1_mgmt_ip),"Value Missing",input_wld_az1_rack8_host1_mgmt_ip)</f>
        <v>Value Missing</v>
      </c>
      <c r="AE183" s="8"/>
      <c r="AF183" s="8"/>
      <c r="AG183" s="8"/>
      <c r="AH183" s="8"/>
      <c r="AI183" s="8"/>
      <c r="AJ183" s="8"/>
      <c r="AK183" s="8"/>
    </row>
    <row r="184" spans="2:37" s="2" customFormat="1" ht="20.05" customHeight="1" x14ac:dyDescent="0.35">
      <c r="B184" s="8"/>
      <c r="C184" s="8"/>
      <c r="E184" s="4" t="s">
        <v>1482</v>
      </c>
      <c r="F184" s="337" t="str">
        <f>IF(ISBLANK(input_mgmt_az1_host2_mgmt_ip),"Value Missing",input_mgmt_az1_host2_mgmt_ip)</f>
        <v>Value Missing</v>
      </c>
      <c r="H184" s="4" t="s">
        <v>1482</v>
      </c>
      <c r="I184" s="337" t="str">
        <f>IF(ISBLANK(input_wld_az1_host2_mgmt_ip),"Value Missing",input_wld_az1_host2_mgmt_ip)</f>
        <v>Value Missing</v>
      </c>
      <c r="K184" s="4" t="s">
        <v>1482</v>
      </c>
      <c r="L184" s="337" t="str">
        <f>IF(ISBLANK(input_wld_az1_rack2_host2_mgmt_ip),"Value Missing",input_wld_az1_rack2_host2_mgmt_ip)</f>
        <v>Value Missing</v>
      </c>
      <c r="N184" s="4" t="s">
        <v>1482</v>
      </c>
      <c r="O184" s="337" t="str">
        <f>IF(ISBLANK(input_wld_az1_rack3_host2_mgmt_ip),"Value Missing",input_wld_az1_rack3_host2_mgmt_ip)</f>
        <v>Value Missing</v>
      </c>
      <c r="Q184" s="4" t="s">
        <v>1482</v>
      </c>
      <c r="R184" s="337" t="str">
        <f>IF(ISBLANK(input_wld_az1_rack4_host2_mgmt_ip),"Value Missing",input_wld_az1_rack4_host2_mgmt_ip)</f>
        <v>Value Missing</v>
      </c>
      <c r="T184" s="4" t="s">
        <v>1482</v>
      </c>
      <c r="U184" s="337" t="str">
        <f>IF(ISBLANK(input_wld_az1_rack5_host2_mgmt_ip),"Value Missing",input_wld_az1_rack5_host2_mgmt_ip)</f>
        <v>Value Missing</v>
      </c>
      <c r="W184" s="4" t="s">
        <v>1482</v>
      </c>
      <c r="X184" s="337" t="str">
        <f>IF(ISBLANK(input_wld_az1_rack6_host2_mgmt_ip),"Value Missing",input_wld_az1_rack6_host2_mgmt_ip)</f>
        <v>Value Missing</v>
      </c>
      <c r="Z184" s="4" t="s">
        <v>1482</v>
      </c>
      <c r="AA184" s="337" t="str">
        <f>IF(ISBLANK(input_wld_az1_rack7_host2_mgmt_ip),"Value Missing",input_wld_az1_rack7_host2_mgmt_ip)</f>
        <v>Value Missing</v>
      </c>
      <c r="AC184" s="4" t="s">
        <v>1482</v>
      </c>
      <c r="AD184" s="337" t="str">
        <f>IF(ISBLANK(input_wld_az1_rack8_host2_mgmt_ip),"Value Missing",input_wld_az1_rack8_host2_mgmt_ip)</f>
        <v>Value Missing</v>
      </c>
      <c r="AE184" s="8"/>
      <c r="AF184" s="8"/>
      <c r="AG184" s="8"/>
      <c r="AH184" s="8"/>
      <c r="AI184" s="8"/>
      <c r="AJ184" s="8"/>
      <c r="AK184" s="8"/>
    </row>
    <row r="185" spans="2:37" s="2" customFormat="1" ht="20.05" customHeight="1" x14ac:dyDescent="0.35">
      <c r="B185" s="8"/>
      <c r="C185" s="8"/>
      <c r="E185" s="4" t="s">
        <v>1483</v>
      </c>
      <c r="F185" s="337" t="str">
        <f>IF(ISBLANK(input_mgmt_az1_host3_mgmt_ip),"Value Missing",input_mgmt_az1_host3_mgmt_ip)</f>
        <v>Value Missing</v>
      </c>
      <c r="H185" s="4" t="s">
        <v>1483</v>
      </c>
      <c r="I185" s="337" t="str">
        <f>IF(ISBLANK(input_wld_az1_host3_mgmt_ip),"Value Missing",input_wld_az1_host3_mgmt_ip)</f>
        <v>Value Missing</v>
      </c>
      <c r="K185" s="4" t="s">
        <v>1483</v>
      </c>
      <c r="L185" s="337" t="str">
        <f>IF(ISBLANK(input_wld_az1_rack2_host3_mgmt_ip),"Value Missing",input_wld_az1_rack2_host3_mgmt_ip)</f>
        <v>Value Missing</v>
      </c>
      <c r="N185" s="4" t="s">
        <v>1483</v>
      </c>
      <c r="O185" s="337" t="str">
        <f>IF(ISBLANK(input_wld_az1_rack3_host3_mgmt_ip),"Value Missing",input_wld_az1_rack3_host3_mgmt_ip)</f>
        <v>Value Missing</v>
      </c>
      <c r="Q185" s="4" t="s">
        <v>1483</v>
      </c>
      <c r="R185" s="337" t="str">
        <f>IF(ISBLANK(input_wld_az1_rack4_host3_mgmt_ip),"Value Missing",input_wld_az1_rack4_host3_mgmt_ip)</f>
        <v>Value Missing</v>
      </c>
      <c r="T185" s="4" t="s">
        <v>1483</v>
      </c>
      <c r="U185" s="337" t="str">
        <f>IF(ISBLANK(input_wld_az1_rack5_host3_mgmt_ip),"Value Missing",input_wld_az1_rack5_host3_mgmt_ip)</f>
        <v>Value Missing</v>
      </c>
      <c r="W185" s="4" t="s">
        <v>1483</v>
      </c>
      <c r="X185" s="337" t="str">
        <f>IF(ISBLANK(input_wld_az1_rack6_host3_mgmt_ip),"Value Missing",input_wld_az1_rack6_host3_mgmt_ip)</f>
        <v>Value Missing</v>
      </c>
      <c r="Z185" s="4" t="s">
        <v>1483</v>
      </c>
      <c r="AA185" s="337" t="str">
        <f>IF(ISBLANK(input_wld_az1_rack7_host3_mgmt_ip),"Value Missing",input_wld_az1_rack7_host3_mgmt_ip)</f>
        <v>Value Missing</v>
      </c>
      <c r="AC185" s="4" t="s">
        <v>1483</v>
      </c>
      <c r="AD185" s="337" t="str">
        <f>IF(ISBLANK(input_wld_az1_rack8_host3_mgmt_ip),"Value Missing",input_wld_az1_rack8_host3_mgmt_ip)</f>
        <v>Value Missing</v>
      </c>
      <c r="AE185" s="8"/>
      <c r="AF185" s="8"/>
      <c r="AG185" s="8"/>
      <c r="AH185" s="8"/>
      <c r="AI185" s="8"/>
      <c r="AJ185" s="8"/>
      <c r="AK185" s="8"/>
    </row>
    <row r="186" spans="2:37" s="2" customFormat="1" ht="20.05" customHeight="1" x14ac:dyDescent="0.35">
      <c r="B186" s="8"/>
      <c r="C186" s="8"/>
      <c r="E186" s="4" t="s">
        <v>1484</v>
      </c>
      <c r="F186" s="337" t="str">
        <f>IF(ISBLANK(input_mgmt_az1_host4_mgmt_ip),"Value Missing",input_mgmt_az1_host4_mgmt_ip)</f>
        <v>Value Missing</v>
      </c>
      <c r="H186" s="4" t="s">
        <v>1484</v>
      </c>
      <c r="I186" s="337" t="str">
        <f>IF(ISBLANK(input_wld_az1_host4_mgmt_ip),"Value Missing",input_wld_az1_host4_mgmt_ip)</f>
        <v>Value Missing</v>
      </c>
      <c r="K186" s="4" t="s">
        <v>1484</v>
      </c>
      <c r="L186" s="337" t="str">
        <f>IF(ISBLANK(input_wld_az1_rack2_host4_mgmt_ip),"Value Missing",input_wld_az1_rack2_host4_mgmt_ip)</f>
        <v>Value Missing</v>
      </c>
      <c r="N186" s="4" t="s">
        <v>1484</v>
      </c>
      <c r="O186" s="337" t="str">
        <f>IF(ISBLANK(input_wld_az1_rack3_host4_mgmt_ip),"Value Missing",input_wld_az1_rack3_host4_mgmt_ip)</f>
        <v>Value Missing</v>
      </c>
      <c r="Q186" s="4" t="s">
        <v>1484</v>
      </c>
      <c r="R186" s="337" t="str">
        <f>IF(ISBLANK(input_wld_az1_rack4_host4_mgmt_ip),"Value Missing",input_wld_az1_rack4_host4_mgmt_ip)</f>
        <v>Value Missing</v>
      </c>
      <c r="T186" s="4" t="s">
        <v>1484</v>
      </c>
      <c r="U186" s="337" t="str">
        <f>IF(ISBLANK(input_wld_az1_rack5_host4_mgmt_ip),"Value Missing",input_wld_az1_rack5_host4_mgmt_ip)</f>
        <v>Value Missing</v>
      </c>
      <c r="W186" s="4" t="s">
        <v>1484</v>
      </c>
      <c r="X186" s="337" t="str">
        <f>IF(ISBLANK(input_wld_az1_rack6_host4_mgmt_ip),"Value Missing",input_wld_az1_rack6_host4_mgmt_ip)</f>
        <v>Value Missing</v>
      </c>
      <c r="Z186" s="4" t="s">
        <v>1484</v>
      </c>
      <c r="AA186" s="337" t="str">
        <f>IF(ISBLANK(input_wld_az1_rack7_host4_mgmt_ip),"Value Missing",input_wld_az1_rack7_host4_mgmt_ip)</f>
        <v>Value Missing</v>
      </c>
      <c r="AC186" s="4" t="s">
        <v>1484</v>
      </c>
      <c r="AD186" s="337" t="str">
        <f>IF(ISBLANK(input_wld_az1_rack8_host4_mgmt_ip),"Value Missing",input_wld_az1_rack8_host4_mgmt_ip)</f>
        <v>Value Missing</v>
      </c>
      <c r="AE186" s="8"/>
      <c r="AF186" s="8"/>
      <c r="AG186" s="8"/>
      <c r="AH186" s="8"/>
      <c r="AI186" s="8"/>
      <c r="AJ186" s="8"/>
      <c r="AK186" s="8"/>
    </row>
    <row r="187" spans="2:37" s="2" customFormat="1" ht="20.05" customHeight="1" x14ac:dyDescent="0.35">
      <c r="B187" s="8"/>
      <c r="C187" s="8"/>
      <c r="E187" s="4" t="s">
        <v>1485</v>
      </c>
      <c r="F187" s="337" t="str">
        <f>IF(ISBLANK(input_mgmt_az1_host5_mgmt_ip),"Value Missing",input_mgmt_az1_host5_mgmt_ip)</f>
        <v>Value Missing</v>
      </c>
      <c r="H187" s="4" t="s">
        <v>1485</v>
      </c>
      <c r="I187" s="337" t="str">
        <f>IF(ISBLANK(input_wld_az1_host5_mgmt_ip),"Value Missing",input_wld_az1_host5_mgmt_ip)</f>
        <v>Value Missing</v>
      </c>
      <c r="K187" s="4" t="s">
        <v>1485</v>
      </c>
      <c r="L187" s="337" t="str">
        <f>IF(ISBLANK(input_wld_az1_rack2_host5_mgmt_ip),"Value Missing",input_wld_az1_rack2_host5_mgmt_ip)</f>
        <v>Value Missing</v>
      </c>
      <c r="N187" s="4" t="s">
        <v>1485</v>
      </c>
      <c r="O187" s="337" t="str">
        <f>IF(ISBLANK(input_wld_az1_rack3_host5_mgmt_ip),"Value Missing",input_wld_az1_rack3_host5_mgmt_ip)</f>
        <v>Value Missing</v>
      </c>
      <c r="Q187" s="4" t="s">
        <v>1485</v>
      </c>
      <c r="R187" s="337" t="str">
        <f>IF(ISBLANK(input_wld_az1_rack4_host5_mgmt_ip),"Value Missing",input_wld_az1_rack4_host5_mgmt_ip)</f>
        <v>Value Missing</v>
      </c>
      <c r="T187" s="4" t="s">
        <v>1485</v>
      </c>
      <c r="U187" s="337" t="str">
        <f>IF(ISBLANK(input_wld_az1_rack5_host5_mgmt_ip),"Value Missing",input_wld_az1_rack5_host5_mgmt_ip)</f>
        <v>Value Missing</v>
      </c>
      <c r="W187" s="4" t="s">
        <v>1485</v>
      </c>
      <c r="X187" s="337" t="str">
        <f>IF(ISBLANK(input_wld_az1_rack6_host5_mgmt_ip),"Value Missing",input_wld_az1_rack6_host5_mgmt_ip)</f>
        <v>Value Missing</v>
      </c>
      <c r="Z187" s="4" t="s">
        <v>1485</v>
      </c>
      <c r="AA187" s="337" t="str">
        <f>IF(ISBLANK(input_wld_az1_rack7_host5_mgmt_ip),"Value Missing",input_wld_az1_rack7_host5_mgmt_ip)</f>
        <v>Value Missing</v>
      </c>
      <c r="AC187" s="4" t="s">
        <v>1485</v>
      </c>
      <c r="AD187" s="337" t="str">
        <f>IF(ISBLANK(input_wld_az1_rack8_host5_mgmt_ip),"Value Missing",input_wld_az1_rack8_host5_mgmt_ip)</f>
        <v>Value Missing</v>
      </c>
      <c r="AE187" s="8"/>
      <c r="AF187" s="8"/>
      <c r="AG187" s="8"/>
      <c r="AH187" s="8"/>
      <c r="AI187" s="8"/>
      <c r="AJ187" s="8"/>
      <c r="AK187" s="8"/>
    </row>
    <row r="188" spans="2:37" s="2" customFormat="1" ht="20.05" customHeight="1" x14ac:dyDescent="0.35">
      <c r="B188" s="8"/>
      <c r="C188" s="8"/>
      <c r="E188" s="4" t="s">
        <v>1486</v>
      </c>
      <c r="F188" s="337" t="str">
        <f>IF(ISBLANK(input_mgmt_az1_host6_mgmt_ip),"Value Missing",input_mgmt_az1_host6_mgmt_ip)</f>
        <v>Value Missing</v>
      </c>
      <c r="H188" s="4" t="s">
        <v>1486</v>
      </c>
      <c r="I188" s="337" t="str">
        <f>IF(ISBLANK(input_wld_az1_host6_mgmt_ip),"Value Missing",input_wld_az1_host6_mgmt_ip)</f>
        <v>Value Missing</v>
      </c>
      <c r="K188" s="4" t="s">
        <v>1486</v>
      </c>
      <c r="L188" s="337" t="str">
        <f>IF(ISBLANK(input_wld_az1_rack2_host6_mgmt_ip),"Value Missing",input_wld_az1_rack2_host6_mgmt_ip)</f>
        <v>Value Missing</v>
      </c>
      <c r="N188" s="4" t="s">
        <v>1486</v>
      </c>
      <c r="O188" s="337" t="str">
        <f>IF(ISBLANK(input_wld_az1_rack3_host6_mgmt_ip),"Value Missing",input_wld_az1_rack3_host6_mgmt_ip)</f>
        <v>Value Missing</v>
      </c>
      <c r="Q188" s="4" t="s">
        <v>1486</v>
      </c>
      <c r="R188" s="337" t="str">
        <f>IF(ISBLANK(input_wld_az1_rack4_host6_mgmt_ip),"Value Missing",input_wld_az1_rack4_host6_mgmt_ip)</f>
        <v>Value Missing</v>
      </c>
      <c r="T188" s="4" t="s">
        <v>1486</v>
      </c>
      <c r="U188" s="337" t="str">
        <f>IF(ISBLANK(input_wld_az1_rack5_host6_mgmt_ip),"Value Missing",input_wld_az1_rack5_host6_mgmt_ip)</f>
        <v>Value Missing</v>
      </c>
      <c r="W188" s="4" t="s">
        <v>1486</v>
      </c>
      <c r="X188" s="337" t="str">
        <f>IF(ISBLANK(input_wld_az1_rack6_host6_mgmt_ip),"Value Missing",input_wld_az1_rack6_host6_mgmt_ip)</f>
        <v>Value Missing</v>
      </c>
      <c r="Z188" s="4" t="s">
        <v>1486</v>
      </c>
      <c r="AA188" s="337" t="str">
        <f>IF(ISBLANK(input_wld_az1_rack7_host6_mgmt_ip),"Value Missing",input_wld_az1_rack7_host6_mgmt_ip)</f>
        <v>Value Missing</v>
      </c>
      <c r="AC188" s="4" t="s">
        <v>1486</v>
      </c>
      <c r="AD188" s="337" t="str">
        <f>IF(ISBLANK(input_wld_az1_rack8_host6_mgmt_ip),"Value Missing",input_wld_az1_rack8_host6_mgmt_ip)</f>
        <v>Value Missing</v>
      </c>
      <c r="AE188" s="8"/>
      <c r="AF188" s="8"/>
      <c r="AG188" s="8"/>
      <c r="AH188" s="8"/>
      <c r="AI188" s="8"/>
      <c r="AJ188" s="8"/>
      <c r="AK188" s="8"/>
    </row>
    <row r="189" spans="2:37" s="2" customFormat="1" ht="20.05" customHeight="1" x14ac:dyDescent="0.35">
      <c r="B189" s="8"/>
      <c r="C189" s="8"/>
      <c r="E189" s="4" t="s">
        <v>1487</v>
      </c>
      <c r="F189" s="337" t="str">
        <f>IF(ISBLANK(input_mgmt_az1_host7_mgmt_ip),"Value Missing",input_mgmt_az1_host7_mgmt_ip)</f>
        <v>Value Missing</v>
      </c>
      <c r="H189" s="4" t="s">
        <v>1487</v>
      </c>
      <c r="I189" s="337" t="str">
        <f>IF(ISBLANK(input_wld_az1_host7_mgmt_ip),"Value Missing",input_wld_az1_host7_mgmt_ip)</f>
        <v>Value Missing</v>
      </c>
      <c r="K189" s="4" t="s">
        <v>1487</v>
      </c>
      <c r="L189" s="337" t="str">
        <f>IF(ISBLANK(input_wld_az1_rack2_host7_mgmt_ip),"Value Missing",input_wld_az1_rack2_host7_mgmt_ip)</f>
        <v>Value Missing</v>
      </c>
      <c r="N189" s="4" t="s">
        <v>1487</v>
      </c>
      <c r="O189" s="337" t="str">
        <f>IF(ISBLANK(input_wld_az1_rack3_host7_mgmt_ip),"Value Missing",input_wld_az1_rack3_host7_mgmt_ip)</f>
        <v>Value Missing</v>
      </c>
      <c r="Q189" s="4" t="s">
        <v>1487</v>
      </c>
      <c r="R189" s="337" t="str">
        <f>IF(ISBLANK(input_wld_az1_rack4_host7_mgmt_ip),"Value Missing",input_wld_az1_rack4_host7_mgmt_ip)</f>
        <v>Value Missing</v>
      </c>
      <c r="T189" s="4" t="s">
        <v>1487</v>
      </c>
      <c r="U189" s="337" t="str">
        <f>IF(ISBLANK(input_wld_az1_rack5_host7_mgmt_ip),"Value Missing",input_wld_az1_rack5_host7_mgmt_ip)</f>
        <v>Value Missing</v>
      </c>
      <c r="W189" s="4" t="s">
        <v>1487</v>
      </c>
      <c r="X189" s="337" t="str">
        <f>IF(ISBLANK(input_wld_az1_rack6_host7_mgmt_ip),"Value Missing",input_wld_az1_rack6_host7_mgmt_ip)</f>
        <v>Value Missing</v>
      </c>
      <c r="Z189" s="4" t="s">
        <v>1487</v>
      </c>
      <c r="AA189" s="337" t="str">
        <f>IF(ISBLANK(input_wld_az1_rack7_host7_mgmt_ip),"Value Missing",input_wld_az1_rack7_host7_mgmt_ip)</f>
        <v>Value Missing</v>
      </c>
      <c r="AC189" s="4" t="s">
        <v>1487</v>
      </c>
      <c r="AD189" s="337" t="str">
        <f>IF(ISBLANK(input_wld_az1_rack8_host7_mgmt_ip),"Value Missing",input_wld_az1_rack8_host7_mgmt_ip)</f>
        <v>Value Missing</v>
      </c>
      <c r="AE189" s="8"/>
      <c r="AF189" s="8"/>
      <c r="AG189" s="8"/>
      <c r="AH189" s="8"/>
      <c r="AI189" s="8"/>
      <c r="AJ189" s="8"/>
      <c r="AK189" s="8"/>
    </row>
    <row r="190" spans="2:37" s="2" customFormat="1" ht="20.05" customHeight="1" x14ac:dyDescent="0.35">
      <c r="B190" s="8"/>
      <c r="C190" s="8"/>
      <c r="E190" s="4" t="s">
        <v>1488</v>
      </c>
      <c r="F190" s="337" t="str">
        <f>IF(ISBLANK(input_mgmt_az1_host8_mgmt_ip),"Value Missing",input_mgmt_az1_host8_mgmt_ip)</f>
        <v>Value Missing</v>
      </c>
      <c r="H190" s="4" t="s">
        <v>1488</v>
      </c>
      <c r="I190" s="337" t="str">
        <f>IF(ISBLANK(input_wld_az1_host8_mgmt_ip),"Value Missing",input_wld_az1_host8_mgmt_ip)</f>
        <v>Value Missing</v>
      </c>
      <c r="K190" s="4" t="s">
        <v>1488</v>
      </c>
      <c r="L190" s="337" t="str">
        <f>IF(ISBLANK(input_wld_az1_rack2_host8_mgmt_ip),"Value Missing",input_wld_az1_rack2_host8_mgmt_ip)</f>
        <v>Value Missing</v>
      </c>
      <c r="N190" s="4" t="s">
        <v>1488</v>
      </c>
      <c r="O190" s="337" t="str">
        <f>IF(ISBLANK(input_wld_az1_rack3_host8_mgmt_ip),"Value Missing",input_wld_az1_rack3_host8_mgmt_ip)</f>
        <v>Value Missing</v>
      </c>
      <c r="Q190" s="4" t="s">
        <v>1488</v>
      </c>
      <c r="R190" s="337" t="str">
        <f>IF(ISBLANK(input_wld_az1_rack4_host8_mgmt_ip),"Value Missing",input_wld_az1_rack4_host8_mgmt_ip)</f>
        <v>Value Missing</v>
      </c>
      <c r="T190" s="4" t="s">
        <v>1488</v>
      </c>
      <c r="U190" s="337" t="str">
        <f>IF(ISBLANK(input_wld_az1_rack5_host8_mgmt_ip),"Value Missing",input_wld_az1_rack5_host8_mgmt_ip)</f>
        <v>Value Missing</v>
      </c>
      <c r="W190" s="4" t="s">
        <v>1488</v>
      </c>
      <c r="X190" s="337" t="str">
        <f>IF(ISBLANK(input_wld_az1_rack6_host8_mgmt_ip),"Value Missing",input_wld_az1_rack6_host8_mgmt_ip)</f>
        <v>Value Missing</v>
      </c>
      <c r="Z190" s="4" t="s">
        <v>1488</v>
      </c>
      <c r="AA190" s="337" t="str">
        <f>IF(ISBLANK(input_wld_az1_rack7_host8_mgmt_ip),"Value Missing",input_wld_az1_rack7_host8_mgmt_ip)</f>
        <v>Value Missing</v>
      </c>
      <c r="AC190" s="4" t="s">
        <v>1488</v>
      </c>
      <c r="AD190" s="337" t="str">
        <f>IF(ISBLANK(input_wld_az1_rack8_host8_mgmt_ip),"Value Missing",input_wld_az1_rack8_host8_mgmt_ip)</f>
        <v>Value Missing</v>
      </c>
      <c r="AE190" s="8"/>
      <c r="AF190" s="8"/>
      <c r="AG190" s="8"/>
      <c r="AH190" s="8"/>
      <c r="AI190" s="8"/>
      <c r="AJ190" s="8"/>
      <c r="AK190" s="8"/>
    </row>
    <row r="191" spans="2:37" ht="20.05" customHeight="1" x14ac:dyDescent="0.35">
      <c r="E191" s="4" t="s">
        <v>1489</v>
      </c>
      <c r="F191" s="337" t="str">
        <f>IF(ISBLANK(input_mgmt_az1_host9_mgmt_ip),"Value Missing",input_mgmt_az1_host9_mgmt_ip)</f>
        <v>Value Missing</v>
      </c>
      <c r="G191" s="2"/>
      <c r="H191" s="4" t="s">
        <v>1489</v>
      </c>
      <c r="I191" s="337" t="str">
        <f>IF(ISBLANK(input_wld_az1_host9_mgmt_ip),"Value Missing",input_wld_az1_host9_mgmt_ip)</f>
        <v>Value Missing</v>
      </c>
      <c r="J191" s="2"/>
      <c r="K191" s="4" t="s">
        <v>1489</v>
      </c>
      <c r="L191" s="337" t="str">
        <f>IF(ISBLANK(input_wld_az1_rack2_host9_mgmt_ip),"Value Missing",input_wld_az1_rack2_host9_mgmt_ip)</f>
        <v>Value Missing</v>
      </c>
      <c r="M191" s="2"/>
      <c r="N191" s="4" t="s">
        <v>1489</v>
      </c>
      <c r="O191" s="337" t="str">
        <f>IF(ISBLANK(input_wld_az1_rack3_host9_mgmt_ip),"Value Missing",input_wld_az1_rack3_host9_mgmt_ip)</f>
        <v>Value Missing</v>
      </c>
      <c r="P191" s="2"/>
      <c r="Q191" s="4" t="s">
        <v>1489</v>
      </c>
      <c r="R191" s="337" t="str">
        <f>IF(ISBLANK(input_wld_az1_rack4_host9_mgmt_ip),"Value Missing",input_wld_az1_rack4_host9_mgmt_ip)</f>
        <v>Value Missing</v>
      </c>
      <c r="S191" s="2"/>
      <c r="T191" s="4" t="s">
        <v>1489</v>
      </c>
      <c r="U191" s="337" t="str">
        <f>IF(ISBLANK(input_wld_az1_rack5_host9_mgmt_ip),"Value Missing",input_wld_az1_rack5_host9_mgmt_ip)</f>
        <v>Value Missing</v>
      </c>
      <c r="V191" s="2"/>
      <c r="W191" s="4" t="s">
        <v>1489</v>
      </c>
      <c r="X191" s="337" t="str">
        <f>IF(ISBLANK(input_wld_az1_rack6_host9_mgmt_ip),"Value Missing",input_wld_az1_rack6_host9_mgmt_ip)</f>
        <v>Value Missing</v>
      </c>
      <c r="Y191" s="2"/>
      <c r="Z191" s="4" t="s">
        <v>1489</v>
      </c>
      <c r="AA191" s="337" t="str">
        <f>IF(ISBLANK(input_wld_az1_rack7_host9_mgmt_ip),"Value Missing",input_wld_az1_rack7_host9_mgmt_ip)</f>
        <v>Value Missing</v>
      </c>
      <c r="AB191" s="2"/>
      <c r="AC191" s="4" t="s">
        <v>1489</v>
      </c>
      <c r="AD191" s="337" t="str">
        <f>IF(ISBLANK(input_wld_az1_rack8_host9_mgmt_ip),"Value Missing",input_wld_az1_rack8_host9_mgmt_ip)</f>
        <v>Value Missing</v>
      </c>
    </row>
    <row r="192" spans="2:37" ht="20.05" customHeight="1" x14ac:dyDescent="0.35">
      <c r="E192" s="4" t="s">
        <v>1490</v>
      </c>
      <c r="F192" s="337" t="str">
        <f>IF(ISBLANK(input_mgmt_az1_host10_mgmt_ip),"Value Missing",input_mgmt_az1_host10_mgmt_ip)</f>
        <v>Value Missing</v>
      </c>
      <c r="G192" s="2"/>
      <c r="H192" s="4" t="s">
        <v>1490</v>
      </c>
      <c r="I192" s="337" t="str">
        <f>IF(ISBLANK(input_wld_az1_host10_mgmt_ip),"Value Missing",input_wld_az1_host10_mgmt_ip)</f>
        <v>Value Missing</v>
      </c>
      <c r="J192" s="2"/>
      <c r="K192" s="4" t="s">
        <v>1490</v>
      </c>
      <c r="L192" s="337" t="str">
        <f>IF(ISBLANK(input_wld_az1_rack2_host10_mgmt_ip),"Value Missing",input_wld_az1_rack2_host10_mgmt_ip)</f>
        <v>Value Missing</v>
      </c>
      <c r="M192" s="2"/>
      <c r="N192" s="4" t="s">
        <v>1490</v>
      </c>
      <c r="O192" s="337" t="str">
        <f>IF(ISBLANK(input_wld_az1_rack3_host10_mgmt_ip),"Value Missing",input_wld_az1_rack3_host10_mgmt_ip)</f>
        <v>Value Missing</v>
      </c>
      <c r="P192" s="2"/>
      <c r="Q192" s="4" t="s">
        <v>1490</v>
      </c>
      <c r="R192" s="337" t="str">
        <f>IF(ISBLANK(input_wld_az1_rack4_host10_mgmt_ip),"Value Missing",input_wld_az1_rack4_host10_mgmt_ip)</f>
        <v>Value Missing</v>
      </c>
      <c r="S192" s="2"/>
      <c r="T192" s="4" t="s">
        <v>1490</v>
      </c>
      <c r="U192" s="337" t="str">
        <f>IF(ISBLANK(input_wld_az1_rack5_host10_mgmt_ip),"Value Missing",input_wld_az1_rack5_host10_mgmt_ip)</f>
        <v>Value Missing</v>
      </c>
      <c r="V192" s="2"/>
      <c r="W192" s="4" t="s">
        <v>1490</v>
      </c>
      <c r="X192" s="337" t="str">
        <f>IF(ISBLANK(input_wld_az1_rack6_host10_mgmt_ip),"Value Missing",input_wld_az1_rack6_host10_mgmt_ip)</f>
        <v>Value Missing</v>
      </c>
      <c r="Y192" s="2"/>
      <c r="Z192" s="4" t="s">
        <v>1490</v>
      </c>
      <c r="AA192" s="337" t="str">
        <f>IF(ISBLANK(input_wld_az1_rack7_host10_mgmt_ip),"Value Missing",input_wld_az1_rack7_host10_mgmt_ip)</f>
        <v>Value Missing</v>
      </c>
      <c r="AB192" s="2"/>
      <c r="AC192" s="4" t="s">
        <v>1490</v>
      </c>
      <c r="AD192" s="337" t="str">
        <f>IF(ISBLANK(input_wld_az1_rack8_host10_mgmt_ip),"Value Missing",input_wld_az1_rack8_host10_mgmt_ip)</f>
        <v>Value Missing</v>
      </c>
    </row>
    <row r="193" spans="5:30" ht="20.05" customHeight="1" x14ac:dyDescent="0.35">
      <c r="E193" s="4" t="s">
        <v>1491</v>
      </c>
      <c r="F193" s="337" t="str">
        <f>IF(ISBLANK(input_mgmt_az1_host11_mgmt_ip),"Value Missing",input_mgmt_az1_host11_mgmt_ip)</f>
        <v>Value Missing</v>
      </c>
      <c r="G193" s="15"/>
      <c r="H193" s="4" t="s">
        <v>1491</v>
      </c>
      <c r="I193" s="337" t="str">
        <f>IF(ISBLANK(input_wld_az1_host11_mgmt_ip),"Value Missing",input_wld_az1_host11_mgmt_ip)</f>
        <v>Value Missing</v>
      </c>
      <c r="J193" s="15"/>
      <c r="K193" s="4" t="s">
        <v>1491</v>
      </c>
      <c r="L193" s="337" t="str">
        <f>IF(ISBLANK(input_wld_az1_rack2_host11_mgmt_ip),"Value Missing",input_wld_az1_rack2_host11_mgmt_ip)</f>
        <v>Value Missing</v>
      </c>
      <c r="M193" s="2"/>
      <c r="N193" s="4" t="s">
        <v>1491</v>
      </c>
      <c r="O193" s="337" t="str">
        <f>IF(ISBLANK(input_wld_az1_rack3_host11_mgmt_ip),"Value Missing",input_wld_az1_rack3_host11_mgmt_ip)</f>
        <v>Value Missing</v>
      </c>
      <c r="P193" s="2"/>
      <c r="Q193" s="4" t="s">
        <v>1491</v>
      </c>
      <c r="R193" s="337" t="str">
        <f>IF(ISBLANK(input_wld_az1_rack4_host11_mgmt_ip),"Value Missing",input_wld_az1_rack4_host11_mgmt_ip)</f>
        <v>Value Missing</v>
      </c>
      <c r="S193" s="2"/>
      <c r="T193" s="4" t="s">
        <v>1491</v>
      </c>
      <c r="U193" s="337" t="str">
        <f>IF(ISBLANK(input_wld_az1_rack5_host11_mgmt_ip),"Value Missing",input_wld_az1_rack5_host11_mgmt_ip)</f>
        <v>Value Missing</v>
      </c>
      <c r="V193" s="2"/>
      <c r="W193" s="4" t="s">
        <v>1491</v>
      </c>
      <c r="X193" s="337" t="str">
        <f>IF(ISBLANK(input_wld_az1_rack6_host11_mgmt_ip),"Value Missing",input_wld_az1_rack6_host11_mgmt_ip)</f>
        <v>Value Missing</v>
      </c>
      <c r="Y193" s="2"/>
      <c r="Z193" s="4" t="s">
        <v>1491</v>
      </c>
      <c r="AA193" s="337" t="str">
        <f>IF(ISBLANK(input_wld_az1_rack7_host11_mgmt_ip),"Value Missing",input_wld_az1_rack7_host11_mgmt_ip)</f>
        <v>Value Missing</v>
      </c>
      <c r="AB193" s="2"/>
      <c r="AC193" s="4" t="s">
        <v>1491</v>
      </c>
      <c r="AD193" s="337" t="str">
        <f>IF(ISBLANK(input_wld_az1_rack8_host11_mgmt_ip),"Value Missing",input_wld_az1_rack8_host11_mgmt_ip)</f>
        <v>Value Missing</v>
      </c>
    </row>
    <row r="194" spans="5:30" ht="20.05" customHeight="1" x14ac:dyDescent="0.35">
      <c r="E194" s="4" t="s">
        <v>1492</v>
      </c>
      <c r="F194" s="337" t="str">
        <f>IF(ISBLANK(input_mgmt_az1_host12_mgmt_ip),"Value Missing",input_mgmt_az1_host12_mgmt_ip)</f>
        <v>Value Missing</v>
      </c>
      <c r="G194" s="2"/>
      <c r="H194" s="4" t="s">
        <v>1492</v>
      </c>
      <c r="I194" s="337" t="str">
        <f>IF(ISBLANK(input_wld_az1_host12_mgmt_ip),"Value Missing",input_wld_az1_host12_mgmt_ip)</f>
        <v>Value Missing</v>
      </c>
      <c r="J194" s="2"/>
      <c r="K194" s="4" t="s">
        <v>1492</v>
      </c>
      <c r="L194" s="337" t="str">
        <f>IF(ISBLANK(input_wld_az1_rack2_host12_mgmt_ip),"Value Missing",input_wld_az1_rack2_host12_mgmt_ip)</f>
        <v>Value Missing</v>
      </c>
      <c r="M194" s="2"/>
      <c r="N194" s="4" t="s">
        <v>1492</v>
      </c>
      <c r="O194" s="337" t="str">
        <f>IF(ISBLANK(input_wld_az1_rack3_host12_mgmt_ip),"Value Missing",input_wld_az1_rack3_host12_mgmt_ip)</f>
        <v>Value Missing</v>
      </c>
      <c r="P194" s="2"/>
      <c r="Q194" s="4" t="s">
        <v>1492</v>
      </c>
      <c r="R194" s="337" t="str">
        <f>IF(ISBLANK(input_wld_az1_rack4_host12_mgmt_ip),"Value Missing",input_wld_az1_rack4_host12_mgmt_ip)</f>
        <v>Value Missing</v>
      </c>
      <c r="S194" s="2"/>
      <c r="T194" s="4" t="s">
        <v>1492</v>
      </c>
      <c r="U194" s="337" t="str">
        <f>IF(ISBLANK(input_wld_az1_rack5_host12_mgmt_ip),"Value Missing",input_wld_az1_rack5_host12_mgmt_ip)</f>
        <v>Value Missing</v>
      </c>
      <c r="V194" s="2"/>
      <c r="W194" s="4" t="s">
        <v>1492</v>
      </c>
      <c r="X194" s="337" t="str">
        <f>IF(ISBLANK(input_wld_az1_rack6_host12_mgmt_ip),"Value Missing",input_wld_az1_rack6_host12_mgmt_ip)</f>
        <v>Value Missing</v>
      </c>
      <c r="Y194" s="2"/>
      <c r="Z194" s="4" t="s">
        <v>1492</v>
      </c>
      <c r="AA194" s="337" t="str">
        <f>IF(ISBLANK(input_wld_az1_rack7_host12_mgmt_ip),"Value Missing",input_wld_az1_rack7_host12_mgmt_ip)</f>
        <v>Value Missing</v>
      </c>
      <c r="AB194" s="2"/>
      <c r="AC194" s="4" t="s">
        <v>1492</v>
      </c>
      <c r="AD194" s="337" t="str">
        <f>IF(ISBLANK(input_wld_az1_rack8_host12_mgmt_ip),"Value Missing",input_wld_az1_rack8_host12_mgmt_ip)</f>
        <v>Value Missing</v>
      </c>
    </row>
    <row r="195" spans="5:30" ht="20.05" customHeight="1" x14ac:dyDescent="0.35">
      <c r="E195" s="4" t="s">
        <v>1493</v>
      </c>
      <c r="F195" s="337" t="str">
        <f>IF(ISBLANK(input_mgmt_az1_host13_mgmt_ip),"Value Missing",input_mgmt_az1_host13_mgmt_ip)</f>
        <v>Value Missing</v>
      </c>
      <c r="G195" s="2"/>
      <c r="H195" s="4" t="s">
        <v>1493</v>
      </c>
      <c r="I195" s="337" t="str">
        <f>IF(ISBLANK(input_wld_az1_host13_mgmt_ip),"Value Missing",input_wld_az1_host13_mgmt_ip)</f>
        <v>Value Missing</v>
      </c>
      <c r="J195" s="2"/>
      <c r="K195" s="4" t="s">
        <v>1493</v>
      </c>
      <c r="L195" s="337" t="str">
        <f>IF(ISBLANK(input_wld_az1_rack2_host13_mgmt_ip),"Value Missing",input_wld_az1_rack2_host13_mgmt_ip)</f>
        <v>Value Missing</v>
      </c>
      <c r="M195" s="2"/>
      <c r="N195" s="4" t="s">
        <v>1493</v>
      </c>
      <c r="O195" s="337" t="str">
        <f>IF(ISBLANK(input_wld_az1_rack3_host13_mgmt_ip),"Value Missing",input_wld_az1_rack3_host13_mgmt_ip)</f>
        <v>Value Missing</v>
      </c>
      <c r="P195" s="2"/>
      <c r="Q195" s="4" t="s">
        <v>1493</v>
      </c>
      <c r="R195" s="337" t="str">
        <f>IF(ISBLANK(input_wld_az1_rack4_host13_mgmt_ip),"Value Missing",input_wld_az1_rack4_host13_mgmt_ip)</f>
        <v>Value Missing</v>
      </c>
      <c r="S195" s="2"/>
      <c r="T195" s="4" t="s">
        <v>1493</v>
      </c>
      <c r="U195" s="337" t="str">
        <f>IF(ISBLANK(input_wld_az1_rack5_host13_mgmt_ip),"Value Missing",input_wld_az1_rack5_host13_mgmt_ip)</f>
        <v>Value Missing</v>
      </c>
      <c r="V195" s="2"/>
      <c r="W195" s="4" t="s">
        <v>1493</v>
      </c>
      <c r="X195" s="337" t="str">
        <f>IF(ISBLANK(input_wld_az1_rack6_host13_mgmt_ip),"Value Missing",input_wld_az1_rack6_host13_mgmt_ip)</f>
        <v>Value Missing</v>
      </c>
      <c r="Y195" s="2"/>
      <c r="Z195" s="4" t="s">
        <v>1493</v>
      </c>
      <c r="AA195" s="337" t="str">
        <f>IF(ISBLANK(input_wld_az1_rack7_host13_mgmt_ip),"Value Missing",input_wld_az1_rack7_host13_mgmt_ip)</f>
        <v>Value Missing</v>
      </c>
      <c r="AB195" s="2"/>
      <c r="AC195" s="4" t="s">
        <v>1493</v>
      </c>
      <c r="AD195" s="337" t="str">
        <f>IF(ISBLANK(input_wld_az1_rack8_host13_mgmt_ip),"Value Missing",input_wld_az1_rack8_host13_mgmt_ip)</f>
        <v>Value Missing</v>
      </c>
    </row>
    <row r="196" spans="5:30" ht="20.05" customHeight="1" x14ac:dyDescent="0.35">
      <c r="E196" s="4" t="s">
        <v>1494</v>
      </c>
      <c r="F196" s="337" t="str">
        <f>IF(ISBLANK(input_mgmt_az1_host14_mgmt_ip),"Value Missing",input_mgmt_az1_host14_mgmt_ip)</f>
        <v>Value Missing</v>
      </c>
      <c r="G196" s="2"/>
      <c r="H196" s="4" t="s">
        <v>1494</v>
      </c>
      <c r="I196" s="337" t="str">
        <f>IF(ISBLANK(input_wld_az1_host14_mgmt_ip),"Value Missing",input_wld_az1_host14_mgmt_ip)</f>
        <v>Value Missing</v>
      </c>
      <c r="J196" s="2"/>
      <c r="K196" s="4" t="s">
        <v>1494</v>
      </c>
      <c r="L196" s="337" t="str">
        <f>IF(ISBLANK(input_wld_az1_rack2_host14_mgmt_ip),"Value Missing",input_wld_az1_rack2_host14_mgmt_ip)</f>
        <v>Value Missing</v>
      </c>
      <c r="M196" s="15"/>
      <c r="N196" s="4" t="s">
        <v>1494</v>
      </c>
      <c r="O196" s="337" t="str">
        <f>IF(ISBLANK(input_wld_az1_rack3_host14_mgmt_ip),"Value Missing",input_wld_az1_rack3_host14_mgmt_ip)</f>
        <v>Value Missing</v>
      </c>
      <c r="P196" s="2"/>
      <c r="Q196" s="4" t="s">
        <v>1494</v>
      </c>
      <c r="R196" s="337" t="str">
        <f>IF(ISBLANK(input_wld_az1_rack4_host14_mgmt_ip),"Value Missing",input_wld_az1_rack4_host14_mgmt_ip)</f>
        <v>Value Missing</v>
      </c>
      <c r="S196" s="2"/>
      <c r="T196" s="4" t="s">
        <v>1494</v>
      </c>
      <c r="U196" s="337" t="str">
        <f>IF(ISBLANK(input_wld_az1_rack5_host14_mgmt_ip),"Value Missing",input_wld_az1_rack5_host14_mgmt_ip)</f>
        <v>Value Missing</v>
      </c>
      <c r="V196" s="2"/>
      <c r="W196" s="4" t="s">
        <v>1494</v>
      </c>
      <c r="X196" s="337" t="str">
        <f>IF(ISBLANK(input_wld_az1_rack6_host14_mgmt_ip),"Value Missing",input_wld_az1_rack6_host14_mgmt_ip)</f>
        <v>Value Missing</v>
      </c>
      <c r="Y196" s="2"/>
      <c r="Z196" s="4" t="s">
        <v>1494</v>
      </c>
      <c r="AA196" s="337" t="str">
        <f>IF(ISBLANK(input_wld_az1_rack7_host14_mgmt_ip),"Value Missing",input_wld_az1_rack7_host14_mgmt_ip)</f>
        <v>Value Missing</v>
      </c>
      <c r="AB196" s="2"/>
      <c r="AC196" s="4" t="s">
        <v>1494</v>
      </c>
      <c r="AD196" s="337" t="str">
        <f>IF(ISBLANK(input_wld_az1_rack8_host14_mgmt_ip),"Value Missing",input_wld_az1_rack8_host14_mgmt_ip)</f>
        <v>Value Missing</v>
      </c>
    </row>
    <row r="197" spans="5:30" ht="20.05" customHeight="1" x14ac:dyDescent="0.35">
      <c r="E197" s="4" t="s">
        <v>1495</v>
      </c>
      <c r="F197" s="337" t="str">
        <f>IF(ISBLANK(input_mgmt_az1_host15_mgmt_ip),"Value Missing",input_mgmt_az1_host15_mgmt_ip)</f>
        <v>Value Missing</v>
      </c>
      <c r="G197" s="2"/>
      <c r="H197" s="4" t="s">
        <v>1495</v>
      </c>
      <c r="I197" s="337" t="str">
        <f>IF(ISBLANK(input_wld_az1_host15_mgmt_ip),"Value Missing",input_wld_az1_host15_mgmt_ip)</f>
        <v>Value Missing</v>
      </c>
      <c r="J197" s="2"/>
      <c r="K197" s="4" t="s">
        <v>1495</v>
      </c>
      <c r="L197" s="337" t="str">
        <f>IF(ISBLANK(input_wld_az1_rack2_host15_mgmt_ip),"Value Missing",input_wld_az1_rack2_host15_mgmt_ip)</f>
        <v>Value Missing</v>
      </c>
      <c r="M197" s="2"/>
      <c r="N197" s="4" t="s">
        <v>1495</v>
      </c>
      <c r="O197" s="337" t="str">
        <f>IF(ISBLANK(input_wld_az1_rack3_host15_mgmt_ip),"Value Missing",input_wld_az1_rack3_host15_mgmt_ip)</f>
        <v>Value Missing</v>
      </c>
      <c r="P197" s="2"/>
      <c r="Q197" s="4" t="s">
        <v>1495</v>
      </c>
      <c r="R197" s="337" t="str">
        <f>IF(ISBLANK(input_wld_az1_rack4_host15_mgmt_ip),"Value Missing",input_wld_az1_rack4_host15_mgmt_ip)</f>
        <v>Value Missing</v>
      </c>
      <c r="S197" s="2"/>
      <c r="T197" s="4" t="s">
        <v>1495</v>
      </c>
      <c r="U197" s="337" t="str">
        <f>IF(ISBLANK(input_wld_az1_rack5_host15_mgmt_ip),"Value Missing",input_wld_az1_rack5_host15_mgmt_ip)</f>
        <v>Value Missing</v>
      </c>
      <c r="V197" s="2"/>
      <c r="W197" s="4" t="s">
        <v>1495</v>
      </c>
      <c r="X197" s="337" t="str">
        <f>IF(ISBLANK(input_wld_az1_rack6_host15_mgmt_ip),"Value Missing",input_wld_az1_rack6_host15_mgmt_ip)</f>
        <v>Value Missing</v>
      </c>
      <c r="Y197" s="2"/>
      <c r="Z197" s="4" t="s">
        <v>1495</v>
      </c>
      <c r="AA197" s="337" t="str">
        <f>IF(ISBLANK(input_wld_az1_rack7_host15_mgmt_ip),"Value Missing",input_wld_az1_rack7_host15_mgmt_ip)</f>
        <v>Value Missing</v>
      </c>
      <c r="AB197" s="2"/>
      <c r="AC197" s="4" t="s">
        <v>1495</v>
      </c>
      <c r="AD197" s="337" t="str">
        <f>IF(ISBLANK(input_wld_az1_rack8_host15_mgmt_ip),"Value Missing",input_wld_az1_rack8_host15_mgmt_ip)</f>
        <v>Value Missing</v>
      </c>
    </row>
    <row r="198" spans="5:30" ht="20.05" customHeight="1" x14ac:dyDescent="0.35">
      <c r="E198" s="4" t="s">
        <v>1496</v>
      </c>
      <c r="F198" s="337" t="str">
        <f>IF(ISBLANK(input_mgmt_az1_host16_mgmt_ip),"Value Missing",input_mgmt_az1_host16_mgmt_ip)</f>
        <v>Value Missing</v>
      </c>
      <c r="G198" s="2"/>
      <c r="H198" s="4" t="s">
        <v>1496</v>
      </c>
      <c r="I198" s="337" t="str">
        <f>IF(ISBLANK(input_wld_az1_host16_mgmt_ip),"Value Missing",input_wld_az1_host16_mgmt_ip)</f>
        <v>Value Missing</v>
      </c>
      <c r="J198" s="2"/>
      <c r="K198" s="4" t="s">
        <v>1496</v>
      </c>
      <c r="L198" s="337" t="str">
        <f>IF(ISBLANK(input_wld_az1_rack2_host16_mgmt_ip),"Value Missing",input_wld_az1_rack2_host16_mgmt_ip)</f>
        <v>Value Missing</v>
      </c>
      <c r="M198" s="2"/>
      <c r="N198" s="4" t="s">
        <v>1496</v>
      </c>
      <c r="O198" s="337" t="str">
        <f>IF(ISBLANK(input_wld_az1_rack3_host16_mgmt_ip),"Value Missing",input_wld_az1_rack3_host16_mgmt_ip)</f>
        <v>Value Missing</v>
      </c>
      <c r="P198" s="2"/>
      <c r="Q198" s="4" t="s">
        <v>1496</v>
      </c>
      <c r="R198" s="337" t="str">
        <f>IF(ISBLANK(input_wld_az1_rack4_host16_mgmt_ip),"Value Missing",input_wld_az1_rack4_host16_mgmt_ip)</f>
        <v>Value Missing</v>
      </c>
      <c r="S198" s="2"/>
      <c r="T198" s="4" t="s">
        <v>1496</v>
      </c>
      <c r="U198" s="337" t="str">
        <f>IF(ISBLANK(input_wld_az1_rack5_host16_mgmt_ip),"Value Missing",input_wld_az1_rack5_host16_mgmt_ip)</f>
        <v>Value Missing</v>
      </c>
      <c r="V198" s="2"/>
      <c r="W198" s="4" t="s">
        <v>1496</v>
      </c>
      <c r="X198" s="337" t="str">
        <f>IF(ISBLANK(input_wld_az1_rack6_host16_mgmt_ip),"Value Missing",input_wld_az1_rack6_host16_mgmt_ip)</f>
        <v>Value Missing</v>
      </c>
      <c r="Y198" s="2"/>
      <c r="Z198" s="4" t="s">
        <v>1496</v>
      </c>
      <c r="AA198" s="337" t="str">
        <f>IF(ISBLANK(input_wld_az1_rack7_host16_mgmt_ip),"Value Missing",input_wld_az1_rack7_host16_mgmt_ip)</f>
        <v>Value Missing</v>
      </c>
      <c r="AB198" s="2"/>
      <c r="AC198" s="4" t="s">
        <v>1496</v>
      </c>
      <c r="AD198" s="337" t="str">
        <f>IF(ISBLANK(input_wld_az1_rack8_host16_mgmt_ip),"Value Missing",input_wld_az1_rack8_host16_mgmt_ip)</f>
        <v>Value Missing</v>
      </c>
    </row>
    <row r="199" spans="5:30" ht="20.05" customHeight="1" x14ac:dyDescent="0.35">
      <c r="E199" s="4" t="s">
        <v>1497</v>
      </c>
      <c r="F199" s="337" t="str">
        <f>IF(ISBLANK(input_mgmt_az1_host1_vrms_ip),"Value Missing",input_mgmt_az1_host1_vrms_ip)</f>
        <v>Value Missing</v>
      </c>
      <c r="G199" s="2"/>
      <c r="H199" s="4" t="s">
        <v>1497</v>
      </c>
      <c r="I199" s="337" t="str">
        <f>IF(ISBLANK(input_wld_az1_host1_vrms_ip),"Value Missing",input_wld_az1_host1_vrms_ip)</f>
        <v>Value Missing</v>
      </c>
      <c r="J199" s="2"/>
      <c r="K199" s="2"/>
      <c r="L199" s="2"/>
      <c r="M199" s="2"/>
      <c r="N199" s="2"/>
      <c r="O199" s="2"/>
      <c r="P199" s="2"/>
      <c r="Q199" s="2"/>
      <c r="R199" s="2"/>
      <c r="S199" s="2"/>
      <c r="T199" s="2"/>
      <c r="U199" s="2"/>
      <c r="V199" s="2"/>
      <c r="W199" s="2"/>
      <c r="X199" s="2"/>
      <c r="Y199" s="2"/>
      <c r="Z199" s="2"/>
      <c r="AA199" s="2"/>
      <c r="AB199" s="2"/>
      <c r="AC199" s="2"/>
      <c r="AD199" s="2"/>
    </row>
    <row r="200" spans="5:30" ht="20.05" customHeight="1" x14ac:dyDescent="0.35">
      <c r="E200" s="4" t="s">
        <v>1498</v>
      </c>
      <c r="F200" s="337" t="str">
        <f>IF(ISBLANK(input_mgmt_az1_host2_vrms_ip),"Value Missing",input_mgmt_az1_host2_vrms_ip)</f>
        <v>Value Missing</v>
      </c>
      <c r="G200" s="2"/>
      <c r="H200" s="4" t="s">
        <v>1498</v>
      </c>
      <c r="I200" s="337" t="str">
        <f>IF(ISBLANK(input_wld_az1_host2_vrms_ip),"Value Missing",input_wld_az1_host2_vrms_ip)</f>
        <v>Value Missing</v>
      </c>
      <c r="J200" s="2"/>
      <c r="K200" s="576" t="s">
        <v>1499</v>
      </c>
      <c r="L200" s="577"/>
      <c r="M200" s="2"/>
      <c r="N200" s="576" t="s">
        <v>1500</v>
      </c>
      <c r="O200" s="577"/>
      <c r="P200" s="2"/>
      <c r="Q200" s="576" t="s">
        <v>1501</v>
      </c>
      <c r="R200" s="577"/>
      <c r="S200" s="2"/>
      <c r="T200" s="576" t="s">
        <v>1502</v>
      </c>
      <c r="U200" s="577"/>
      <c r="V200" s="2"/>
      <c r="W200" s="576" t="s">
        <v>1503</v>
      </c>
      <c r="X200" s="577"/>
      <c r="Y200" s="2"/>
      <c r="Z200" s="576" t="s">
        <v>1504</v>
      </c>
      <c r="AA200" s="577"/>
      <c r="AB200" s="2"/>
      <c r="AC200" s="576" t="s">
        <v>1505</v>
      </c>
      <c r="AD200" s="577"/>
    </row>
    <row r="201" spans="5:30" ht="20.05" customHeight="1" x14ac:dyDescent="0.35">
      <c r="E201" s="4" t="s">
        <v>1506</v>
      </c>
      <c r="F201" s="337" t="str">
        <f>IF(ISBLANK(input_mgmt_az1_host3_vrms_ip),"Value Missing",input_mgmt_az1_host3_vrms_ip)</f>
        <v>Value Missing</v>
      </c>
      <c r="G201" s="2"/>
      <c r="H201" s="4" t="s">
        <v>1506</v>
      </c>
      <c r="I201" s="337" t="str">
        <f>IF(ISBLANK(input_wld_az1_host3_vrms_ip),"Value Missing",input_wld_az1_host3_vrms_ip)</f>
        <v>Value Missing</v>
      </c>
      <c r="J201" s="2"/>
      <c r="K201" s="13" t="s">
        <v>261</v>
      </c>
      <c r="L201" s="14" t="s">
        <v>19</v>
      </c>
      <c r="M201" s="2"/>
      <c r="N201" s="13" t="s">
        <v>261</v>
      </c>
      <c r="O201" s="14" t="s">
        <v>19</v>
      </c>
      <c r="P201" s="15"/>
      <c r="Q201" s="13" t="s">
        <v>261</v>
      </c>
      <c r="R201" s="14" t="s">
        <v>19</v>
      </c>
      <c r="S201" s="15"/>
      <c r="T201" s="13" t="s">
        <v>261</v>
      </c>
      <c r="U201" s="14" t="s">
        <v>19</v>
      </c>
      <c r="V201" s="15"/>
      <c r="W201" s="11" t="s">
        <v>261</v>
      </c>
      <c r="X201" s="14" t="s">
        <v>19</v>
      </c>
      <c r="Y201" s="15"/>
      <c r="Z201" s="13" t="s">
        <v>261</v>
      </c>
      <c r="AA201" s="14" t="s">
        <v>19</v>
      </c>
      <c r="AB201" s="15"/>
      <c r="AC201" s="13" t="s">
        <v>261</v>
      </c>
      <c r="AD201" s="14" t="s">
        <v>19</v>
      </c>
    </row>
    <row r="202" spans="5:30" ht="20.05" customHeight="1" x14ac:dyDescent="0.35">
      <c r="E202" s="4" t="s">
        <v>1507</v>
      </c>
      <c r="F202" s="337" t="str">
        <f>IF(ISBLANK(input_mgmt_az1_host4_vrms_ip),"Value Missing",input_mgmt_az1_host4_vrms_ip)</f>
        <v>Value Missing</v>
      </c>
      <c r="G202" s="2"/>
      <c r="H202" s="4" t="s">
        <v>1507</v>
      </c>
      <c r="I202" s="337" t="str">
        <f>IF(ISBLANK(input_wld_az1_host4_vrms_ip),"Value Missing",input_wld_az1_host4_vrms_ip)</f>
        <v>Value Missing</v>
      </c>
      <c r="J202" s="2"/>
      <c r="K202" s="4" t="s">
        <v>1508</v>
      </c>
      <c r="L202" s="337" t="str">
        <f>IF(wld_az1_rack2_host1_fqdn="Value Missing",wld_az1_rack2_host1_fqdn,LEFT(wld_az1_rack2_host1_fqdn,FIND(".",wld_az1_rack2_host1_fqdn)-1))</f>
        <v>Value Missing</v>
      </c>
      <c r="M202" s="2"/>
      <c r="N202" s="4" t="s">
        <v>1508</v>
      </c>
      <c r="O202" s="337" t="str">
        <f>IF(wld_az1_rack3_host1_fqdn="Value Missing",wld_az1_rack3_host1_fqdn,LEFT(wld_az1_rack3_host1_fqdn,FIND(".",wld_az1_rack3_host1_fqdn)-1))</f>
        <v>Value Missing</v>
      </c>
      <c r="P202" s="2"/>
      <c r="Q202" s="4" t="s">
        <v>1508</v>
      </c>
      <c r="R202" s="337" t="str">
        <f>IF(wld_az1_rack4_host1_fqdn="Value Missing",wld_az1_rack4_host1_fqdn,LEFT(wld_az1_rack4_host1_fqdn,FIND(".",wld_az1_rack4_host1_fqdn)-1))</f>
        <v>Value Missing</v>
      </c>
      <c r="S202" s="2"/>
      <c r="T202" s="4" t="s">
        <v>1508</v>
      </c>
      <c r="U202" s="337" t="str">
        <f>IF(wld_az1_rack5_host1_fqdn="Value Missing",wld_az1_rack5_host1_fqdn,LEFT(wld_az1_rack5_host1_fqdn,FIND(".",wld_az1_rack5_host1_fqdn)-1))</f>
        <v>Value Missing</v>
      </c>
      <c r="V202" s="2"/>
      <c r="W202" s="4" t="s">
        <v>1508</v>
      </c>
      <c r="X202" s="337" t="str">
        <f>IF(wld_az1_rack6_host1_fqdn="Value Missing",wld_az1_rack6_host1_fqdn,LEFT(wld_az1_rack6_host1_fqdn,FIND(".",wld_az1_rack6_host1_fqdn)-1))</f>
        <v>Value Missing</v>
      </c>
      <c r="Y202" s="2"/>
      <c r="Z202" s="4" t="s">
        <v>1508</v>
      </c>
      <c r="AA202" s="337" t="str">
        <f>IF(wld_az1_rack7_host1_fqdn="Value Missing",wld_az1_rack7_host1_fqdn,LEFT(wld_az1_rack7_host1_fqdn,FIND(".",wld_az1_rack7_host1_fqdn)-1))</f>
        <v>Value Missing</v>
      </c>
      <c r="AB202" s="2"/>
      <c r="AC202" s="4" t="s">
        <v>1508</v>
      </c>
      <c r="AD202" s="337" t="str">
        <f>IF(wld_az1_rack8_host1_fqdn="Value Missing",wld_az1_rack8_host1_fqdn,LEFT(wld_az1_rack8_host1_fqdn,FIND(".",wld_az1_rack8_host1_fqdn)-1))</f>
        <v>Value Missing</v>
      </c>
    </row>
    <row r="203" spans="5:30" ht="20.05" customHeight="1" x14ac:dyDescent="0.35">
      <c r="E203" s="4" t="s">
        <v>1509</v>
      </c>
      <c r="F203" s="337" t="str">
        <f>IF(ISBLANK(input_mgmt_az1_host5_vrms_ip),"Value Missing",input_mgmt_az1_host5_vrms_ip)</f>
        <v>Value Missing</v>
      </c>
      <c r="G203" s="2"/>
      <c r="H203" s="4" t="s">
        <v>1509</v>
      </c>
      <c r="I203" s="337" t="str">
        <f>IF(ISBLANK(input_wld_az1_host5_vrms_ip),"Value Missing",input_wld_az1_host5_vrms_ip)</f>
        <v>Value Missing</v>
      </c>
      <c r="J203" s="2"/>
      <c r="K203" s="4" t="s">
        <v>1510</v>
      </c>
      <c r="L203" s="337" t="str">
        <f>IF(wld_az1_rack2_host2_fqdn="Value Missing",wld_az1_rack2_host2_fqdn,LEFT(wld_az1_rack2_host2_fqdn,FIND(".",wld_az1_rack2_host2_fqdn)-1))</f>
        <v>Value Missing</v>
      </c>
      <c r="M203" s="2"/>
      <c r="N203" s="4" t="s">
        <v>1510</v>
      </c>
      <c r="O203" s="337" t="str">
        <f>IF(wld_az1_rack3_host2_fqdn="Value Missing",wld_az1_rack3_host2_fqdn,LEFT(wld_az1_rack3_host2_fqdn,FIND(".",wld_az1_rack3_host2_fqdn)-1))</f>
        <v>Value Missing</v>
      </c>
      <c r="P203" s="2"/>
      <c r="Q203" s="4" t="s">
        <v>1510</v>
      </c>
      <c r="R203" s="337" t="str">
        <f>IF(wld_az1_rack4_host2_fqdn="Value Missing",wld_az1_rack4_host2_fqdn,LEFT(wld_az1_rack4_host2_fqdn,FIND(".",wld_az1_rack4_host2_fqdn)-1))</f>
        <v>Value Missing</v>
      </c>
      <c r="S203" s="2"/>
      <c r="T203" s="4" t="s">
        <v>1510</v>
      </c>
      <c r="U203" s="337" t="str">
        <f>IF(wld_az1_rack5_host2_fqdn="Value Missing",wld_az1_rack5_host2_fqdn,LEFT(wld_az1_rack5_host2_fqdn,FIND(".",wld_az1_rack5_host2_fqdn)-1))</f>
        <v>Value Missing</v>
      </c>
      <c r="V203" s="2"/>
      <c r="W203" s="4" t="s">
        <v>1510</v>
      </c>
      <c r="X203" s="337" t="str">
        <f>IF(wld_az1_rack6_host2_fqdn="Value Missing",wld_az1_rack6_host2_fqdn,LEFT(wld_az1_rack6_host2_fqdn,FIND(".",wld_az1_rack6_host2_fqdn)-1))</f>
        <v>Value Missing</v>
      </c>
      <c r="Y203" s="2"/>
      <c r="Z203" s="4" t="s">
        <v>1510</v>
      </c>
      <c r="AA203" s="337" t="str">
        <f>IF(wld_az1_rack7_host2_fqdn="Value Missing",wld_az1_rack7_host2_fqdn,LEFT(wld_az1_rack7_host2_fqdn,FIND(".",wld_az1_rack7_host2_fqdn)-1))</f>
        <v>Value Missing</v>
      </c>
      <c r="AB203" s="2"/>
      <c r="AC203" s="4" t="s">
        <v>1510</v>
      </c>
      <c r="AD203" s="337" t="str">
        <f>IF(wld_az1_rack8_host2_fqdn="Value Missing",wld_az1_rack8_host2_fqdn,LEFT(wld_az1_rack8_host2_fqdn,FIND(".",wld_az1_rack8_host2_fqdn)-1))</f>
        <v>Value Missing</v>
      </c>
    </row>
    <row r="204" spans="5:30" ht="20.05" customHeight="1" x14ac:dyDescent="0.35">
      <c r="E204" s="4" t="s">
        <v>1511</v>
      </c>
      <c r="F204" s="337" t="str">
        <f>IF(ISBLANK(input_mgmt_az1_host6_vrms_ip),"Value Missing",input_mgmt_az1_host6_vrms_ip)</f>
        <v>Value Missing</v>
      </c>
      <c r="G204" s="2"/>
      <c r="H204" s="4" t="s">
        <v>1511</v>
      </c>
      <c r="I204" s="337" t="str">
        <f>IF(ISBLANK(input_wld_az1_host6_vrms_ip),"Value Missing",input_wld_az1_host6_vrms_ip)</f>
        <v>Value Missing</v>
      </c>
      <c r="J204" s="2"/>
      <c r="K204" s="4" t="s">
        <v>1512</v>
      </c>
      <c r="L204" s="337" t="str">
        <f>IF(wld_az1_rack2_host3_fqdn="Value Missing",wld_az1_rack2_host3_fqdn,LEFT(wld_az1_rack2_host3_fqdn,FIND(".",wld_az1_rack2_host3_fqdn)-1))</f>
        <v>Value Missing</v>
      </c>
      <c r="M204" s="2"/>
      <c r="N204" s="4" t="s">
        <v>1512</v>
      </c>
      <c r="O204" s="337" t="str">
        <f>IF(wld_az1_rack3_host3_fqdn="Value Missing",wld_az1_rack3_host3_fqdn,LEFT(wld_az1_rack3_host3_fqdn,FIND(".",wld_az1_rack3_host3_fqdn)-1))</f>
        <v>Value Missing</v>
      </c>
      <c r="P204" s="2"/>
      <c r="Q204" s="4" t="s">
        <v>1512</v>
      </c>
      <c r="R204" s="337" t="str">
        <f>IF(wld_az1_rack4_host3_fqdn="Value Missing",wld_az1_rack4_host3_fqdn,LEFT(wld_az1_rack4_host3_fqdn,FIND(".",wld_az1_rack4_host3_fqdn)-1))</f>
        <v>Value Missing</v>
      </c>
      <c r="S204" s="2"/>
      <c r="T204" s="4" t="s">
        <v>1512</v>
      </c>
      <c r="U204" s="337" t="str">
        <f>IF(wld_az1_rack5_host3_fqdn="Value Missing",wld_az1_rack5_host3_fqdn,LEFT(wld_az1_rack5_host3_fqdn,FIND(".",wld_az1_rack5_host3_fqdn)-1))</f>
        <v>Value Missing</v>
      </c>
      <c r="V204" s="2"/>
      <c r="W204" s="4" t="s">
        <v>1512</v>
      </c>
      <c r="X204" s="337" t="str">
        <f>IF(wld_az1_rack6_host3_fqdn="Value Missing",wld_az1_rack6_host3_fqdn,LEFT(wld_az1_rack6_host3_fqdn,FIND(".",wld_az1_rack6_host3_fqdn)-1))</f>
        <v>Value Missing</v>
      </c>
      <c r="Y204" s="2"/>
      <c r="Z204" s="4" t="s">
        <v>1512</v>
      </c>
      <c r="AA204" s="337" t="str">
        <f>IF(wld_az1_rack7_host3_fqdn="Value Missing",wld_az1_rack7_host3_fqdn,LEFT(wld_az1_rack7_host3_fqdn,FIND(".",wld_az1_rack7_host3_fqdn)-1))</f>
        <v>Value Missing</v>
      </c>
      <c r="AB204" s="2"/>
      <c r="AC204" s="4" t="s">
        <v>1512</v>
      </c>
      <c r="AD204" s="337" t="str">
        <f>IF(wld_az1_rack8_host3_fqdn="Value Missing",wld_az1_rack8_host3_fqdn,LEFT(wld_az1_rack8_host3_fqdn,FIND(".",wld_az1_rack8_host3_fqdn)-1))</f>
        <v>Value Missing</v>
      </c>
    </row>
    <row r="205" spans="5:30" ht="20.05" customHeight="1" x14ac:dyDescent="0.35">
      <c r="E205" s="4" t="s">
        <v>1513</v>
      </c>
      <c r="F205" s="337" t="str">
        <f>IF(ISBLANK(input_mgmt_az1_host7_vrms_ip),"Value Missing",input_mgmt_az1_host7_vrms_ip)</f>
        <v>Value Missing</v>
      </c>
      <c r="G205" s="2"/>
      <c r="H205" s="4" t="s">
        <v>1513</v>
      </c>
      <c r="I205" s="337" t="str">
        <f>IF(ISBLANK(input_wld_az1_host7_vrms_ip),"Value Missing",input_wld_az1_host7_vrms_ip)</f>
        <v>Value Missing</v>
      </c>
      <c r="J205" s="2"/>
      <c r="K205" s="4" t="s">
        <v>1514</v>
      </c>
      <c r="L205" s="337" t="str">
        <f>IF(wld_az1_rack2_host4_fqdn="Value Missing",wld_az1_rack2_host4_fqdn,LEFT(wld_az1_rack2_host4_fqdn,FIND(".",wld_az1_rack2_host4_fqdn)-1))</f>
        <v>Value Missing</v>
      </c>
      <c r="M205" s="2"/>
      <c r="N205" s="4" t="s">
        <v>1514</v>
      </c>
      <c r="O205" s="337" t="str">
        <f>IF(wld_az1_rack3_host4_fqdn="Value Missing",wld_az1_rack3_host4_fqdn,LEFT(wld_az1_rack3_host4_fqdn,FIND(".",wld_az1_rack3_host4_fqdn)-1))</f>
        <v>Value Missing</v>
      </c>
      <c r="P205" s="2"/>
      <c r="Q205" s="4" t="s">
        <v>1514</v>
      </c>
      <c r="R205" s="337" t="str">
        <f>IF(wld_az1_rack4_host4_fqdn="Value Missing",wld_az1_rack4_host4_fqdn,LEFT(wld_az1_rack4_host4_fqdn,FIND(".",wld_az1_rack4_host4_fqdn)-1))</f>
        <v>Value Missing</v>
      </c>
      <c r="S205" s="2"/>
      <c r="T205" s="4" t="s">
        <v>1514</v>
      </c>
      <c r="U205" s="337" t="str">
        <f>IF(wld_az1_rack5_host4_fqdn="Value Missing",wld_az1_rack5_host4_fqdn,LEFT(wld_az1_rack5_host4_fqdn,FIND(".",wld_az1_rack5_host4_fqdn)-1))</f>
        <v>Value Missing</v>
      </c>
      <c r="V205" s="2"/>
      <c r="W205" s="4" t="s">
        <v>1514</v>
      </c>
      <c r="X205" s="337" t="str">
        <f>IF(wld_az1_rack6_host4_fqdn="Value Missing",wld_az1_rack6_host4_fqdn,LEFT(wld_az1_rack6_host4_fqdn,FIND(".",wld_az1_rack6_host4_fqdn)-1))</f>
        <v>Value Missing</v>
      </c>
      <c r="Y205" s="2"/>
      <c r="Z205" s="4" t="s">
        <v>1514</v>
      </c>
      <c r="AA205" s="337" t="str">
        <f>IF(wld_az1_rack7_host4_fqdn="Value Missing",wld_az1_rack7_host4_fqdn,LEFT(wld_az1_rack7_host4_fqdn,FIND(".",wld_az1_rack7_host4_fqdn)-1))</f>
        <v>Value Missing</v>
      </c>
      <c r="AB205" s="2"/>
      <c r="AC205" s="4" t="s">
        <v>1514</v>
      </c>
      <c r="AD205" s="337" t="str">
        <f>IF(wld_az1_rack8_host4_fqdn="Value Missing",wld_az1_rack8_host4_fqdn,LEFT(wld_az1_rack8_host4_fqdn,FIND(".",wld_az1_rack8_host4_fqdn)-1))</f>
        <v>Value Missing</v>
      </c>
    </row>
    <row r="206" spans="5:30" ht="20.05" customHeight="1" x14ac:dyDescent="0.35">
      <c r="E206" s="4" t="s">
        <v>1515</v>
      </c>
      <c r="F206" s="337" t="str">
        <f>IF(ISBLANK(input_mgmt_az1_host8_vrms_ip),"Value Missing",input_mgmt_az1_host8_vrms_ip)</f>
        <v>Value Missing</v>
      </c>
      <c r="G206" s="2"/>
      <c r="H206" s="4" t="s">
        <v>1515</v>
      </c>
      <c r="I206" s="337" t="str">
        <f>IF(ISBLANK(input_wld_az1_host8_vrms_ip),"Value Missing",input_wld_az1_host8_vrms_ip)</f>
        <v>Value Missing</v>
      </c>
      <c r="J206" s="2"/>
      <c r="K206" s="4" t="s">
        <v>1516</v>
      </c>
      <c r="L206" s="337" t="str">
        <f>IF(wld_az1_rack2_host5_fqdn="Value Missing",wld_az1_rack2_host5_fqdn,LEFT(wld_az1_rack2_host5_fqdn,FIND(".",wld_az1_rack2_host5_fqdn)-1))</f>
        <v>Value Missing</v>
      </c>
      <c r="M206" s="2"/>
      <c r="N206" s="4" t="s">
        <v>1516</v>
      </c>
      <c r="O206" s="337" t="str">
        <f>IF(wld_az1_rack3_host5_fqdn="Value Missing",wld_az1_rack3_host5_fqdn,LEFT(wld_az1_rack3_host5_fqdn,FIND(".",wld_az1_rack3_host5_fqdn)-1))</f>
        <v>Value Missing</v>
      </c>
      <c r="P206" s="2"/>
      <c r="Q206" s="4" t="s">
        <v>1516</v>
      </c>
      <c r="R206" s="337" t="str">
        <f>IF(wld_az1_rack4_host5_fqdn="Value Missing",wld_az1_rack4_host5_fqdn,LEFT(wld_az1_rack4_host5_fqdn,FIND(".",wld_az1_rack4_host5_fqdn)-1))</f>
        <v>Value Missing</v>
      </c>
      <c r="S206" s="2"/>
      <c r="T206" s="4" t="s">
        <v>1516</v>
      </c>
      <c r="U206" s="337" t="str">
        <f>IF(wld_az1_rack5_host5_fqdn="Value Missing",wld_az1_rack5_host5_fqdn,LEFT(wld_az1_rack5_host5_fqdn,FIND(".",wld_az1_rack5_host5_fqdn)-1))</f>
        <v>Value Missing</v>
      </c>
      <c r="V206" s="2"/>
      <c r="W206" s="4" t="s">
        <v>1516</v>
      </c>
      <c r="X206" s="337" t="str">
        <f>IF(wld_az1_rack6_host5_fqdn="Value Missing",wld_az1_rack6_host5_fqdn,LEFT(wld_az1_rack6_host5_fqdn,FIND(".",wld_az1_rack6_host5_fqdn)-1))</f>
        <v>Value Missing</v>
      </c>
      <c r="Y206" s="2"/>
      <c r="Z206" s="4" t="s">
        <v>1516</v>
      </c>
      <c r="AA206" s="337" t="str">
        <f>IF(wld_az1_rack7_host5_fqdn="Value Missing",wld_az1_rack7_host5_fqdn,LEFT(wld_az1_rack7_host5_fqdn,FIND(".",wld_az1_rack7_host5_fqdn)-1))</f>
        <v>Value Missing</v>
      </c>
      <c r="AB206" s="2"/>
      <c r="AC206" s="4" t="s">
        <v>1516</v>
      </c>
      <c r="AD206" s="337" t="str">
        <f>IF(wld_az1_rack8_host5_fqdn="Value Missing",wld_az1_rack8_host5_fqdn,LEFT(wld_az1_rack8_host5_fqdn,FIND(".",wld_az1_rack8_host5_fqdn)-1))</f>
        <v>Value Missing</v>
      </c>
    </row>
    <row r="207" spans="5:30" ht="20.05" customHeight="1" x14ac:dyDescent="0.35">
      <c r="E207" s="4" t="s">
        <v>1517</v>
      </c>
      <c r="F207" s="337" t="str">
        <f>IF(ISBLANK(input_mgmt_az1_host9_vrms_ip),"Value Missing",input_mgmt_az1_host9_vrms_ip)</f>
        <v>Value Missing</v>
      </c>
      <c r="G207" s="2"/>
      <c r="H207" s="4" t="s">
        <v>1517</v>
      </c>
      <c r="I207" s="337" t="str">
        <f>IF(ISBLANK(input_wld_az1_host9_vrms_ip),"Value Missing",input_wld_az1_host9_vrms_ip)</f>
        <v>Value Missing</v>
      </c>
      <c r="J207" s="2"/>
      <c r="K207" s="4" t="s">
        <v>1518</v>
      </c>
      <c r="L207" s="337" t="str">
        <f>IF(wld_az1_rack2_host6_fqdn="Value Missing",wld_az1_rack2_host6_fqdn,LEFT(wld_az1_rack2_host6_fqdn,FIND(".",wld_az1_rack2_host6_fqdn)-1))</f>
        <v>Value Missing</v>
      </c>
      <c r="M207" s="2"/>
      <c r="N207" s="4" t="s">
        <v>1518</v>
      </c>
      <c r="O207" s="337" t="str">
        <f>IF(wld_az1_rack3_host6_fqdn="Value Missing",wld_az1_rack3_host6_fqdn,LEFT(wld_az1_rack3_host6_fqdn,FIND(".",wld_az1_rack3_host6_fqdn)-1))</f>
        <v>Value Missing</v>
      </c>
      <c r="P207" s="2"/>
      <c r="Q207" s="4" t="s">
        <v>1518</v>
      </c>
      <c r="R207" s="337" t="str">
        <f>IF(wld_az1_rack4_host6_fqdn="Value Missing",wld_az1_rack4_host6_fqdn,LEFT(wld_az1_rack4_host6_fqdn,FIND(".",wld_az1_rack4_host6_fqdn)-1))</f>
        <v>Value Missing</v>
      </c>
      <c r="S207" s="2"/>
      <c r="T207" s="4" t="s">
        <v>1518</v>
      </c>
      <c r="U207" s="337" t="str">
        <f>IF(wld_az1_rack5_host6_fqdn="Value Missing",wld_az1_rack5_host6_fqdn,LEFT(wld_az1_rack5_host6_fqdn,FIND(".",wld_az1_rack5_host6_fqdn)-1))</f>
        <v>Value Missing</v>
      </c>
      <c r="V207" s="2"/>
      <c r="W207" s="4" t="s">
        <v>1518</v>
      </c>
      <c r="X207" s="337" t="str">
        <f>IF(wld_az1_rack6_host6_fqdn="Value Missing",wld_az1_rack6_host6_fqdn,LEFT(wld_az1_rack6_host6_fqdn,FIND(".",wld_az1_rack6_host6_fqdn)-1))</f>
        <v>Value Missing</v>
      </c>
      <c r="Y207" s="2"/>
      <c r="Z207" s="4" t="s">
        <v>1518</v>
      </c>
      <c r="AA207" s="337" t="str">
        <f>IF(wld_az1_rack7_host6_fqdn="Value Missing",wld_az1_rack7_host6_fqdn,LEFT(wld_az1_rack7_host6_fqdn,FIND(".",wld_az1_rack7_host6_fqdn)-1))</f>
        <v>Value Missing</v>
      </c>
      <c r="AB207" s="2"/>
      <c r="AC207" s="4" t="s">
        <v>1518</v>
      </c>
      <c r="AD207" s="337" t="str">
        <f>IF(wld_az1_rack8_host6_fqdn="Value Missing",wld_az1_rack8_host6_fqdn,LEFT(wld_az1_rack8_host6_fqdn,FIND(".",wld_az1_rack8_host6_fqdn)-1))</f>
        <v>Value Missing</v>
      </c>
    </row>
    <row r="208" spans="5:30" ht="20.05" customHeight="1" x14ac:dyDescent="0.35">
      <c r="E208" s="4" t="s">
        <v>1519</v>
      </c>
      <c r="F208" s="337" t="str">
        <f>IF(ISBLANK(input_mgmt_az1_host10_vrms_ip),"Value Missing",input_mgmt_az1_host10_vrms_ip)</f>
        <v>Value Missing</v>
      </c>
      <c r="G208" s="2"/>
      <c r="H208" s="4" t="s">
        <v>1519</v>
      </c>
      <c r="I208" s="337" t="str">
        <f>IF(ISBLANK(input_wld_az1_host10_vrms_ip),"Value Missing",input_wld_az1_host10_vrms_ip)</f>
        <v>Value Missing</v>
      </c>
      <c r="J208" s="2"/>
      <c r="K208" s="4" t="s">
        <v>1520</v>
      </c>
      <c r="L208" s="337" t="str">
        <f>IF(wld_az1_rack2_host7_fqdn="Value Missing",wld_az1_rack2_host7_fqdn,LEFT(wld_az1_rack2_host7_fqdn,FIND(".",wld_az1_rack2_host7_fqdn)-1))</f>
        <v>Value Missing</v>
      </c>
      <c r="M208" s="2"/>
      <c r="N208" s="4" t="s">
        <v>1520</v>
      </c>
      <c r="O208" s="337" t="str">
        <f>IF(wld_az1_rack3_host7_fqdn="Value Missing",wld_az1_rack3_host7_fqdn,LEFT(wld_az1_rack3_host7_fqdn,FIND(".",wld_az1_rack3_host7_fqdn)-1))</f>
        <v>Value Missing</v>
      </c>
      <c r="P208" s="2"/>
      <c r="Q208" s="4" t="s">
        <v>1520</v>
      </c>
      <c r="R208" s="337" t="str">
        <f>IF(wld_az1_rack4_host7_fqdn="Value Missing",wld_az1_rack4_host7_fqdn,LEFT(wld_az1_rack4_host7_fqdn,FIND(".",wld_az1_rack4_host7_fqdn)-1))</f>
        <v>Value Missing</v>
      </c>
      <c r="S208" s="2"/>
      <c r="T208" s="4" t="s">
        <v>1520</v>
      </c>
      <c r="U208" s="337" t="str">
        <f>IF(wld_az1_rack5_host7_fqdn="Value Missing",wld_az1_rack5_host7_fqdn,LEFT(wld_az1_rack5_host7_fqdn,FIND(".",wld_az1_rack5_host7_fqdn)-1))</f>
        <v>Value Missing</v>
      </c>
      <c r="V208" s="2"/>
      <c r="W208" s="4" t="s">
        <v>1520</v>
      </c>
      <c r="X208" s="337" t="str">
        <f>IF(wld_az1_rack6_host7_fqdn="Value Missing",wld_az1_rack6_host7_fqdn,LEFT(wld_az1_rack6_host7_fqdn,FIND(".",wld_az1_rack6_host7_fqdn)-1))</f>
        <v>Value Missing</v>
      </c>
      <c r="Y208" s="2"/>
      <c r="Z208" s="4" t="s">
        <v>1520</v>
      </c>
      <c r="AA208" s="337" t="str">
        <f>IF(wld_az1_rack7_host7_fqdn="Value Missing",wld_az1_rack7_host7_fqdn,LEFT(wld_az1_rack7_host7_fqdn,FIND(".",wld_az1_rack7_host7_fqdn)-1))</f>
        <v>Value Missing</v>
      </c>
      <c r="AB208" s="2"/>
      <c r="AC208" s="4" t="s">
        <v>1520</v>
      </c>
      <c r="AD208" s="337" t="str">
        <f>IF(wld_az1_rack8_host7_fqdn="Value Missing",wld_az1_rack8_host7_fqdn,LEFT(wld_az1_rack8_host7_fqdn,FIND(".",wld_az1_rack8_host7_fqdn)-1))</f>
        <v>Value Missing</v>
      </c>
    </row>
    <row r="209" spans="5:30" ht="20.05" customHeight="1" x14ac:dyDescent="0.35">
      <c r="E209" s="4" t="s">
        <v>1521</v>
      </c>
      <c r="F209" s="337" t="str">
        <f>IF(ISBLANK(input_mgmt_az1_host11_vrms_ip),"Value Missing",input_mgmt_az1_host11_vrms_ip)</f>
        <v>Value Missing</v>
      </c>
      <c r="G209" s="2"/>
      <c r="H209" s="4" t="s">
        <v>1521</v>
      </c>
      <c r="I209" s="337" t="str">
        <f>IF(ISBLANK(input_wld_az1_host11_vrms_ip),"Value Missing",input_wld_az1_host11_vrms_ip)</f>
        <v>Value Missing</v>
      </c>
      <c r="J209" s="2"/>
      <c r="K209" s="4" t="s">
        <v>1522</v>
      </c>
      <c r="L209" s="337" t="str">
        <f>IF(wld_az1_rack2_host8_fqdn="Value Missing",wld_az1_rack2_host8_fqdn,LEFT(wld_az1_rack2_host8_fqdn,FIND(".",wld_az1_rack2_host8_fqdn)-1))</f>
        <v>Value Missing</v>
      </c>
      <c r="M209" s="2"/>
      <c r="N209" s="4" t="s">
        <v>1522</v>
      </c>
      <c r="O209" s="337" t="str">
        <f>IF(wld_az1_rack3_host8_fqdn="Value Missing",wld_az1_rack3_host8_fqdn,LEFT(wld_az1_rack3_host8_fqdn,FIND(".",wld_az1_rack3_host8_fqdn)-1))</f>
        <v>Value Missing</v>
      </c>
      <c r="P209" s="2"/>
      <c r="Q209" s="4" t="s">
        <v>1522</v>
      </c>
      <c r="R209" s="337" t="str">
        <f>IF(wld_az1_rack4_host8_fqdn="Value Missing",wld_az1_rack4_host8_fqdn,LEFT(wld_az1_rack4_host8_fqdn,FIND(".",wld_az1_rack4_host8_fqdn)-1))</f>
        <v>Value Missing</v>
      </c>
      <c r="S209" s="2"/>
      <c r="T209" s="4" t="s">
        <v>1522</v>
      </c>
      <c r="U209" s="337" t="str">
        <f>IF(wld_az1_rack5_host8_fqdn="Value Missing",wld_az1_rack5_host8_fqdn,LEFT(wld_az1_rack5_host8_fqdn,FIND(".",wld_az1_rack5_host8_fqdn)-1))</f>
        <v>Value Missing</v>
      </c>
      <c r="V209" s="2"/>
      <c r="W209" s="4" t="s">
        <v>1522</v>
      </c>
      <c r="X209" s="337" t="str">
        <f>IF(wld_az1_rack6_host8_fqdn="Value Missing",wld_az1_rack6_host8_fqdn,LEFT(wld_az1_rack6_host8_fqdn,FIND(".",wld_az1_rack6_host8_fqdn)-1))</f>
        <v>Value Missing</v>
      </c>
      <c r="Y209" s="2"/>
      <c r="Z209" s="4" t="s">
        <v>1522</v>
      </c>
      <c r="AA209" s="337" t="str">
        <f>IF(wld_az1_rack7_host8_fqdn="Value Missing",wld_az1_rack7_host8_fqdn,LEFT(wld_az1_rack7_host8_fqdn,FIND(".",wld_az1_rack7_host8_fqdn)-1))</f>
        <v>Value Missing</v>
      </c>
      <c r="AB209" s="2"/>
      <c r="AC209" s="4" t="s">
        <v>1522</v>
      </c>
      <c r="AD209" s="337" t="str">
        <f>IF(wld_az1_rack8_host8_fqdn="Value Missing",wld_az1_rack8_host8_fqdn,LEFT(wld_az1_rack8_host8_fqdn,FIND(".",wld_az1_rack8_host8_fqdn)-1))</f>
        <v>Value Missing</v>
      </c>
    </row>
    <row r="210" spans="5:30" ht="20.05" customHeight="1" x14ac:dyDescent="0.35">
      <c r="E210" s="4" t="s">
        <v>1523</v>
      </c>
      <c r="F210" s="337" t="str">
        <f>IF(ISBLANK(input_mgmt_az1_host12_vrms_ip),"Value Missing",input_mgmt_az1_host12_vrms_ip)</f>
        <v>Value Missing</v>
      </c>
      <c r="G210" s="2"/>
      <c r="H210" s="4" t="s">
        <v>1523</v>
      </c>
      <c r="I210" s="337" t="str">
        <f>IF(ISBLANK(input_wld_az1_host12_vrms_ip),"Value Missing",input_wld_az1_host12_vrms_ip)</f>
        <v>Value Missing</v>
      </c>
      <c r="J210" s="2"/>
      <c r="K210" s="4" t="s">
        <v>1524</v>
      </c>
      <c r="L210" s="337" t="str">
        <f>IF(wld_az1_rack2_host9_fqdn="Value Missing",wld_az1_rack2_host9_fqdn,LEFT(wld_az1_rack2_host9_fqdn,FIND(".",wld_az1_rack2_host9_fqdn)-1))</f>
        <v>Value Missing</v>
      </c>
      <c r="M210" s="2"/>
      <c r="N210" s="4" t="s">
        <v>1524</v>
      </c>
      <c r="O210" s="337" t="str">
        <f>IF(wld_az1_rack3_host9_fqdn="Value Missing",wld_az1_rack3_host9_fqdn,LEFT(wld_az1_rack3_host9_fqdn,FIND(".",wld_az1_rack3_host9_fqdn)-1))</f>
        <v>Value Missing</v>
      </c>
      <c r="P210" s="2"/>
      <c r="Q210" s="4" t="s">
        <v>1524</v>
      </c>
      <c r="R210" s="337" t="str">
        <f>IF(wld_az1_rack4_host9_fqdn="Value Missing",wld_az1_rack4_host9_fqdn,LEFT(wld_az1_rack4_host9_fqdn,FIND(".",wld_az1_rack4_host9_fqdn)-1))</f>
        <v>Value Missing</v>
      </c>
      <c r="S210" s="2"/>
      <c r="T210" s="4" t="s">
        <v>1524</v>
      </c>
      <c r="U210" s="337" t="str">
        <f>IF(wld_az1_rack5_host9_fqdn="Value Missing",wld_az1_rack5_host9_fqdn,LEFT(wld_az1_rack5_host9_fqdn,FIND(".",wld_az1_rack5_host9_fqdn)-1))</f>
        <v>Value Missing</v>
      </c>
      <c r="V210" s="2"/>
      <c r="W210" s="4" t="s">
        <v>1524</v>
      </c>
      <c r="X210" s="337" t="str">
        <f>IF(wld_az1_rack6_host9_fqdn="Value Missing",wld_az1_rack6_host9_fqdn,LEFT(wld_az1_rack6_host9_fqdn,FIND(".",wld_az1_rack6_host9_fqdn)-1))</f>
        <v>Value Missing</v>
      </c>
      <c r="Y210" s="2"/>
      <c r="Z210" s="4" t="s">
        <v>1524</v>
      </c>
      <c r="AA210" s="337" t="str">
        <f>IF(wld_az1_rack7_host9_fqdn="Value Missing",wld_az1_rack7_host9_fqdn,LEFT(wld_az1_rack7_host9_fqdn,FIND(".",wld_az1_rack7_host9_fqdn)-1))</f>
        <v>Value Missing</v>
      </c>
      <c r="AB210" s="2"/>
      <c r="AC210" s="4" t="s">
        <v>1524</v>
      </c>
      <c r="AD210" s="337" t="str">
        <f>IF(wld_az1_rack8_host9_fqdn="Value Missing",wld_az1_rack8_host9_fqdn,LEFT(wld_az1_rack8_host9_fqdn,FIND(".",wld_az1_rack8_host9_fqdn)-1))</f>
        <v>Value Missing</v>
      </c>
    </row>
    <row r="211" spans="5:30" ht="20.05" customHeight="1" x14ac:dyDescent="0.35">
      <c r="E211" s="4" t="s">
        <v>1525</v>
      </c>
      <c r="F211" s="337" t="str">
        <f>IF(ISBLANK(input_mgmt_az1_host13_vrms_ip),"Value Missing",input_mgmt_az1_host13_vrms_ip)</f>
        <v>Value Missing</v>
      </c>
      <c r="G211" s="2"/>
      <c r="H211" s="4" t="s">
        <v>1525</v>
      </c>
      <c r="I211" s="337" t="str">
        <f>IF(ISBLANK(input_wld_az1_host13_vrms_ip),"Value Missing",input_wld_az1_host13_vrms_ip)</f>
        <v>Value Missing</v>
      </c>
      <c r="J211" s="2"/>
      <c r="K211" s="4" t="s">
        <v>1526</v>
      </c>
      <c r="L211" s="337" t="str">
        <f>IF(wld_az1_rack2_host10_fqdn="Value Missing",wld_az1_rack2_host10_fqdn,LEFT(wld_az1_rack2_host10_fqdn,FIND(".",wld_az1_rack2_host10_fqdn)-1))</f>
        <v>Value Missing</v>
      </c>
      <c r="M211" s="2"/>
      <c r="N211" s="4" t="s">
        <v>1526</v>
      </c>
      <c r="O211" s="337" t="str">
        <f>IF(wld_az1_rack3_host10_fqdn="Value Missing",wld_az1_rack3_host10_fqdn,LEFT(wld_az1_rack3_host10_fqdn,FIND(".",wld_az1_rack3_host10_fqdn)-1))</f>
        <v>Value Missing</v>
      </c>
      <c r="P211" s="2"/>
      <c r="Q211" s="4" t="s">
        <v>1526</v>
      </c>
      <c r="R211" s="337" t="str">
        <f>IF(wld_az1_rack4_host10_fqdn="Value Missing",wld_az1_rack4_host10_fqdn,LEFT(wld_az1_rack4_host10_fqdn,FIND(".",wld_az1_rack4_host10_fqdn)-1))</f>
        <v>Value Missing</v>
      </c>
      <c r="S211" s="2"/>
      <c r="T211" s="4" t="s">
        <v>1526</v>
      </c>
      <c r="U211" s="337" t="str">
        <f>IF(wld_az1_rack5_host10_fqdn="Value Missing",wld_az1_rack5_host10_fqdn,LEFT(wld_az1_rack5_host10_fqdn,FIND(".",wld_az1_rack5_host10_fqdn)-1))</f>
        <v>Value Missing</v>
      </c>
      <c r="V211" s="2"/>
      <c r="W211" s="4" t="s">
        <v>1526</v>
      </c>
      <c r="X211" s="337" t="str">
        <f>IF(wld_az1_rack6_host10_fqdn="Value Missing",wld_az1_rack6_host10_fqdn,LEFT(wld_az1_rack6_host10_fqdn,FIND(".",wld_az1_rack6_host10_fqdn)-1))</f>
        <v>Value Missing</v>
      </c>
      <c r="Y211" s="2"/>
      <c r="Z211" s="4" t="s">
        <v>1526</v>
      </c>
      <c r="AA211" s="337" t="str">
        <f>IF(wld_az1_rack7_host10_fqdn="Value Missing",wld_az1_rack7_host10_fqdn,LEFT(wld_az1_rack7_host10_fqdn,FIND(".",wld_az1_rack7_host10_fqdn)-1))</f>
        <v>Value Missing</v>
      </c>
      <c r="AB211" s="2"/>
      <c r="AC211" s="4" t="s">
        <v>1526</v>
      </c>
      <c r="AD211" s="337" t="str">
        <f>IF(wld_az1_rack8_host10_fqdn="Value Missing",wld_az1_rack8_host10_fqdn,LEFT(wld_az1_rack8_host10_fqdn,FIND(".",wld_az1_rack8_host10_fqdn)-1))</f>
        <v>Value Missing</v>
      </c>
    </row>
    <row r="212" spans="5:30" ht="20.05" customHeight="1" x14ac:dyDescent="0.35">
      <c r="E212" s="4" t="s">
        <v>1527</v>
      </c>
      <c r="F212" s="337" t="str">
        <f>IF(ISBLANK(input_mgmt_az1_host14_vrms_ip),"Value Missing",input_mgmt_az1_host14_vrms_ip)</f>
        <v>Value Missing</v>
      </c>
      <c r="G212" s="15"/>
      <c r="H212" s="4" t="s">
        <v>1527</v>
      </c>
      <c r="I212" s="337" t="str">
        <f>IF(ISBLANK(input_wld_az1_host14_vrms_ip),"Value Missing",input_wld_az1_host14_vrms_ip)</f>
        <v>Value Missing</v>
      </c>
      <c r="J212" s="15"/>
      <c r="K212" s="4" t="s">
        <v>1528</v>
      </c>
      <c r="L212" s="337" t="str">
        <f>IF(wld_az1_rack2_host11_fqdn="Value Missing",wld_az1_rack2_host11_fqdn,LEFT(wld_az1_rack2_host11_fqdn,FIND(".",wld_az1_rack2_host11_fqdn)-1))</f>
        <v>Value Missing</v>
      </c>
      <c r="M212" s="2"/>
      <c r="N212" s="4" t="s">
        <v>1528</v>
      </c>
      <c r="O212" s="337" t="str">
        <f>IF(wld_az1_rack3_host11_fqdn="Value Missing",wld_az1_rack3_host11_fqdn,LEFT(wld_az1_rack3_host11_fqdn,FIND(".",wld_az1_rack3_host11_fqdn)-1))</f>
        <v>Value Missing</v>
      </c>
      <c r="P212" s="2"/>
      <c r="Q212" s="4" t="s">
        <v>1528</v>
      </c>
      <c r="R212" s="337" t="str">
        <f>IF(wld_az1_rack4_host11_fqdn="Value Missing",wld_az1_rack4_host11_fqdn,LEFT(wld_az1_rack4_host11_fqdn,FIND(".",wld_az1_rack4_host11_fqdn)-1))</f>
        <v>Value Missing</v>
      </c>
      <c r="S212" s="2"/>
      <c r="T212" s="4" t="s">
        <v>1528</v>
      </c>
      <c r="U212" s="337" t="str">
        <f>IF(wld_az1_rack5_host11_fqdn="Value Missing",wld_az1_rack5_host11_fqdn,LEFT(wld_az1_rack5_host11_fqdn,FIND(".",wld_az1_rack5_host11_fqdn)-1))</f>
        <v>Value Missing</v>
      </c>
      <c r="V212" s="2"/>
      <c r="W212" s="4" t="s">
        <v>1528</v>
      </c>
      <c r="X212" s="337" t="str">
        <f>IF(wld_az1_rack6_host11_fqdn="Value Missing",wld_az1_rack6_host11_fqdn,LEFT(wld_az1_rack6_host11_fqdn,FIND(".",wld_az1_rack6_host11_fqdn)-1))</f>
        <v>Value Missing</v>
      </c>
      <c r="Y212" s="2"/>
      <c r="Z212" s="4" t="s">
        <v>1528</v>
      </c>
      <c r="AA212" s="337" t="str">
        <f>IF(wld_az1_rack7_host11_fqdn="Value Missing",wld_az1_rack7_host11_fqdn,LEFT(wld_az1_rack7_host11_fqdn,FIND(".",wld_az1_rack7_host11_fqdn)-1))</f>
        <v>Value Missing</v>
      </c>
      <c r="AB212" s="2"/>
      <c r="AC212" s="4" t="s">
        <v>1528</v>
      </c>
      <c r="AD212" s="337" t="str">
        <f>IF(wld_az1_rack8_host11_fqdn="Value Missing",wld_az1_rack8_host11_fqdn,LEFT(wld_az1_rack8_host11_fqdn,FIND(".",wld_az1_rack8_host11_fqdn)-1))</f>
        <v>Value Missing</v>
      </c>
    </row>
    <row r="213" spans="5:30" ht="20.05" customHeight="1" x14ac:dyDescent="0.35">
      <c r="E213" s="4" t="s">
        <v>1529</v>
      </c>
      <c r="F213" s="337" t="str">
        <f>IF(ISBLANK(input_mgmt_az1_host15_vrms_ip),"Value Missing",input_mgmt_az1_host15_vrms_ip)</f>
        <v>Value Missing</v>
      </c>
      <c r="G213" s="2"/>
      <c r="H213" s="4" t="s">
        <v>1529</v>
      </c>
      <c r="I213" s="337" t="str">
        <f>IF(ISBLANK(input_wld_az1_host15_vrms_ip),"Value Missing",input_wld_az1_host15_vrms_ip)</f>
        <v>Value Missing</v>
      </c>
      <c r="J213" s="2"/>
      <c r="K213" s="4" t="s">
        <v>1530</v>
      </c>
      <c r="L213" s="337" t="str">
        <f>IF(wld_az1_rack2_host12_fqdn="Value Missing",wld_az1_rack2_host12_fqdn,LEFT(wld_az1_rack2_host12_fqdn,FIND(".",wld_az1_rack2_host12_fqdn)-1))</f>
        <v>Value Missing</v>
      </c>
      <c r="M213" s="2"/>
      <c r="N213" s="4" t="s">
        <v>1530</v>
      </c>
      <c r="O213" s="337" t="str">
        <f>IF(wld_az1_rack3_host12_fqdn="Value Missing",wld_az1_rack3_host12_fqdn,LEFT(wld_az1_rack3_host12_fqdn,FIND(".",wld_az1_rack3_host12_fqdn)-1))</f>
        <v>Value Missing</v>
      </c>
      <c r="P213" s="2"/>
      <c r="Q213" s="4" t="s">
        <v>1530</v>
      </c>
      <c r="R213" s="337" t="str">
        <f>IF(wld_az1_rack4_host12_fqdn="Value Missing",wld_az1_rack4_host12_fqdn,LEFT(wld_az1_rack4_host12_fqdn,FIND(".",wld_az1_rack4_host12_fqdn)-1))</f>
        <v>Value Missing</v>
      </c>
      <c r="S213" s="2"/>
      <c r="T213" s="4" t="s">
        <v>1530</v>
      </c>
      <c r="U213" s="337" t="str">
        <f>IF(wld_az1_rack5_host12_fqdn="Value Missing",wld_az1_rack5_host12_fqdn,LEFT(wld_az1_rack5_host12_fqdn,FIND(".",wld_az1_rack5_host12_fqdn)-1))</f>
        <v>Value Missing</v>
      </c>
      <c r="V213" s="2"/>
      <c r="W213" s="4" t="s">
        <v>1530</v>
      </c>
      <c r="X213" s="337" t="str">
        <f>IF(wld_az1_rack6_host12_fqdn="Value Missing",wld_az1_rack6_host12_fqdn,LEFT(wld_az1_rack6_host12_fqdn,FIND(".",wld_az1_rack6_host12_fqdn)-1))</f>
        <v>Value Missing</v>
      </c>
      <c r="Y213" s="2"/>
      <c r="Z213" s="4" t="s">
        <v>1530</v>
      </c>
      <c r="AA213" s="337" t="str">
        <f>IF(wld_az1_rack7_host12_fqdn="Value Missing",wld_az1_rack7_host12_fqdn,LEFT(wld_az1_rack7_host12_fqdn,FIND(".",wld_az1_rack7_host12_fqdn)-1))</f>
        <v>Value Missing</v>
      </c>
      <c r="AB213" s="2"/>
      <c r="AC213" s="4" t="s">
        <v>1530</v>
      </c>
      <c r="AD213" s="337" t="str">
        <f>IF(wld_az1_rack8_host12_fqdn="Value Missing",wld_az1_rack8_host12_fqdn,LEFT(wld_az1_rack8_host12_fqdn,FIND(".",wld_az1_rack8_host12_fqdn)-1))</f>
        <v>Value Missing</v>
      </c>
    </row>
    <row r="214" spans="5:30" ht="20.05" customHeight="1" x14ac:dyDescent="0.35">
      <c r="E214" s="4" t="s">
        <v>1531</v>
      </c>
      <c r="F214" s="337" t="str">
        <f>IF(ISBLANK(input_mgmt_az1_host16_vrms_ip),"Value Missing",input_mgmt_az1_host16_vrms_ip)</f>
        <v>Value Missing</v>
      </c>
      <c r="G214" s="2"/>
      <c r="H214" s="4" t="s">
        <v>1531</v>
      </c>
      <c r="I214" s="337" t="str">
        <f>IF(ISBLANK(input_wld_az1_host16_vrms_ip),"Value Missing",input_wld_az1_host16_vrms_ip)</f>
        <v>Value Missing</v>
      </c>
      <c r="J214" s="2"/>
      <c r="K214" s="4" t="s">
        <v>1532</v>
      </c>
      <c r="L214" s="337" t="str">
        <f>IF(wld_az1_rack2_host13_fqdn="Value Missing",wld_az1_rack2_host13_fqdn,LEFT(wld_az1_rack2_host13_fqdn,FIND(".",wld_az1_rack2_host13_fqdn)-1))</f>
        <v>Value Missing</v>
      </c>
      <c r="M214" s="2"/>
      <c r="N214" s="4" t="s">
        <v>1532</v>
      </c>
      <c r="O214" s="337" t="str">
        <f>IF(wld_az1_rack3_host13_fqdn="Value Missing",wld_az1_rack3_host13_fqdn,LEFT(wld_az1_rack3_host13_fqdn,FIND(".",wld_az1_rack3_host13_fqdn)-1))</f>
        <v>Value Missing</v>
      </c>
      <c r="P214" s="2"/>
      <c r="Q214" s="4" t="s">
        <v>1532</v>
      </c>
      <c r="R214" s="337" t="str">
        <f>IF(wld_az1_rack4_host13_fqdn="Value Missing",wld_az1_rack4_host13_fqdn,LEFT(wld_az1_rack4_host13_fqdn,FIND(".",wld_az1_rack4_host13_fqdn)-1))</f>
        <v>Value Missing</v>
      </c>
      <c r="S214" s="2"/>
      <c r="T214" s="4" t="s">
        <v>1532</v>
      </c>
      <c r="U214" s="337" t="str">
        <f>IF(wld_az1_rack5_host13_fqdn="Value Missing",wld_az1_rack5_host13_fqdn,LEFT(wld_az1_rack5_host13_fqdn,FIND(".",wld_az1_rack5_host13_fqdn)-1))</f>
        <v>Value Missing</v>
      </c>
      <c r="V214" s="2"/>
      <c r="W214" s="4" t="s">
        <v>1532</v>
      </c>
      <c r="X214" s="337" t="str">
        <f>IF(wld_az1_rack6_host13_fqdn="Value Missing",wld_az1_rack6_host13_fqdn,LEFT(wld_az1_rack6_host13_fqdn,FIND(".",wld_az1_rack6_host13_fqdn)-1))</f>
        <v>Value Missing</v>
      </c>
      <c r="Y214" s="2"/>
      <c r="Z214" s="4" t="s">
        <v>1532</v>
      </c>
      <c r="AA214" s="337" t="str">
        <f>IF(wld_az1_rack7_host13_fqdn="Value Missing",wld_az1_rack7_host13_fqdn,LEFT(wld_az1_rack7_host13_fqdn,FIND(".",wld_az1_rack7_host13_fqdn)-1))</f>
        <v>Value Missing</v>
      </c>
      <c r="AB214" s="2"/>
      <c r="AC214" s="4" t="s">
        <v>1532</v>
      </c>
      <c r="AD214" s="337" t="str">
        <f>IF(wld_az1_rack8_host13_fqdn="Value Missing",wld_az1_rack8_host13_fqdn,LEFT(wld_az1_rack8_host13_fqdn,FIND(".",wld_az1_rack8_host13_fqdn)-1))</f>
        <v>Value Missing</v>
      </c>
    </row>
    <row r="215" spans="5:30" ht="20.05" customHeight="1" x14ac:dyDescent="0.35">
      <c r="E215" s="2"/>
      <c r="F215" s="2"/>
      <c r="G215" s="2"/>
      <c r="H215" s="2"/>
      <c r="I215" s="2"/>
      <c r="J215" s="2"/>
      <c r="K215" s="4" t="s">
        <v>1533</v>
      </c>
      <c r="L215" s="337" t="str">
        <f>IF(wld_az1_rack2_host14_fqdn="Value Missing",wld_az1_rack2_host14_fqdn,LEFT(wld_az1_rack2_host14_fqdn,FIND(".",wld_az1_rack2_host14_fqdn)-1))</f>
        <v>Value Missing</v>
      </c>
      <c r="M215" s="15"/>
      <c r="N215" s="4" t="s">
        <v>1533</v>
      </c>
      <c r="O215" s="337" t="str">
        <f>IF(wld_az1_rack3_host14_fqdn="Value Missing",wld_az1_rack3_host14_fqdn,LEFT(wld_az1_rack3_host14_fqdn,FIND(".",wld_az1_rack3_host14_fqdn)-1))</f>
        <v>Value Missing</v>
      </c>
      <c r="P215" s="2"/>
      <c r="Q215" s="4" t="s">
        <v>1533</v>
      </c>
      <c r="R215" s="337" t="str">
        <f>IF(wld_az1_rack4_host14_fqdn="Value Missing",wld_az1_rack4_host14_fqdn,LEFT(wld_az1_rack4_host14_fqdn,FIND(".",wld_az1_rack4_host14_fqdn)-1))</f>
        <v>Value Missing</v>
      </c>
      <c r="S215" s="2"/>
      <c r="T215" s="4" t="s">
        <v>1533</v>
      </c>
      <c r="U215" s="337" t="str">
        <f>IF(wld_az1_rack5_host14_fqdn="Value Missing",wld_az1_rack5_host14_fqdn,LEFT(wld_az1_rack5_host14_fqdn,FIND(".",wld_az1_rack5_host14_fqdn)-1))</f>
        <v>Value Missing</v>
      </c>
      <c r="V215" s="2"/>
      <c r="W215" s="4" t="s">
        <v>1533</v>
      </c>
      <c r="X215" s="337" t="str">
        <f>IF(wld_az1_rack6_host14_fqdn="Value Missing",wld_az1_rack6_host14_fqdn,LEFT(wld_az1_rack6_host14_fqdn,FIND(".",wld_az1_rack6_host14_fqdn)-1))</f>
        <v>Value Missing</v>
      </c>
      <c r="Y215" s="2"/>
      <c r="Z215" s="4" t="s">
        <v>1533</v>
      </c>
      <c r="AA215" s="337" t="str">
        <f>IF(wld_az1_rack7_host14_fqdn="Value Missing",wld_az1_rack7_host14_fqdn,LEFT(wld_az1_rack7_host14_fqdn,FIND(".",wld_az1_rack7_host14_fqdn)-1))</f>
        <v>Value Missing</v>
      </c>
      <c r="AB215" s="2"/>
      <c r="AC215" s="4" t="s">
        <v>1533</v>
      </c>
      <c r="AD215" s="337" t="str">
        <f>IF(wld_az1_rack8_host14_fqdn="Value Missing",wld_az1_rack8_host14_fqdn,LEFT(wld_az1_rack8_host14_fqdn,FIND(".",wld_az1_rack8_host14_fqdn)-1))</f>
        <v>Value Missing</v>
      </c>
    </row>
    <row r="216" spans="5:30" ht="20.05" customHeight="1" x14ac:dyDescent="0.35">
      <c r="E216" s="576" t="s">
        <v>1534</v>
      </c>
      <c r="F216" s="577"/>
      <c r="G216" s="2"/>
      <c r="H216" s="576" t="s">
        <v>1535</v>
      </c>
      <c r="I216" s="577"/>
      <c r="J216" s="2"/>
      <c r="K216" s="4" t="s">
        <v>1536</v>
      </c>
      <c r="L216" s="337" t="str">
        <f>IF(wld_az1_rack2_host15_fqdn="Value Missing",wld_az1_rack2_host15_fqdn,LEFT(wld_az1_rack2_host15_fqdn,FIND(".",wld_az1_rack2_host15_fqdn)-1))</f>
        <v>Value Missing</v>
      </c>
      <c r="M216" s="2"/>
      <c r="N216" s="4" t="s">
        <v>1536</v>
      </c>
      <c r="O216" s="337" t="str">
        <f>IF(wld_az1_rack3_host15_fqdn="Value Missing",wld_az1_rack3_host15_fqdn,LEFT(wld_az1_rack3_host15_fqdn,FIND(".",wld_az1_rack3_host15_fqdn)-1))</f>
        <v>Value Missing</v>
      </c>
      <c r="P216" s="2"/>
      <c r="Q216" s="4" t="s">
        <v>1536</v>
      </c>
      <c r="R216" s="337" t="str">
        <f>IF(wld_az1_rack4_host15_fqdn="Value Missing",wld_az1_rack4_host15_fqdn,LEFT(wld_az1_rack4_host15_fqdn,FIND(".",wld_az1_rack4_host15_fqdn)-1))</f>
        <v>Value Missing</v>
      </c>
      <c r="S216" s="2"/>
      <c r="T216" s="4" t="s">
        <v>1536</v>
      </c>
      <c r="U216" s="337" t="str">
        <f>IF(wld_az1_rack5_host15_fqdn="Value Missing",wld_az1_rack5_host15_fqdn,LEFT(wld_az1_rack5_host15_fqdn,FIND(".",wld_az1_rack5_host15_fqdn)-1))</f>
        <v>Value Missing</v>
      </c>
      <c r="V216" s="2"/>
      <c r="W216" s="4" t="s">
        <v>1536</v>
      </c>
      <c r="X216" s="337" t="str">
        <f>IF(wld_az1_rack6_host15_fqdn="Value Missing",wld_az1_rack6_host15_fqdn,LEFT(wld_az1_rack6_host15_fqdn,FIND(".",wld_az1_rack6_host15_fqdn)-1))</f>
        <v>Value Missing</v>
      </c>
      <c r="Y216" s="2"/>
      <c r="Z216" s="4" t="s">
        <v>1536</v>
      </c>
      <c r="AA216" s="337" t="str">
        <f>IF(wld_az1_rack7_host15_fqdn="Value Missing",wld_az1_rack7_host15_fqdn,LEFT(wld_az1_rack7_host15_fqdn,FIND(".",wld_az1_rack7_host15_fqdn)-1))</f>
        <v>Value Missing</v>
      </c>
      <c r="AB216" s="2"/>
      <c r="AC216" s="4" t="s">
        <v>1536</v>
      </c>
      <c r="AD216" s="337" t="str">
        <f>IF(wld_az1_rack8_host15_fqdn="Value Missing",wld_az1_rack8_host15_fqdn,LEFT(wld_az1_rack8_host15_fqdn,FIND(".",wld_az1_rack8_host15_fqdn)-1))</f>
        <v>Value Missing</v>
      </c>
    </row>
    <row r="217" spans="5:30" ht="20.05" customHeight="1" x14ac:dyDescent="0.35">
      <c r="E217" s="11" t="s">
        <v>261</v>
      </c>
      <c r="F217" s="14" t="s">
        <v>1269</v>
      </c>
      <c r="G217" s="2"/>
      <c r="H217" s="11" t="s">
        <v>261</v>
      </c>
      <c r="I217" s="14" t="s">
        <v>19</v>
      </c>
      <c r="J217" s="2"/>
      <c r="K217" s="4" t="s">
        <v>1537</v>
      </c>
      <c r="L217" s="337" t="str">
        <f>IF(wld_az1_rack2_host16_fqdn="Value Missing",wld_az1_rack2_host16_fqdn,LEFT(wld_az1_rack2_host16_fqdn,FIND(".",wld_az1_rack2_host16_fqdn)-1))</f>
        <v>Value Missing</v>
      </c>
      <c r="M217" s="2"/>
      <c r="N217" s="4" t="s">
        <v>1537</v>
      </c>
      <c r="O217" s="337" t="str">
        <f>IF(wld_az1_rack3_host16_fqdn="Value Missing",wld_az1_rack3_host16_fqdn,LEFT(wld_az1_rack3_host16_fqdn,FIND(".",wld_az1_rack3_host16_fqdn)-1))</f>
        <v>Value Missing</v>
      </c>
      <c r="P217" s="2"/>
      <c r="Q217" s="4" t="s">
        <v>1537</v>
      </c>
      <c r="R217" s="337" t="str">
        <f>IF(wld_az1_rack4_host16_fqdn="Value Missing",wld_az1_rack4_host16_fqdn,LEFT(wld_az1_rack4_host16_fqdn,FIND(".",wld_az1_rack4_host16_fqdn)-1))</f>
        <v>Value Missing</v>
      </c>
      <c r="S217" s="2"/>
      <c r="T217" s="4" t="s">
        <v>1537</v>
      </c>
      <c r="U217" s="337" t="str">
        <f>IF(wld_az1_rack5_host16_fqdn="Value Missing",wld_az1_rack5_host16_fqdn,LEFT(wld_az1_rack5_host16_fqdn,FIND(".",wld_az1_rack5_host16_fqdn)-1))</f>
        <v>Value Missing</v>
      </c>
      <c r="V217" s="2"/>
      <c r="W217" s="4" t="s">
        <v>1537</v>
      </c>
      <c r="X217" s="337" t="str">
        <f>IF(wld_az1_rack6_host16_fqdn="Value Missing",wld_az1_rack6_host16_fqdn,LEFT(wld_az1_rack6_host16_fqdn,FIND(".",wld_az1_rack6_host16_fqdn)-1))</f>
        <v>Value Missing</v>
      </c>
      <c r="Y217" s="2"/>
      <c r="Z217" s="4" t="s">
        <v>1537</v>
      </c>
      <c r="AA217" s="337" t="str">
        <f>IF(wld_az1_rack7_host16_fqdn="Value Missing",wld_az1_rack7_host16_fqdn,LEFT(wld_az1_rack7_host16_fqdn,FIND(".",wld_az1_rack7_host16_fqdn)-1))</f>
        <v>Value Missing</v>
      </c>
      <c r="AB217" s="2"/>
      <c r="AC217" s="4" t="s">
        <v>1537</v>
      </c>
      <c r="AD217" s="337" t="str">
        <f>IF(wld_az1_rack8_host16_fqdn="Value Missing",wld_az1_rack8_host16_fqdn,LEFT(wld_az1_rack8_host16_fqdn,FIND(".",wld_az1_rack8_host16_fqdn)-1))</f>
        <v>Value Missing</v>
      </c>
    </row>
    <row r="218" spans="5:30" ht="20.05" customHeight="1" x14ac:dyDescent="0.35">
      <c r="E218" s="4" t="s">
        <v>1508</v>
      </c>
      <c r="F218" s="337" t="str">
        <f>IF(mgmt_az1_host1_fqdn="Value Missing",mgmt_az1_host1_fqdn,LEFT(mgmt_az1_host1_fqdn,FIND(".",mgmt_az1_host1_fqdn)-1))</f>
        <v>Value Missing</v>
      </c>
      <c r="G218" s="2"/>
      <c r="H218" s="4" t="s">
        <v>1508</v>
      </c>
      <c r="I218" s="337" t="str">
        <f>IF(wld_az1_host1_fqdn="Value Missing",wld_az1_host1_fqdn,LEFT(wld_az1_host1_fqdn,FIND(".",wld_az1_host1_fqdn)-1))</f>
        <v>Value Missing</v>
      </c>
      <c r="J218" s="2"/>
      <c r="K218" s="2"/>
      <c r="L218" s="2"/>
      <c r="M218" s="2"/>
      <c r="N218" s="7"/>
      <c r="O218" s="7"/>
      <c r="P218" s="2"/>
      <c r="Q218" s="2"/>
      <c r="R218" s="2"/>
      <c r="S218" s="2"/>
      <c r="T218" s="2"/>
      <c r="U218" s="2"/>
      <c r="V218" s="2"/>
      <c r="W218" s="2"/>
      <c r="X218" s="2"/>
      <c r="Y218" s="2"/>
      <c r="Z218" s="2"/>
      <c r="AA218" s="2"/>
      <c r="AB218" s="2"/>
      <c r="AC218" s="2"/>
      <c r="AD218" s="2"/>
    </row>
    <row r="219" spans="5:30" ht="20.05" customHeight="1" x14ac:dyDescent="0.35">
      <c r="E219" s="4" t="s">
        <v>1510</v>
      </c>
      <c r="F219" s="337" t="str">
        <f>IF(mgmt_az1_host2_fqdn="Value Missing",mgmt_az1_host2_fqdn,LEFT(mgmt_az1_host2_fqdn,FIND(".",mgmt_az1_host2_fqdn)-1))</f>
        <v>Value Missing</v>
      </c>
      <c r="G219" s="2"/>
      <c r="H219" s="4" t="s">
        <v>1510</v>
      </c>
      <c r="I219" s="337" t="str">
        <f>IF(wld_az1_host2_fqdn="Value Missing",wld_az1_host2_fqdn,LEFT(wld_az1_host2_fqdn,FIND(".",wld_az1_host2_fqdn)-1))</f>
        <v>Value Missing</v>
      </c>
      <c r="J219" s="2"/>
      <c r="K219" s="379" t="s">
        <v>1538</v>
      </c>
      <c r="L219" s="380"/>
      <c r="M219" s="2"/>
      <c r="N219" s="379" t="s">
        <v>1539</v>
      </c>
      <c r="O219" s="380"/>
      <c r="P219" s="2"/>
      <c r="Q219" s="379" t="s">
        <v>1540</v>
      </c>
      <c r="R219" s="380"/>
      <c r="S219" s="2"/>
      <c r="T219" s="379" t="s">
        <v>1541</v>
      </c>
      <c r="U219" s="380"/>
      <c r="V219" s="2"/>
      <c r="W219" s="379" t="s">
        <v>1542</v>
      </c>
      <c r="X219" s="380"/>
      <c r="Y219" s="2"/>
      <c r="Z219" s="379" t="s">
        <v>1543</v>
      </c>
      <c r="AA219" s="380"/>
      <c r="AB219" s="2"/>
      <c r="AC219" s="379" t="s">
        <v>1544</v>
      </c>
      <c r="AD219" s="380"/>
    </row>
    <row r="220" spans="5:30" ht="20.05" customHeight="1" x14ac:dyDescent="0.35">
      <c r="E220" s="4" t="s">
        <v>1512</v>
      </c>
      <c r="F220" s="337" t="str">
        <f>IF(mgmt_az1_host3_fqdn="Value Missing",mgmt_az1_host3_fqdn,LEFT(mgmt_az1_host3_fqdn,FIND(".",mgmt_az1_host3_fqdn)-1))</f>
        <v>Value Missing</v>
      </c>
      <c r="G220" s="2"/>
      <c r="H220" s="4" t="s">
        <v>1512</v>
      </c>
      <c r="I220" s="337" t="str">
        <f>IF(wld_az1_host3_fqdn="Value Missing",wld_az1_host3_fqdn,LEFT(wld_az1_host3_fqdn,FIND(".",wld_az1_host3_fqdn)-1))</f>
        <v>Value Missing</v>
      </c>
      <c r="J220" s="2"/>
      <c r="K220" s="13" t="s">
        <v>261</v>
      </c>
      <c r="L220" s="14" t="s">
        <v>19</v>
      </c>
      <c r="M220" s="2"/>
      <c r="N220" s="13" t="s">
        <v>261</v>
      </c>
      <c r="O220" s="14" t="s">
        <v>19</v>
      </c>
      <c r="P220" s="15"/>
      <c r="Q220" s="13" t="s">
        <v>261</v>
      </c>
      <c r="R220" s="14" t="s">
        <v>19</v>
      </c>
      <c r="S220" s="15"/>
      <c r="T220" s="13" t="s">
        <v>261</v>
      </c>
      <c r="U220" s="14" t="s">
        <v>19</v>
      </c>
      <c r="V220" s="15"/>
      <c r="W220" s="13" t="s">
        <v>261</v>
      </c>
      <c r="X220" s="14" t="s">
        <v>19</v>
      </c>
      <c r="Y220" s="15"/>
      <c r="Z220" s="13" t="s">
        <v>261</v>
      </c>
      <c r="AA220" s="14" t="s">
        <v>19</v>
      </c>
      <c r="AB220" s="15"/>
      <c r="AC220" s="13" t="s">
        <v>261</v>
      </c>
      <c r="AD220" s="14" t="s">
        <v>19</v>
      </c>
    </row>
    <row r="221" spans="5:30" ht="20.05" customHeight="1" x14ac:dyDescent="0.35">
      <c r="E221" s="4" t="s">
        <v>1514</v>
      </c>
      <c r="F221" s="337" t="str">
        <f>IF(mgmt_az1_host4_fqdn="Value Missing",mgmt_az1_host4_fqdn,LEFT(mgmt_az1_host4_fqdn,FIND(".",mgmt_az1_host4_fqdn)-1))</f>
        <v>Value Missing</v>
      </c>
      <c r="H221" s="4" t="s">
        <v>1514</v>
      </c>
      <c r="I221" s="337" t="str">
        <f>IF(wld_az1_host4_fqdn="Value Missing",wld_az1_host4_fqdn,LEFT(wld_az1_host4_fqdn,FIND(".",wld_az1_host4_fqdn)-1))</f>
        <v>Value Missing</v>
      </c>
      <c r="K221" s="4" t="s">
        <v>1508</v>
      </c>
      <c r="L221" s="337" t="str">
        <f>IF(ISBLANK(input_wld_az1_rack2_host1_fqdn),"Value Missing",input_wld_az1_rack2_host1_fqdn)</f>
        <v>Value Missing</v>
      </c>
      <c r="M221" s="2"/>
      <c r="N221" s="4" t="s">
        <v>1508</v>
      </c>
      <c r="O221" s="337" t="str">
        <f>IF(ISBLANK(input_wld_az1_rack3_host1_fqdn),"Value Missing",input_wld_az1_rack3_host1_fqdn)</f>
        <v>Value Missing</v>
      </c>
      <c r="P221" s="2"/>
      <c r="Q221" s="4" t="s">
        <v>1508</v>
      </c>
      <c r="R221" s="337" t="str">
        <f>IF(ISBLANK(input_wld_az1_rack4_host1_fqdn),"Value Missing",input_wld_az1_rack4_host1_fqdn)</f>
        <v>Value Missing</v>
      </c>
      <c r="S221" s="2"/>
      <c r="T221" s="4" t="s">
        <v>1508</v>
      </c>
      <c r="U221" s="337" t="str">
        <f>IF(ISBLANK(input_wld_az1_rack5_host1_fqdn),"Value Missing",input_wld_az1_rack5_host1_fqdn)</f>
        <v>Value Missing</v>
      </c>
      <c r="V221" s="2"/>
      <c r="W221" s="4" t="s">
        <v>1508</v>
      </c>
      <c r="X221" s="337" t="str">
        <f>IF(ISBLANK(input_wld_az1_rack6_host1_fqdn),"Value Missing",input_wld_az1_rack6_host1_fqdn)</f>
        <v>Value Missing</v>
      </c>
      <c r="Y221" s="2"/>
      <c r="Z221" s="4" t="s">
        <v>1508</v>
      </c>
      <c r="AA221" s="337" t="str">
        <f>IF(ISBLANK(input_wld_az1_rack7_host1_fqdn),"Value Missing",input_wld_az1_rack7_host1_fqdn)</f>
        <v>Value Missing</v>
      </c>
      <c r="AB221" s="2"/>
      <c r="AC221" s="4" t="s">
        <v>1508</v>
      </c>
      <c r="AD221" s="337" t="str">
        <f>IF(ISBLANK(input_wld_az1_rack8_host1_fqdn),"Value Missing",input_wld_az1_rack8_host1_fqdn)</f>
        <v>Value Missing</v>
      </c>
    </row>
    <row r="222" spans="5:30" ht="20.05" customHeight="1" x14ac:dyDescent="0.35">
      <c r="E222" s="4" t="s">
        <v>1516</v>
      </c>
      <c r="F222" s="337" t="str">
        <f>IF(mgmt_az1_host5_fqdn="Value Missing",mgmt_az1_host5_fqdn,LEFT(mgmt_az1_host5_fqdn,FIND(".",mgmt_az1_host5_fqdn)-1))</f>
        <v>Value Missing</v>
      </c>
      <c r="H222" s="4" t="s">
        <v>1516</v>
      </c>
      <c r="I222" s="337" t="str">
        <f>IF(wld_az1_host5_fqdn="Value Missing",wld_az1_host5_fqdn,LEFT(wld_az1_host5_fqdn,FIND(".",wld_az1_host5_fqdn)-1))</f>
        <v>Value Missing</v>
      </c>
      <c r="K222" s="4" t="s">
        <v>1510</v>
      </c>
      <c r="L222" s="337" t="str">
        <f>IF(ISBLANK(input_wld_az1_rack2_host2_fqdn),"Value Missing",input_wld_az1_rack2_host2_fqdn)</f>
        <v>Value Missing</v>
      </c>
      <c r="M222" s="2"/>
      <c r="N222" s="4" t="s">
        <v>1510</v>
      </c>
      <c r="O222" s="337" t="str">
        <f>IF(ISBLANK(input_wld_az1_rack3_host2_fqdn),"Value Missing",input_wld_az1_rack3_host2_fqdn)</f>
        <v>Value Missing</v>
      </c>
      <c r="P222" s="2"/>
      <c r="Q222" s="4" t="s">
        <v>1510</v>
      </c>
      <c r="R222" s="337" t="str">
        <f>IF(ISBLANK(input_wld_az1_rack4_host2_fqdn),"Value Missing",input_wld_az1_rack4_host2_fqdn)</f>
        <v>Value Missing</v>
      </c>
      <c r="S222" s="2"/>
      <c r="T222" s="4" t="s">
        <v>1510</v>
      </c>
      <c r="U222" s="337" t="str">
        <f>IF(ISBLANK(input_wld_az1_rack5_host2_fqdn),"Value Missing",input_wld_az1_rack5_host2_fqdn)</f>
        <v>Value Missing</v>
      </c>
      <c r="V222" s="2"/>
      <c r="W222" s="4" t="s">
        <v>1510</v>
      </c>
      <c r="X222" s="337" t="str">
        <f>IF(ISBLANK(input_wld_az1_rack6_host2_fqdn),"Value Missing",input_wld_az1_rack6_host2_fqdn)</f>
        <v>Value Missing</v>
      </c>
      <c r="Y222" s="2"/>
      <c r="Z222" s="4" t="s">
        <v>1510</v>
      </c>
      <c r="AA222" s="337" t="str">
        <f>IF(ISBLANK(input_wld_az1_rack7_host2_fqdn),"Value Missing",input_wld_az1_rack7_host2_fqdn)</f>
        <v>Value Missing</v>
      </c>
      <c r="AB222" s="2"/>
      <c r="AC222" s="4" t="s">
        <v>1510</v>
      </c>
      <c r="AD222" s="337" t="str">
        <f>IF(ISBLANK(input_wld_az1_rack8_host2_fqdn),"Value Missing",input_wld_az1_rack8_host2_fqdn)</f>
        <v>Value Missing</v>
      </c>
    </row>
    <row r="223" spans="5:30" ht="20.05" customHeight="1" x14ac:dyDescent="0.35">
      <c r="E223" s="4" t="s">
        <v>1518</v>
      </c>
      <c r="F223" s="337" t="str">
        <f>IF(mgmt_az1_host6_fqdn="Value Missing",mgmt_az1_host6_fqdn,LEFT(mgmt_az1_host6_fqdn,FIND(".",mgmt_az1_host6_fqdn)-1))</f>
        <v>Value Missing</v>
      </c>
      <c r="H223" s="4" t="s">
        <v>1518</v>
      </c>
      <c r="I223" s="337" t="str">
        <f>IF(wld_az1_host6_fqdn="Value Missing",wld_az1_host6_fqdn,LEFT(wld_az1_host6_fqdn,FIND(".",wld_az1_host6_fqdn)-1))</f>
        <v>Value Missing</v>
      </c>
      <c r="K223" s="4" t="s">
        <v>1512</v>
      </c>
      <c r="L223" s="337" t="str">
        <f>IF(ISBLANK(input_wld_az1_rack2_host3_fqdn),"Value Missing",input_wld_az1_rack2_host3_fqdn)</f>
        <v>Value Missing</v>
      </c>
      <c r="M223" s="2"/>
      <c r="N223" s="4" t="s">
        <v>1512</v>
      </c>
      <c r="O223" s="337" t="str">
        <f>IF(ISBLANK(input_wld_az1_rack3_host3_fqdn),"Value Missing",input_wld_az1_rack3_host3_fqdn)</f>
        <v>Value Missing</v>
      </c>
      <c r="P223" s="2"/>
      <c r="Q223" s="4" t="s">
        <v>1512</v>
      </c>
      <c r="R223" s="337" t="str">
        <f>IF(ISBLANK(input_wld_az1_rack4_host3_fqdn),"Value Missing",input_wld_az1_rack4_host3_fqdn)</f>
        <v>Value Missing</v>
      </c>
      <c r="S223" s="2"/>
      <c r="T223" s="4" t="s">
        <v>1512</v>
      </c>
      <c r="U223" s="337" t="str">
        <f>IF(ISBLANK(input_wld_az1_rack5_host3_fqdn),"Value Missing",input_wld_az1_rack5_host3_fqdn)</f>
        <v>Value Missing</v>
      </c>
      <c r="V223" s="2"/>
      <c r="W223" s="4" t="s">
        <v>1512</v>
      </c>
      <c r="X223" s="337" t="str">
        <f>IF(ISBLANK(input_wld_az1_rack6_host3_fqdn),"Value Missing",input_wld_az1_rack6_host3_fqdn)</f>
        <v>Value Missing</v>
      </c>
      <c r="Y223" s="2"/>
      <c r="Z223" s="4" t="s">
        <v>1512</v>
      </c>
      <c r="AA223" s="337" t="str">
        <f>IF(ISBLANK(input_wld_az1_rack7_host3_fqdn),"Value Missing",input_wld_az1_rack7_host3_fqdn)</f>
        <v>Value Missing</v>
      </c>
      <c r="AB223" s="2"/>
      <c r="AC223" s="4" t="s">
        <v>1512</v>
      </c>
      <c r="AD223" s="337" t="str">
        <f>IF(ISBLANK(input_wld_az1_rack8_host3_fqdn),"Value Missing",input_wld_az1_rack8_host3_fqdn)</f>
        <v>Value Missing</v>
      </c>
    </row>
    <row r="224" spans="5:30" ht="20.05" customHeight="1" x14ac:dyDescent="0.35">
      <c r="E224" s="4" t="s">
        <v>1520</v>
      </c>
      <c r="F224" s="337" t="str">
        <f>IF(mgmt_az1_host7_fqdn="Value Missing",mgmt_az1_host7_fqdn,LEFT(mgmt_az1_host7_fqdn,FIND(".",mgmt_az1_host7_fqdn)-1))</f>
        <v>Value Missing</v>
      </c>
      <c r="H224" s="4" t="s">
        <v>1520</v>
      </c>
      <c r="I224" s="337" t="str">
        <f>IF(wld_az1_host7_fqdn="Value Missing",wld_az1_host7_fqdn,LEFT(wld_az1_host7_fqdn,FIND(".",wld_az1_host7_fqdn)-1))</f>
        <v>Value Missing</v>
      </c>
      <c r="K224" s="4" t="s">
        <v>1514</v>
      </c>
      <c r="L224" s="337" t="str">
        <f>IF(ISBLANK(input_wld_az1_rack2_host4_fqdn),"Value Missing",input_wld_az1_rack2_host4_fqdn)</f>
        <v>Value Missing</v>
      </c>
      <c r="N224" s="4" t="s">
        <v>1514</v>
      </c>
      <c r="O224" s="337" t="str">
        <f>IF(ISBLANK(input_wld_az1_rack3_host4_fqdn),"Value Missing",input_wld_az1_rack3_host4_fqdn)</f>
        <v>Value Missing</v>
      </c>
      <c r="P224" s="2"/>
      <c r="Q224" s="4" t="s">
        <v>1514</v>
      </c>
      <c r="R224" s="337" t="str">
        <f>IF(ISBLANK(input_wld_az1_rack4_host4_fqdn),"Value Missing",input_wld_az1_rack4_host4_fqdn)</f>
        <v>Value Missing</v>
      </c>
      <c r="S224" s="2"/>
      <c r="T224" s="4" t="s">
        <v>1514</v>
      </c>
      <c r="U224" s="337" t="str">
        <f>IF(ISBLANK(input_wld_az1_rack5_host4_fqdn),"Value Missing",input_wld_az1_rack5_host4_fqdn)</f>
        <v>Value Missing</v>
      </c>
      <c r="V224" s="2"/>
      <c r="W224" s="4" t="s">
        <v>1514</v>
      </c>
      <c r="X224" s="337" t="str">
        <f>IF(ISBLANK(input_wld_az1_rack6_host4_fqdn),"Value Missing",input_wld_az1_rack6_host4_fqdn)</f>
        <v>Value Missing</v>
      </c>
      <c r="Y224" s="2"/>
      <c r="Z224" s="4" t="s">
        <v>1514</v>
      </c>
      <c r="AA224" s="337" t="str">
        <f>IF(ISBLANK(input_wld_az1_rack7_host4_fqdn),"Value Missing",input_wld_az1_rack7_host4_fqdn)</f>
        <v>Value Missing</v>
      </c>
      <c r="AB224" s="2"/>
      <c r="AC224" s="4" t="s">
        <v>1514</v>
      </c>
      <c r="AD224" s="337" t="str">
        <f>IF(ISBLANK(input_wld_az1_rack8_host4_fqdn),"Value Missing",input_wld_az1_rack8_host4_fqdn)</f>
        <v>Value Missing</v>
      </c>
    </row>
    <row r="225" spans="5:30" ht="20.05" customHeight="1" x14ac:dyDescent="0.35">
      <c r="E225" s="4" t="s">
        <v>1522</v>
      </c>
      <c r="F225" s="337" t="str">
        <f>IF(mgmt_az1_host8_fqdn="Value Missing",mgmt_az1_host8_fqdn,LEFT(mgmt_az1_host8_fqdn,FIND(".",mgmt_az1_host8_fqdn)-1))</f>
        <v>Value Missing</v>
      </c>
      <c r="H225" s="4" t="s">
        <v>1522</v>
      </c>
      <c r="I225" s="337" t="str">
        <f>IF(wld_az1_host8_fqdn="Value Missing",wld_az1_host8_fqdn,LEFT(wld_az1_host8_fqdn,FIND(".",wld_az1_host8_fqdn)-1))</f>
        <v>Value Missing</v>
      </c>
      <c r="K225" s="4" t="s">
        <v>1516</v>
      </c>
      <c r="L225" s="337" t="str">
        <f>IF(ISBLANK(input_wld_az1_rack2_host5_fqdn),"Value Missing",input_wld_az1_rack2_host5_fqdn)</f>
        <v>Value Missing</v>
      </c>
      <c r="N225" s="4" t="s">
        <v>1516</v>
      </c>
      <c r="O225" s="337" t="str">
        <f>IF(ISBLANK(input_wld_az1_rack3_host5_fqdn),"Value Missing",input_wld_az1_rack3_host5_fqdn)</f>
        <v>Value Missing</v>
      </c>
      <c r="P225" s="2"/>
      <c r="Q225" s="4" t="s">
        <v>1516</v>
      </c>
      <c r="R225" s="337" t="str">
        <f>IF(ISBLANK(input_wld_az1_rack4_host5_fqdn),"Value Missing",input_wld_az1_rack4_host5_fqdn)</f>
        <v>Value Missing</v>
      </c>
      <c r="S225" s="2"/>
      <c r="T225" s="4" t="s">
        <v>1516</v>
      </c>
      <c r="U225" s="337" t="str">
        <f>IF(ISBLANK(input_wld_az1_rack5_host5_fqdn),"Value Missing",input_wld_az1_rack5_host5_fqdn)</f>
        <v>Value Missing</v>
      </c>
      <c r="V225" s="2"/>
      <c r="W225" s="4" t="s">
        <v>1516</v>
      </c>
      <c r="X225" s="337" t="str">
        <f>IF(ISBLANK(input_wld_az1_rack6_host5_fqdn),"Value Missing",input_wld_az1_rack6_host5_fqdn)</f>
        <v>Value Missing</v>
      </c>
      <c r="Y225" s="2"/>
      <c r="Z225" s="4" t="s">
        <v>1516</v>
      </c>
      <c r="AA225" s="337" t="str">
        <f>IF(ISBLANK(input_wld_az1_rack7_host5_fqdn),"Value Missing",input_wld_az1_rack7_host5_fqdn)</f>
        <v>Value Missing</v>
      </c>
      <c r="AB225" s="2"/>
      <c r="AC225" s="4" t="s">
        <v>1516</v>
      </c>
      <c r="AD225" s="337" t="str">
        <f>IF(ISBLANK(input_wld_az1_rack8_host5_fqdn),"Value Missing",input_wld_az1_rack8_host5_fqdn)</f>
        <v>Value Missing</v>
      </c>
    </row>
    <row r="226" spans="5:30" ht="20.05" customHeight="1" x14ac:dyDescent="0.35">
      <c r="E226" s="4" t="s">
        <v>1524</v>
      </c>
      <c r="F226" s="337" t="str">
        <f>IF(mgmt_az1_host9_fqdn="Value Missing",mgmt_az1_host9_fqdn,LEFT(mgmt_az1_host9_fqdn,FIND(".",mgmt_az1_host9_fqdn)-1))</f>
        <v>Value Missing</v>
      </c>
      <c r="H226" s="4" t="s">
        <v>1524</v>
      </c>
      <c r="I226" s="337" t="str">
        <f>IF(wld_az1_host9_fqdn="Value Missing",wld_az1_host9_fqdn,LEFT(wld_az1_host9_fqdn,FIND(".",wld_az1_host9_fqdn)-1))</f>
        <v>Value Missing</v>
      </c>
      <c r="K226" s="4" t="s">
        <v>1518</v>
      </c>
      <c r="L226" s="337" t="str">
        <f>IF(ISBLANK(input_wld_az1_rack2_host6_fqdn),"Value Missing",input_wld_az1_rack2_host6_fqdn)</f>
        <v>Value Missing</v>
      </c>
      <c r="N226" s="4" t="s">
        <v>1518</v>
      </c>
      <c r="O226" s="337" t="str">
        <f>IF(ISBLANK(input_wld_az1_rack3_host6_fqdn),"Value Missing",input_wld_az1_rack3_host6_fqdn)</f>
        <v>Value Missing</v>
      </c>
      <c r="P226" s="2"/>
      <c r="Q226" s="4" t="s">
        <v>1518</v>
      </c>
      <c r="R226" s="337" t="str">
        <f>IF(ISBLANK(input_wld_az1_rack4_host6_fqdn),"Value Missing",input_wld_az1_rack4_host6_fqdn)</f>
        <v>Value Missing</v>
      </c>
      <c r="S226" s="2"/>
      <c r="T226" s="4" t="s">
        <v>1518</v>
      </c>
      <c r="U226" s="337" t="str">
        <f>IF(ISBLANK(input_wld_az1_rack5_host6_fqdn),"Value Missing",input_wld_az1_rack5_host6_fqdn)</f>
        <v>Value Missing</v>
      </c>
      <c r="V226" s="2"/>
      <c r="W226" s="4" t="s">
        <v>1518</v>
      </c>
      <c r="X226" s="337" t="str">
        <f>IF(ISBLANK(input_wld_az1_rack6_host6_fqdn),"Value Missing",input_wld_az1_rack6_host6_fqdn)</f>
        <v>Value Missing</v>
      </c>
      <c r="Y226" s="2"/>
      <c r="Z226" s="4" t="s">
        <v>1518</v>
      </c>
      <c r="AA226" s="337" t="str">
        <f>IF(ISBLANK(input_wld_az1_rack7_host6_fqdn),"Value Missing",input_wld_az1_rack7_host6_fqdn)</f>
        <v>Value Missing</v>
      </c>
      <c r="AB226" s="2"/>
      <c r="AC226" s="4" t="s">
        <v>1518</v>
      </c>
      <c r="AD226" s="337" t="str">
        <f>IF(ISBLANK(input_wld_az1_rack8_host6_fqdn),"Value Missing",input_wld_az1_rack8_host6_fqdn)</f>
        <v>Value Missing</v>
      </c>
    </row>
    <row r="227" spans="5:30" ht="20.05" customHeight="1" x14ac:dyDescent="0.35">
      <c r="E227" s="4" t="s">
        <v>1526</v>
      </c>
      <c r="F227" s="337" t="str">
        <f>IF(mgmt_az1_host10_fqdn="Value Missing",mgmt_az1_host10_fqdn,LEFT(mgmt_az1_host10_fqdn,FIND(".",mgmt_az1_host10_fqdn)-1))</f>
        <v>Value Missing</v>
      </c>
      <c r="H227" s="4" t="s">
        <v>1526</v>
      </c>
      <c r="I227" s="337" t="str">
        <f>IF(wld_az1_host10_fqdn="Value Missing",wld_az1_host10_fqdn,LEFT(wld_az1_host10_fqdn,FIND(".",wld_az1_host10_fqdn)-1))</f>
        <v>Value Missing</v>
      </c>
      <c r="K227" s="4" t="s">
        <v>1520</v>
      </c>
      <c r="L227" s="337" t="str">
        <f>IF(ISBLANK(input_wld_az1_rack2_host7_fqdn),"Value Missing",input_wld_az1_rack2_host7_fqdn)</f>
        <v>Value Missing</v>
      </c>
      <c r="N227" s="4" t="s">
        <v>1520</v>
      </c>
      <c r="O227" s="337" t="str">
        <f>IF(ISBLANK(input_wld_az1_rack3_host7_fqdn),"Value Missing",input_wld_az1_rack3_host7_fqdn)</f>
        <v>Value Missing</v>
      </c>
      <c r="P227" s="2"/>
      <c r="Q227" s="4" t="s">
        <v>1520</v>
      </c>
      <c r="R227" s="337" t="str">
        <f>IF(ISBLANK(input_wld_az1_rack4_host7_fqdn),"Value Missing",input_wld_az1_rack4_host7_fqdn)</f>
        <v>Value Missing</v>
      </c>
      <c r="S227" s="2"/>
      <c r="T227" s="4" t="s">
        <v>1520</v>
      </c>
      <c r="U227" s="337" t="str">
        <f>IF(ISBLANK(input_wld_az1_rack5_host7_fqdn),"Value Missing",input_wld_az1_rack5_host7_fqdn)</f>
        <v>Value Missing</v>
      </c>
      <c r="V227" s="2"/>
      <c r="W227" s="4" t="s">
        <v>1520</v>
      </c>
      <c r="X227" s="337" t="str">
        <f>IF(ISBLANK(input_wld_az1_rack6_host7_fqdn),"Value Missing",input_wld_az1_rack6_host7_fqdn)</f>
        <v>Value Missing</v>
      </c>
      <c r="Y227" s="2"/>
      <c r="Z227" s="4" t="s">
        <v>1520</v>
      </c>
      <c r="AA227" s="337" t="str">
        <f>IF(ISBLANK(input_wld_az1_rack7_host7_fqdn),"Value Missing",input_wld_az1_rack7_host7_fqdn)</f>
        <v>Value Missing</v>
      </c>
      <c r="AB227" s="2"/>
      <c r="AC227" s="4" t="s">
        <v>1520</v>
      </c>
      <c r="AD227" s="337" t="str">
        <f>IF(ISBLANK(input_wld_az1_rack8_host7_fqdn),"Value Missing",input_wld_az1_rack8_host7_fqdn)</f>
        <v>Value Missing</v>
      </c>
    </row>
    <row r="228" spans="5:30" ht="20.05" customHeight="1" x14ac:dyDescent="0.35">
      <c r="E228" s="4" t="s">
        <v>1528</v>
      </c>
      <c r="F228" s="337" t="str">
        <f>IF(mgmt_az1_host11_fqdn="Value Missing",mgmt_az1_host11_fqdn,LEFT(mgmt_az1_host11_fqdn,FIND(".",mgmt_az1_host11_fqdn)-1))</f>
        <v>Value Missing</v>
      </c>
      <c r="H228" s="4" t="s">
        <v>1528</v>
      </c>
      <c r="I228" s="337" t="str">
        <f>IF(wld_az1_host11_fqdn="Value Missing",wld_az1_host11_fqdn,LEFT(wld_az1_host11_fqdn,FIND(".",wld_az1_host11_fqdn)-1))</f>
        <v>Value Missing</v>
      </c>
      <c r="K228" s="4" t="s">
        <v>1522</v>
      </c>
      <c r="L228" s="337" t="str">
        <f>IF(ISBLANK(input_wld_az1_rack2_host8_fqdn),"Value Missing",input_wld_az1_rack2_host8_fqdn)</f>
        <v>Value Missing</v>
      </c>
      <c r="N228" s="4" t="s">
        <v>1522</v>
      </c>
      <c r="O228" s="337" t="str">
        <f>IF(ISBLANK(input_wld_az1_rack3_host8_fqdn),"Value Missing",input_wld_az1_rack3_host8_fqdn)</f>
        <v>Value Missing</v>
      </c>
      <c r="P228" s="2"/>
      <c r="Q228" s="4" t="s">
        <v>1522</v>
      </c>
      <c r="R228" s="337" t="str">
        <f>IF(ISBLANK(input_wld_az1_rack4_host8_fqdn),"Value Missing",input_wld_az1_rack4_host8_fqdn)</f>
        <v>Value Missing</v>
      </c>
      <c r="S228" s="2"/>
      <c r="T228" s="4" t="s">
        <v>1522</v>
      </c>
      <c r="U228" s="337" t="str">
        <f>IF(ISBLANK(input_wld_az1_rack5_host8_fqdn),"Value Missing",input_wld_az1_rack5_host8_fqdn)</f>
        <v>Value Missing</v>
      </c>
      <c r="V228" s="2"/>
      <c r="W228" s="4" t="s">
        <v>1522</v>
      </c>
      <c r="X228" s="337" t="str">
        <f>IF(ISBLANK(input_wld_az1_rack6_host8_fqdn),"Value Missing",input_wld_az1_rack6_host8_fqdn)</f>
        <v>Value Missing</v>
      </c>
      <c r="Y228" s="2"/>
      <c r="Z228" s="4" t="s">
        <v>1522</v>
      </c>
      <c r="AA228" s="337" t="str">
        <f>IF(ISBLANK(input_wld_az1_rack7_host8_fqdn),"Value Missing",input_wld_az1_rack7_host8_fqdn)</f>
        <v>Value Missing</v>
      </c>
      <c r="AB228" s="2"/>
      <c r="AC228" s="4" t="s">
        <v>1522</v>
      </c>
      <c r="AD228" s="337" t="str">
        <f>IF(ISBLANK(input_wld_az1_rack8_host8_fqdn),"Value Missing",input_wld_az1_rack8_host8_fqdn)</f>
        <v>Value Missing</v>
      </c>
    </row>
    <row r="229" spans="5:30" ht="20.05" customHeight="1" x14ac:dyDescent="0.35">
      <c r="E229" s="4" t="s">
        <v>1530</v>
      </c>
      <c r="F229" s="337" t="str">
        <f>IF(mgmt_az1_host12_fqdn="Value Missing",mgmt_az1_host12_fqdn,LEFT(mgmt_az1_host12_fqdn,FIND(".",mgmt_az1_host12_fqdn)-1))</f>
        <v>Value Missing</v>
      </c>
      <c r="H229" s="4" t="s">
        <v>1530</v>
      </c>
      <c r="I229" s="337" t="str">
        <f>IF(wld_az1_host12_fqdn="Value Missing",wld_az1_host12_fqdn,LEFT(wld_az1_host12_fqdn,FIND(".",wld_az1_host12_fqdn)-1))</f>
        <v>Value Missing</v>
      </c>
      <c r="K229" s="4" t="s">
        <v>1524</v>
      </c>
      <c r="L229" s="337" t="str">
        <f>IF(ISBLANK(input_wld_az1_rack2_host9_fqdn),"Value Missing",input_wld_az1_rack2_host9_fqdn)</f>
        <v>Value Missing</v>
      </c>
      <c r="N229" s="4" t="s">
        <v>1524</v>
      </c>
      <c r="O229" s="337" t="str">
        <f>IF(ISBLANK(input_wld_az1_rack3_host9_fqdn),"Value Missing",input_wld_az1_rack3_host9_fqdn)</f>
        <v>Value Missing</v>
      </c>
      <c r="Q229" s="4" t="s">
        <v>1524</v>
      </c>
      <c r="R229" s="337" t="str">
        <f>IF(ISBLANK(input_wld_az1_rack4_host9_fqdn),"Value Missing",input_wld_az1_rack4_host9_fqdn)</f>
        <v>Value Missing</v>
      </c>
      <c r="T229" s="4" t="s">
        <v>1524</v>
      </c>
      <c r="U229" s="337" t="str">
        <f>IF(ISBLANK(input_wld_az1_rack5_host9_fqdn),"Value Missing",input_wld_az1_rack5_host9_fqdn)</f>
        <v>Value Missing</v>
      </c>
      <c r="W229" s="4" t="s">
        <v>1524</v>
      </c>
      <c r="X229" s="337" t="str">
        <f>IF(ISBLANK(input_wld_az1_rack6_host9_fqdn),"Value Missing",input_wld_az1_rack6_host9_fqdn)</f>
        <v>Value Missing</v>
      </c>
      <c r="Z229" s="4" t="s">
        <v>1524</v>
      </c>
      <c r="AA229" s="337" t="str">
        <f>IF(ISBLANK(input_wld_az1_rack7_host9_fqdn),"Value Missing",input_wld_az1_rack7_host9_fqdn)</f>
        <v>Value Missing</v>
      </c>
      <c r="AC229" s="4" t="s">
        <v>1524</v>
      </c>
      <c r="AD229" s="337" t="str">
        <f>IF(ISBLANK(input_wld_az1_rack8_host9_fqdn),"Value Missing",input_wld_az1_rack8_host9_fqdn)</f>
        <v>Value Missing</v>
      </c>
    </row>
    <row r="230" spans="5:30" ht="20.05" customHeight="1" x14ac:dyDescent="0.35">
      <c r="E230" s="4" t="s">
        <v>1532</v>
      </c>
      <c r="F230" s="337" t="str">
        <f>IF(mgmt_az1_host13_fqdn="Value Missing",mgmt_az1_host13_fqdn,LEFT(mgmt_az1_host13_fqdn,FIND(".",mgmt_az1_host13_fqdn)-1))</f>
        <v>Value Missing</v>
      </c>
      <c r="H230" s="4" t="s">
        <v>1532</v>
      </c>
      <c r="I230" s="337" t="str">
        <f>IF(wld_az1_host13_fqdn="Value Missing",wld_az1_host13_fqdn,LEFT(wld_az1_host13_fqdn,FIND(".",wld_az1_host13_fqdn)-1))</f>
        <v>Value Missing</v>
      </c>
      <c r="K230" s="4" t="s">
        <v>1526</v>
      </c>
      <c r="L230" s="337" t="str">
        <f>IF(ISBLANK(input_wld_az1_rack2_host10_fqdn),"Value Missing",input_wld_az1_rack2_host10_fqdn)</f>
        <v>Value Missing</v>
      </c>
      <c r="N230" s="4" t="s">
        <v>1526</v>
      </c>
      <c r="O230" s="337" t="str">
        <f>IF(ISBLANK(input_wld_az1_rack3_host10_fqdn),"Value Missing",input_wld_az1_rack3_host10_fqdn)</f>
        <v>Value Missing</v>
      </c>
      <c r="Q230" s="4" t="s">
        <v>1526</v>
      </c>
      <c r="R230" s="337" t="str">
        <f>IF(ISBLANK(input_wld_az1_rack4_host10_fqdn),"Value Missing",input_wld_az1_rack4_host10_fqdn)</f>
        <v>Value Missing</v>
      </c>
      <c r="T230" s="4" t="s">
        <v>1526</v>
      </c>
      <c r="U230" s="337" t="str">
        <f>IF(ISBLANK(input_wld_az1_rack5_host10_fqdn),"Value Missing",input_wld_az1_rack5_host10_fqdn)</f>
        <v>Value Missing</v>
      </c>
      <c r="W230" s="4" t="s">
        <v>1526</v>
      </c>
      <c r="X230" s="337" t="str">
        <f>IF(ISBLANK(input_wld_az1_rack6_host10_fqdn),"Value Missing",input_wld_az1_rack6_host10_fqdn)</f>
        <v>Value Missing</v>
      </c>
      <c r="Z230" s="4" t="s">
        <v>1526</v>
      </c>
      <c r="AA230" s="337" t="str">
        <f>IF(ISBLANK(input_wld_az1_rack7_host10_fqdn),"Value Missing",input_wld_az1_rack7_host10_fqdn)</f>
        <v>Value Missing</v>
      </c>
      <c r="AC230" s="4" t="s">
        <v>1526</v>
      </c>
      <c r="AD230" s="337" t="str">
        <f>IF(ISBLANK(input_wld_az1_rack8_host10_fqdn),"Value Missing",input_wld_az1_rack8_host10_fqdn)</f>
        <v>Value Missing</v>
      </c>
    </row>
    <row r="231" spans="5:30" ht="20.05" customHeight="1" x14ac:dyDescent="0.35">
      <c r="E231" s="4" t="s">
        <v>1533</v>
      </c>
      <c r="F231" s="337" t="str">
        <f>IF(mgmt_az1_host14_fqdn="Value Missing",mgmt_az1_host14_fqdn,LEFT(mgmt_az1_host14_fqdn,FIND(".",mgmt_az1_host14_fqdn)-1))</f>
        <v>Value Missing</v>
      </c>
      <c r="H231" s="4" t="s">
        <v>1533</v>
      </c>
      <c r="I231" s="337" t="str">
        <f>IF(wld_az1_host14_fqdn="Value Missing",wld_az1_host14_fqdn,LEFT(wld_az1_host14_fqdn,FIND(".",wld_az1_host14_fqdn)-1))</f>
        <v>Value Missing</v>
      </c>
      <c r="K231" s="4" t="s">
        <v>1528</v>
      </c>
      <c r="L231" s="337" t="str">
        <f>IF(ISBLANK(input_wld_az1_rack2_host11_fqdn),"Value Missing",input_wld_az1_rack2_host11_fqdn)</f>
        <v>Value Missing</v>
      </c>
      <c r="N231" s="4" t="s">
        <v>1528</v>
      </c>
      <c r="O231" s="337" t="str">
        <f>IF(ISBLANK(input_wld_az1_rack3_host11_fqdn),"Value Missing",input_wld_az1_rack3_host11_fqdn)</f>
        <v>Value Missing</v>
      </c>
      <c r="Q231" s="4" t="s">
        <v>1528</v>
      </c>
      <c r="R231" s="337" t="str">
        <f>IF(ISBLANK(input_wld_az1_rack4_host11_fqdn),"Value Missing",input_wld_az1_rack4_host11_fqdn)</f>
        <v>Value Missing</v>
      </c>
      <c r="T231" s="4" t="s">
        <v>1528</v>
      </c>
      <c r="U231" s="337" t="str">
        <f>IF(ISBLANK(input_wld_az1_rack5_host11_fqdn),"Value Missing",input_wld_az1_rack5_host11_fqdn)</f>
        <v>Value Missing</v>
      </c>
      <c r="W231" s="4" t="s">
        <v>1528</v>
      </c>
      <c r="X231" s="337" t="str">
        <f>IF(ISBLANK(input_wld_az1_rack6_host11_fqdn),"Value Missing",input_wld_az1_rack6_host11_fqdn)</f>
        <v>Value Missing</v>
      </c>
      <c r="Z231" s="4" t="s">
        <v>1528</v>
      </c>
      <c r="AA231" s="337" t="str">
        <f>IF(ISBLANK(input_wld_az1_rack7_host11_fqdn),"Value Missing",input_wld_az1_rack7_host11_fqdn)</f>
        <v>Value Missing</v>
      </c>
      <c r="AC231" s="4" t="s">
        <v>1528</v>
      </c>
      <c r="AD231" s="337" t="str">
        <f>IF(ISBLANK(input_wld_az1_rack8_host11_fqdn),"Value Missing",input_wld_az1_rack8_host11_fqdn)</f>
        <v>Value Missing</v>
      </c>
    </row>
    <row r="232" spans="5:30" ht="20.05" customHeight="1" x14ac:dyDescent="0.35">
      <c r="E232" s="4" t="s">
        <v>1536</v>
      </c>
      <c r="F232" s="337" t="str">
        <f>IF(mgmt_az1_host15_fqdn="Value Missing",mgmt_az1_host15_fqdn,LEFT(mgmt_az1_host15_fqdn,FIND(".",mgmt_az1_host15_fqdn)-1))</f>
        <v>Value Missing</v>
      </c>
      <c r="H232" s="4" t="s">
        <v>1536</v>
      </c>
      <c r="I232" s="337" t="str">
        <f>IF(wld_az1_host15_fqdn="Value Missing",wld_az1_host15_fqdn,LEFT(wld_az1_host15_fqdn,FIND(".",wld_az1_host15_fqdn)-1))</f>
        <v>Value Missing</v>
      </c>
      <c r="K232" s="4" t="s">
        <v>1530</v>
      </c>
      <c r="L232" s="337" t="str">
        <f>IF(ISBLANK(input_wld_az1_rack2_host12_fqdn),"Value Missing",input_wld_az1_rack2_host12_fqdn)</f>
        <v>Value Missing</v>
      </c>
      <c r="N232" s="4" t="s">
        <v>1530</v>
      </c>
      <c r="O232" s="337" t="str">
        <f>IF(ISBLANK(input_wld_az1_rack3_host12_fqdn),"Value Missing",input_wld_az1_rack3_host12_fqdn)</f>
        <v>Value Missing</v>
      </c>
      <c r="Q232" s="4" t="s">
        <v>1530</v>
      </c>
      <c r="R232" s="337" t="str">
        <f>IF(ISBLANK(input_wld_az1_rack4_host12_fqdn),"Value Missing",input_wld_az1_rack4_host12_fqdn)</f>
        <v>Value Missing</v>
      </c>
      <c r="T232" s="4" t="s">
        <v>1530</v>
      </c>
      <c r="U232" s="337" t="str">
        <f>IF(ISBLANK(input_wld_az1_rack5_host12_fqdn),"Value Missing",input_wld_az1_rack5_host12_fqdn)</f>
        <v>Value Missing</v>
      </c>
      <c r="W232" s="4" t="s">
        <v>1530</v>
      </c>
      <c r="X232" s="337" t="str">
        <f>IF(ISBLANK(input_wld_az1_rack6_host12_fqdn),"Value Missing",input_wld_az1_rack6_host12_fqdn)</f>
        <v>Value Missing</v>
      </c>
      <c r="Z232" s="4" t="s">
        <v>1530</v>
      </c>
      <c r="AA232" s="337" t="str">
        <f>IF(ISBLANK(input_wld_az1_rack7_host12_fqdn),"Value Missing",input_wld_az1_rack7_host12_fqdn)</f>
        <v>Value Missing</v>
      </c>
      <c r="AC232" s="4" t="s">
        <v>1530</v>
      </c>
      <c r="AD232" s="337" t="str">
        <f>IF(ISBLANK(input_wld_az1_rack8_host12_fqdn),"Value Missing",input_wld_az1_rack8_host12_fqdn)</f>
        <v>Value Missing</v>
      </c>
    </row>
    <row r="233" spans="5:30" ht="20.05" customHeight="1" x14ac:dyDescent="0.35">
      <c r="E233" s="4" t="s">
        <v>1537</v>
      </c>
      <c r="F233" s="337" t="str">
        <f>IF(mgmt_az1_host16_fqdn="Value Missing",mgmt_az1_host16_fqdn,LEFT(mgmt_az1_host16_fqdn,FIND(".",mgmt_az1_host16_fqdn)-1))</f>
        <v>Value Missing</v>
      </c>
      <c r="H233" s="4" t="s">
        <v>1537</v>
      </c>
      <c r="I233" s="337" t="str">
        <f>IF(wld_az1_host16_fqdn="Value Missing",wld_az1_host16_fqdn,LEFT(wld_az1_host16_fqdn,FIND(".",wld_az1_host16_fqdn)-1))</f>
        <v>Value Missing</v>
      </c>
      <c r="K233" s="4" t="s">
        <v>1532</v>
      </c>
      <c r="L233" s="337" t="str">
        <f>IF(ISBLANK(input_wld_az1_rack2_host13_fqdn),"Value Missing",input_wld_az1_rack2_host13_fqdn)</f>
        <v>Value Missing</v>
      </c>
      <c r="N233" s="4" t="s">
        <v>1532</v>
      </c>
      <c r="O233" s="337" t="str">
        <f>IF(ISBLANK(input_wld_az1_rack3_host13_fqdn),"Value Missing",input_wld_az1_rack3_host13_fqdn)</f>
        <v>Value Missing</v>
      </c>
      <c r="Q233" s="4" t="s">
        <v>1532</v>
      </c>
      <c r="R233" s="337" t="str">
        <f>IF(ISBLANK(input_wld_az1_rack4_host13_fqdn),"Value Missing",input_wld_az1_rack4_host13_fqdn)</f>
        <v>Value Missing</v>
      </c>
      <c r="T233" s="4" t="s">
        <v>1532</v>
      </c>
      <c r="U233" s="337" t="str">
        <f>IF(ISBLANK(input_wld_az1_rack5_host13_fqdn),"Value Missing",input_wld_az1_rack5_host13_fqdn)</f>
        <v>Value Missing</v>
      </c>
      <c r="W233" s="4" t="s">
        <v>1532</v>
      </c>
      <c r="X233" s="337" t="str">
        <f>IF(ISBLANK(input_wld_az1_rack6_host13_fqdn),"Value Missing",input_wld_az1_rack6_host13_fqdn)</f>
        <v>Value Missing</v>
      </c>
      <c r="Z233" s="4" t="s">
        <v>1532</v>
      </c>
      <c r="AA233" s="337" t="str">
        <f>IF(ISBLANK(input_wld_az1_rack7_host13_fqdn),"Value Missing",input_wld_az1_rack7_host13_fqdn)</f>
        <v>Value Missing</v>
      </c>
      <c r="AC233" s="4" t="s">
        <v>1532</v>
      </c>
      <c r="AD233" s="337" t="str">
        <f>IF(ISBLANK(input_wld_az1_rack8_host13_fqdn),"Value Missing",input_wld_az1_rack8_host13_fqdn)</f>
        <v>Value Missing</v>
      </c>
    </row>
    <row r="234" spans="5:30" ht="20.05" customHeight="1" x14ac:dyDescent="0.35">
      <c r="E234" s="2"/>
      <c r="F234" s="2"/>
      <c r="H234" s="2"/>
      <c r="I234" s="2"/>
      <c r="K234" s="4" t="s">
        <v>1533</v>
      </c>
      <c r="L234" s="337" t="str">
        <f>IF(ISBLANK(input_wld_az1_rack2_host14_fqdn),"Value Missing",input_wld_az1_rack2_host14_fqdn)</f>
        <v>Value Missing</v>
      </c>
      <c r="N234" s="4" t="s">
        <v>1533</v>
      </c>
      <c r="O234" s="337" t="str">
        <f>IF(ISBLANK(input_wld_az1_rack3_host14_fqdn),"Value Missing",input_wld_az1_rack3_host14_fqdn)</f>
        <v>Value Missing</v>
      </c>
      <c r="Q234" s="4" t="s">
        <v>1533</v>
      </c>
      <c r="R234" s="337" t="str">
        <f>IF(ISBLANK(input_wld_az1_rack4_host14_fqdn),"Value Missing",input_wld_az1_rack4_host14_fqdn)</f>
        <v>Value Missing</v>
      </c>
      <c r="T234" s="4" t="s">
        <v>1533</v>
      </c>
      <c r="U234" s="337" t="str">
        <f>IF(ISBLANK(input_wld_az1_rack5_host14_fqdn),"Value Missing",input_wld_az1_rack5_host14_fqdn)</f>
        <v>Value Missing</v>
      </c>
      <c r="W234" s="4" t="s">
        <v>1533</v>
      </c>
      <c r="X234" s="337" t="str">
        <f>IF(ISBLANK(input_wld_az1_rack6_host14_fqdn),"Value Missing",input_wld_az1_rack6_host14_fqdn)</f>
        <v>Value Missing</v>
      </c>
      <c r="Z234" s="4" t="s">
        <v>1533</v>
      </c>
      <c r="AA234" s="337" t="str">
        <f>IF(ISBLANK(input_wld_az1_rack7_host14_fqdn),"Value Missing",input_wld_az1_rack7_host14_fqdn)</f>
        <v>Value Missing</v>
      </c>
      <c r="AC234" s="4" t="s">
        <v>1533</v>
      </c>
      <c r="AD234" s="337" t="str">
        <f>IF(ISBLANK(input_wld_az1_rack8_host14_fqdn),"Value Missing",input_wld_az1_rack8_host14_fqdn)</f>
        <v>Value Missing</v>
      </c>
    </row>
    <row r="235" spans="5:30" ht="20.05" customHeight="1" x14ac:dyDescent="0.35">
      <c r="E235" s="379" t="s">
        <v>1545</v>
      </c>
      <c r="F235" s="380"/>
      <c r="H235" s="379" t="s">
        <v>1546</v>
      </c>
      <c r="I235" s="380"/>
      <c r="K235" s="4" t="s">
        <v>1536</v>
      </c>
      <c r="L235" s="337" t="str">
        <f>IF(ISBLANK(input_wld_az1_rack2_host15_fqdn),"Value Missing",input_wld_az1_rack2_host15_fqdn)</f>
        <v>Value Missing</v>
      </c>
      <c r="N235" s="4" t="s">
        <v>1536</v>
      </c>
      <c r="O235" s="337" t="str">
        <f>IF(ISBLANK(input_wld_az1_rack3_host15_fqdn),"Value Missing",input_wld_az1_rack3_host15_fqdn)</f>
        <v>Value Missing</v>
      </c>
      <c r="Q235" s="4" t="s">
        <v>1536</v>
      </c>
      <c r="R235" s="337" t="str">
        <f>IF(ISBLANK(input_wld_az1_rack4_host15_fqdn),"Value Missing",input_wld_az1_rack4_host15_fqdn)</f>
        <v>Value Missing</v>
      </c>
      <c r="T235" s="4" t="s">
        <v>1536</v>
      </c>
      <c r="U235" s="337" t="str">
        <f>IF(ISBLANK(input_wld_az1_rack5_host15_fqdn),"Value Missing",input_wld_az1_rack5_host15_fqdn)</f>
        <v>Value Missing</v>
      </c>
      <c r="W235" s="4" t="s">
        <v>1536</v>
      </c>
      <c r="X235" s="337" t="str">
        <f>IF(ISBLANK(input_wld_az1_rack6_host15_fqdn),"Value Missing",input_wld_az1_rack6_host15_fqdn)</f>
        <v>Value Missing</v>
      </c>
      <c r="Z235" s="4" t="s">
        <v>1536</v>
      </c>
      <c r="AA235" s="337" t="str">
        <f>IF(ISBLANK(input_wld_az1_rack7_host15_fqdn),"Value Missing",input_wld_az1_rack7_host15_fqdn)</f>
        <v>Value Missing</v>
      </c>
      <c r="AC235" s="4" t="s">
        <v>1536</v>
      </c>
      <c r="AD235" s="337" t="str">
        <f>IF(ISBLANK(input_wld_az1_rack8_host15_fqdn),"Value Missing",input_wld_az1_rack8_host15_fqdn)</f>
        <v>Value Missing</v>
      </c>
    </row>
    <row r="236" spans="5:30" ht="20.05" customHeight="1" x14ac:dyDescent="0.35">
      <c r="E236" s="11" t="s">
        <v>261</v>
      </c>
      <c r="F236" s="14" t="s">
        <v>1269</v>
      </c>
      <c r="H236" s="11" t="s">
        <v>261</v>
      </c>
      <c r="I236" s="14" t="s">
        <v>19</v>
      </c>
      <c r="K236" s="4" t="s">
        <v>1537</v>
      </c>
      <c r="L236" s="337" t="str">
        <f>IF(ISBLANK(input_wld_az1_rack2_host16_fqdn),"Value Missing",input_wld_az1_rack2_host16_fqdn)</f>
        <v>Value Missing</v>
      </c>
      <c r="N236" s="4" t="s">
        <v>1537</v>
      </c>
      <c r="O236" s="337" t="str">
        <f>IF(ISBLANK(input_wld_az1_rack3_host16_fqdn),"Value Missing",input_wld_az1_rack3_host16_fqdn)</f>
        <v>Value Missing</v>
      </c>
      <c r="Q236" s="4" t="s">
        <v>1537</v>
      </c>
      <c r="R236" s="337" t="str">
        <f>IF(ISBLANK(input_wld_az1_rack4_host16_fqdn),"Value Missing",input_wld_az1_rack4_host16_fqdn)</f>
        <v>Value Missing</v>
      </c>
      <c r="T236" s="4" t="s">
        <v>1537</v>
      </c>
      <c r="U236" s="337" t="str">
        <f>IF(ISBLANK(input_wld_az1_rack5_host16_fqdn),"Value Missing",input_wld_az1_rack5_host16_fqdn)</f>
        <v>Value Missing</v>
      </c>
      <c r="W236" s="4" t="s">
        <v>1537</v>
      </c>
      <c r="X236" s="337" t="str">
        <f>IF(ISBLANK(input_wld_az1_rack6_host16_fqdn),"Value Missing",input_wld_az1_rack6_host16_fqdn)</f>
        <v>Value Missing</v>
      </c>
      <c r="Z236" s="4" t="s">
        <v>1537</v>
      </c>
      <c r="AA236" s="337" t="str">
        <f>IF(ISBLANK(input_wld_az1_rack7_host16_fqdn),"Value Missing",input_wld_az1_rack7_host16_fqdn)</f>
        <v>Value Missing</v>
      </c>
      <c r="AC236" s="4" t="s">
        <v>1537</v>
      </c>
      <c r="AD236" s="337" t="str">
        <f>IF(ISBLANK(input_wld_az1_rack8_host16_fqdn),"Value Missing",input_wld_az1_rack8_host16_fqdn)</f>
        <v>Value Missing</v>
      </c>
    </row>
    <row r="237" spans="5:30" ht="20.05" customHeight="1" x14ac:dyDescent="0.35">
      <c r="E237" s="4" t="s">
        <v>1508</v>
      </c>
      <c r="F237" s="337" t="str">
        <f>IF(ISBLANK(input_mgmt_az1_host1_fqdn),"Value Missing",input_mgmt_az1_host1_fqdn)</f>
        <v>Value Missing</v>
      </c>
      <c r="H237" s="4" t="s">
        <v>1508</v>
      </c>
      <c r="I237" s="337" t="str">
        <f>IF(ISBLANK(input_wld_az1_host1_fqdn),"Value Missing",input_wld_az1_host1_fqdn)</f>
        <v>Value Missing</v>
      </c>
      <c r="K237" s="2"/>
      <c r="L237" s="2"/>
      <c r="N237" s="2"/>
      <c r="O237" s="2"/>
      <c r="Q237" s="2"/>
      <c r="R237" s="2"/>
      <c r="T237" s="2"/>
      <c r="U237" s="2"/>
      <c r="W237" s="2"/>
      <c r="X237" s="2"/>
      <c r="Z237" s="2"/>
      <c r="AA237" s="2"/>
      <c r="AC237" s="2"/>
      <c r="AD237" s="2"/>
    </row>
    <row r="238" spans="5:30" ht="20.05" customHeight="1" x14ac:dyDescent="0.35">
      <c r="E238" s="4" t="s">
        <v>1510</v>
      </c>
      <c r="F238" s="337" t="str">
        <f>IF(ISBLANK(input_mgmt_az1_host2_fqdn),"Value Missing",input_mgmt_az1_host2_fqdn)</f>
        <v>Value Missing</v>
      </c>
      <c r="H238" s="4" t="s">
        <v>1510</v>
      </c>
      <c r="I238" s="337" t="str">
        <f>IF(ISBLANK(input_wld_az1_host2_fqdn),"Value Missing",input_wld_az1_host2_fqdn)</f>
        <v>Value Missing</v>
      </c>
      <c r="K238" s="379" t="s">
        <v>1547</v>
      </c>
      <c r="L238" s="380"/>
      <c r="N238" s="379" t="s">
        <v>1548</v>
      </c>
      <c r="O238" s="380"/>
      <c r="Q238" s="379" t="s">
        <v>1549</v>
      </c>
      <c r="R238" s="380"/>
      <c r="T238" s="379" t="s">
        <v>1550</v>
      </c>
      <c r="U238" s="380"/>
      <c r="W238" s="379" t="s">
        <v>1551</v>
      </c>
      <c r="X238" s="380"/>
      <c r="Z238" s="379" t="s">
        <v>1552</v>
      </c>
      <c r="AA238" s="380"/>
      <c r="AC238" s="379" t="s">
        <v>1553</v>
      </c>
      <c r="AD238" s="380"/>
    </row>
    <row r="239" spans="5:30" ht="20.05" customHeight="1" x14ac:dyDescent="0.35">
      <c r="E239" s="4" t="s">
        <v>1512</v>
      </c>
      <c r="F239" s="337" t="str">
        <f>IF(ISBLANK(input_mgmt_az1_host3_fqdn),"Value Missing",input_mgmt_az1_host3_fqdn)</f>
        <v>Value Missing</v>
      </c>
      <c r="H239" s="4" t="s">
        <v>1512</v>
      </c>
      <c r="I239" s="337" t="str">
        <f>IF(ISBLANK(input_wld_az1_host3_fqdn),"Value Missing",input_wld_az1_host3_fqdn)</f>
        <v>Value Missing</v>
      </c>
      <c r="K239" s="4" t="s">
        <v>1554</v>
      </c>
      <c r="L239" s="337"/>
      <c r="N239" s="4" t="s">
        <v>1554</v>
      </c>
      <c r="O239" s="337"/>
      <c r="Q239" s="4" t="s">
        <v>1554</v>
      </c>
      <c r="R239" s="337"/>
      <c r="T239" s="4" t="s">
        <v>1554</v>
      </c>
      <c r="U239" s="337"/>
      <c r="W239" s="4" t="s">
        <v>1554</v>
      </c>
      <c r="X239" s="337"/>
      <c r="Z239" s="4" t="s">
        <v>1554</v>
      </c>
      <c r="AA239" s="337"/>
      <c r="AC239" s="4" t="s">
        <v>1554</v>
      </c>
      <c r="AD239" s="337"/>
    </row>
    <row r="240" spans="5:30" ht="20.05" customHeight="1" x14ac:dyDescent="0.35">
      <c r="E240" s="4" t="s">
        <v>1514</v>
      </c>
      <c r="F240" s="337" t="str">
        <f>IF(ISBLANK(input_mgmt_az1_host4_fqdn),"Value Missing",input_mgmt_az1_host4_fqdn)</f>
        <v>Value Missing</v>
      </c>
      <c r="G240" s="24"/>
      <c r="H240" s="4" t="s">
        <v>1514</v>
      </c>
      <c r="I240" s="337" t="str">
        <f>IF(ISBLANK(input_wld_az1_host4_fqdn),"Value Missing",input_wld_az1_host4_fqdn)</f>
        <v>Value Missing</v>
      </c>
      <c r="J240" s="24"/>
      <c r="K240" s="4" t="s">
        <v>1555</v>
      </c>
      <c r="L240" s="337"/>
      <c r="N240" s="4" t="s">
        <v>1555</v>
      </c>
      <c r="O240" s="337"/>
      <c r="Q240" s="4" t="s">
        <v>1555</v>
      </c>
      <c r="R240" s="337"/>
      <c r="T240" s="4" t="s">
        <v>1555</v>
      </c>
      <c r="U240" s="337"/>
      <c r="W240" s="4" t="s">
        <v>1555</v>
      </c>
      <c r="X240" s="337"/>
      <c r="Z240" s="4" t="s">
        <v>1555</v>
      </c>
      <c r="AA240" s="337"/>
      <c r="AC240" s="4" t="s">
        <v>1555</v>
      </c>
      <c r="AD240" s="337"/>
    </row>
    <row r="241" spans="5:30" ht="20.05" customHeight="1" x14ac:dyDescent="0.35">
      <c r="E241" s="4" t="s">
        <v>1516</v>
      </c>
      <c r="F241" s="337" t="str">
        <f>IF(ISBLANK(input_mgmt_az1_host5_fqdn),"Value Missing",input_mgmt_az1_host5_fqdn)</f>
        <v>Value Missing</v>
      </c>
      <c r="H241" s="4" t="s">
        <v>1516</v>
      </c>
      <c r="I241" s="337" t="str">
        <f>IF(ISBLANK(input_wld_az1_host5_fqdn),"Value Missing",input_wld_az1_host5_fqdn)</f>
        <v>Value Missing</v>
      </c>
      <c r="K241" s="4" t="s">
        <v>1556</v>
      </c>
      <c r="L241" s="337"/>
      <c r="N241" s="4" t="s">
        <v>1556</v>
      </c>
      <c r="O241" s="337"/>
      <c r="Q241" s="4" t="s">
        <v>1556</v>
      </c>
      <c r="R241" s="337"/>
      <c r="T241" s="4" t="s">
        <v>1556</v>
      </c>
      <c r="U241" s="337"/>
      <c r="W241" s="4" t="s">
        <v>1556</v>
      </c>
      <c r="X241" s="337"/>
      <c r="Z241" s="4" t="s">
        <v>1556</v>
      </c>
      <c r="AA241" s="337"/>
      <c r="AC241" s="4" t="s">
        <v>1556</v>
      </c>
      <c r="AD241" s="337"/>
    </row>
    <row r="242" spans="5:30" ht="20.05" customHeight="1" x14ac:dyDescent="0.35">
      <c r="E242" s="4" t="s">
        <v>1518</v>
      </c>
      <c r="F242" s="337" t="str">
        <f>IF(ISBLANK(input_mgmt_az1_host6_fqdn),"Value Missing",input_mgmt_az1_host6_fqdn)</f>
        <v>Value Missing</v>
      </c>
      <c r="H242" s="4" t="s">
        <v>1518</v>
      </c>
      <c r="I242" s="337" t="str">
        <f>IF(ISBLANK(input_wld_az1_host6_fqdn),"Value Missing",input_wld_az1_host6_fqdn)</f>
        <v>Value Missing</v>
      </c>
      <c r="K242" s="4" t="s">
        <v>1557</v>
      </c>
      <c r="L242" s="337"/>
      <c r="N242" s="4" t="s">
        <v>1557</v>
      </c>
      <c r="O242" s="337"/>
      <c r="Q242" s="4" t="s">
        <v>1557</v>
      </c>
      <c r="R242" s="337"/>
      <c r="T242" s="4" t="s">
        <v>1557</v>
      </c>
      <c r="U242" s="337"/>
      <c r="W242" s="4" t="s">
        <v>1557</v>
      </c>
      <c r="X242" s="337"/>
      <c r="Z242" s="4" t="s">
        <v>1557</v>
      </c>
      <c r="AA242" s="337"/>
      <c r="AC242" s="4" t="s">
        <v>1557</v>
      </c>
      <c r="AD242" s="337"/>
    </row>
    <row r="243" spans="5:30" ht="20.05" customHeight="1" x14ac:dyDescent="0.35">
      <c r="E243" s="4" t="s">
        <v>1520</v>
      </c>
      <c r="F243" s="337" t="str">
        <f>IF(ISBLANK(input_mgmt_az1_host7_fqdn),"Value Missing",input_mgmt_az1_host7_fqdn)</f>
        <v>Value Missing</v>
      </c>
      <c r="H243" s="4" t="s">
        <v>1520</v>
      </c>
      <c r="I243" s="337" t="str">
        <f>IF(ISBLANK(input_wld_az1_host7_fqdn),"Value Missing",input_wld_az1_host7_fqdn)</f>
        <v>Value Missing</v>
      </c>
      <c r="K243" s="4" t="s">
        <v>1558</v>
      </c>
      <c r="L243" s="337"/>
      <c r="M243" s="24"/>
      <c r="N243" s="4" t="s">
        <v>1558</v>
      </c>
      <c r="O243" s="337"/>
      <c r="Q243" s="4" t="s">
        <v>1558</v>
      </c>
      <c r="R243" s="337"/>
      <c r="T243" s="4" t="s">
        <v>1558</v>
      </c>
      <c r="U243" s="337"/>
      <c r="W243" s="4" t="s">
        <v>1558</v>
      </c>
      <c r="X243" s="337"/>
      <c r="Z243" s="4" t="s">
        <v>1558</v>
      </c>
      <c r="AA243" s="337"/>
      <c r="AC243" s="4" t="s">
        <v>1558</v>
      </c>
      <c r="AD243" s="337"/>
    </row>
    <row r="244" spans="5:30" ht="20.05" customHeight="1" x14ac:dyDescent="0.35">
      <c r="E244" s="4" t="s">
        <v>1522</v>
      </c>
      <c r="F244" s="337" t="str">
        <f>IF(ISBLANK(input_mgmt_az1_host8_fqdn),"Value Missing",input_mgmt_az1_host8_fqdn)</f>
        <v>Value Missing</v>
      </c>
      <c r="H244" s="4" t="s">
        <v>1522</v>
      </c>
      <c r="I244" s="337" t="str">
        <f>IF(ISBLANK(input_wld_az1_host8_fqdn),"Value Missing",input_wld_az1_host8_fqdn)</f>
        <v>Value Missing</v>
      </c>
      <c r="K244" s="4" t="s">
        <v>1559</v>
      </c>
      <c r="L244" s="337"/>
      <c r="N244" s="4" t="s">
        <v>1559</v>
      </c>
      <c r="O244" s="337"/>
      <c r="Q244" s="4" t="s">
        <v>1559</v>
      </c>
      <c r="R244" s="337"/>
      <c r="T244" s="4" t="s">
        <v>1559</v>
      </c>
      <c r="U244" s="337"/>
      <c r="W244" s="4" t="s">
        <v>1559</v>
      </c>
      <c r="X244" s="337"/>
      <c r="Z244" s="4" t="s">
        <v>1559</v>
      </c>
      <c r="AA244" s="337"/>
      <c r="AC244" s="4" t="s">
        <v>1559</v>
      </c>
      <c r="AD244" s="337"/>
    </row>
    <row r="245" spans="5:30" ht="20.05" customHeight="1" x14ac:dyDescent="0.35">
      <c r="E245" s="4" t="s">
        <v>1524</v>
      </c>
      <c r="F245" s="337" t="str">
        <f>IF(ISBLANK(input_mgmt_az1_host9_fqdn),"Value Missing",input_mgmt_az1_host9_fqdn)</f>
        <v>Value Missing</v>
      </c>
      <c r="H245" s="4" t="s">
        <v>1524</v>
      </c>
      <c r="I245" s="337" t="str">
        <f>IF(ISBLANK(input_wld_az1_host9_fqdn),"Value Missing",input_wld_az1_host9_fqdn)</f>
        <v>Value Missing</v>
      </c>
      <c r="K245" s="4" t="s">
        <v>1560</v>
      </c>
      <c r="L245" s="337"/>
      <c r="N245" s="4" t="s">
        <v>1560</v>
      </c>
      <c r="O245" s="337"/>
      <c r="Q245" s="4" t="s">
        <v>1560</v>
      </c>
      <c r="R245" s="337"/>
      <c r="T245" s="4" t="s">
        <v>1560</v>
      </c>
      <c r="U245" s="337"/>
      <c r="W245" s="4" t="s">
        <v>1560</v>
      </c>
      <c r="X245" s="337"/>
      <c r="Z245" s="4" t="s">
        <v>1560</v>
      </c>
      <c r="AA245" s="337"/>
      <c r="AC245" s="4" t="s">
        <v>1560</v>
      </c>
      <c r="AD245" s="337"/>
    </row>
    <row r="246" spans="5:30" ht="20.05" customHeight="1" x14ac:dyDescent="0.35">
      <c r="E246" s="4" t="s">
        <v>1526</v>
      </c>
      <c r="F246" s="337" t="str">
        <f>IF(ISBLANK(input_mgmt_az1_host10_fqdn),"Value Missing",input_mgmt_az1_host10_fqdn)</f>
        <v>Value Missing</v>
      </c>
      <c r="H246" s="4" t="s">
        <v>1526</v>
      </c>
      <c r="I246" s="337" t="str">
        <f>IF(ISBLANK(input_wld_az1_host10_fqdn),"Value Missing",input_wld_az1_host10_fqdn)</f>
        <v>Value Missing</v>
      </c>
      <c r="K246" s="6"/>
      <c r="L246" s="6"/>
      <c r="N246" s="6"/>
      <c r="O246" s="6"/>
      <c r="Q246" s="6"/>
      <c r="R246" s="6"/>
      <c r="T246" s="6"/>
      <c r="U246" s="6"/>
      <c r="W246" s="6"/>
      <c r="X246" s="6"/>
      <c r="Z246" s="6"/>
      <c r="AA246" s="6"/>
      <c r="AC246" s="6"/>
      <c r="AD246" s="6"/>
    </row>
    <row r="247" spans="5:30" ht="20.05" customHeight="1" x14ac:dyDescent="0.35">
      <c r="E247" s="4" t="s">
        <v>1528</v>
      </c>
      <c r="F247" s="337" t="str">
        <f>IF(ISBLANK(input_mgmt_az1_host11_fqdn),"Value Missing",input_mgmt_az1_host11_fqdn)</f>
        <v>Value Missing</v>
      </c>
      <c r="H247" s="4" t="s">
        <v>1528</v>
      </c>
      <c r="I247" s="337" t="str">
        <f>IF(ISBLANK(input_wld_az1_host11_fqdn),"Value Missing",input_wld_az1_host11_fqdn)</f>
        <v>Value Missing</v>
      </c>
      <c r="K247" s="6"/>
      <c r="L247" s="6"/>
      <c r="N247" s="6"/>
      <c r="O247" s="6"/>
      <c r="Q247" s="6"/>
      <c r="R247" s="6"/>
      <c r="T247" s="6"/>
      <c r="U247" s="6"/>
      <c r="W247" s="6"/>
      <c r="X247" s="6"/>
      <c r="Z247" s="6"/>
      <c r="AA247" s="6"/>
      <c r="AC247" s="34"/>
      <c r="AD247" s="34"/>
    </row>
    <row r="248" spans="5:30" ht="20.05" customHeight="1" x14ac:dyDescent="0.35">
      <c r="E248" s="4" t="s">
        <v>1530</v>
      </c>
      <c r="F248" s="337" t="str">
        <f>IF(ISBLANK(input_mgmt_az1_host12_fqdn),"Value Missing",input_mgmt_az1_host12_fqdn)</f>
        <v>Value Missing</v>
      </c>
      <c r="H248" s="4" t="s">
        <v>1530</v>
      </c>
      <c r="I248" s="337" t="str">
        <f>IF(ISBLANK(input_wld_az1_host12_fqdn),"Value Missing",input_wld_az1_host12_fqdn)</f>
        <v>Value Missing</v>
      </c>
      <c r="K248" s="379" t="s">
        <v>1547</v>
      </c>
      <c r="L248" s="380"/>
      <c r="N248" s="379" t="s">
        <v>1548</v>
      </c>
      <c r="O248" s="380"/>
      <c r="P248" s="24"/>
      <c r="Q248" s="379" t="s">
        <v>1549</v>
      </c>
      <c r="R248" s="380"/>
      <c r="S248" s="24"/>
      <c r="T248" s="379" t="s">
        <v>1550</v>
      </c>
      <c r="U248" s="380"/>
      <c r="V248" s="24"/>
      <c r="W248" s="379" t="s">
        <v>1551</v>
      </c>
      <c r="X248" s="380"/>
      <c r="Y248" s="24"/>
      <c r="Z248" s="379" t="s">
        <v>1552</v>
      </c>
      <c r="AA248" s="380"/>
      <c r="AB248" s="24"/>
      <c r="AC248" s="379" t="s">
        <v>1553</v>
      </c>
      <c r="AD248" s="380"/>
    </row>
    <row r="249" spans="5:30" ht="20.05" customHeight="1" x14ac:dyDescent="0.35">
      <c r="E249" s="4" t="s">
        <v>1532</v>
      </c>
      <c r="F249" s="337" t="str">
        <f>IF(ISBLANK(input_mgmt_az1_host13_fqdn),"Value Missing",input_mgmt_az1_host13_fqdn)</f>
        <v>Value Missing</v>
      </c>
      <c r="H249" s="4" t="s">
        <v>1532</v>
      </c>
      <c r="I249" s="337" t="str">
        <f>IF(ISBLANK(input_wld_az1_host13_fqdn),"Value Missing",input_wld_az1_host13_fqdn)</f>
        <v>Value Missing</v>
      </c>
      <c r="J249" s="6"/>
      <c r="K249" s="4" t="s">
        <v>1554</v>
      </c>
      <c r="L249" s="337"/>
      <c r="N249" s="4" t="s">
        <v>1554</v>
      </c>
      <c r="O249" s="337"/>
      <c r="Q249" s="4" t="s">
        <v>1554</v>
      </c>
      <c r="R249" s="337"/>
      <c r="T249" s="4" t="s">
        <v>1554</v>
      </c>
      <c r="U249" s="337"/>
      <c r="W249" s="4" t="s">
        <v>1554</v>
      </c>
      <c r="X249" s="337"/>
      <c r="Z249" s="4" t="s">
        <v>1554</v>
      </c>
      <c r="AA249" s="337"/>
      <c r="AC249" s="4" t="s">
        <v>1554</v>
      </c>
      <c r="AD249" s="337"/>
    </row>
    <row r="250" spans="5:30" ht="20.05" customHeight="1" x14ac:dyDescent="0.35">
      <c r="E250" s="4" t="s">
        <v>1533</v>
      </c>
      <c r="F250" s="337" t="str">
        <f>IF(ISBLANK(input_mgmt_az1_host14_fqdn),"Value Missing",input_mgmt_az1_host14_fqdn)</f>
        <v>Value Missing</v>
      </c>
      <c r="H250" s="4" t="s">
        <v>1533</v>
      </c>
      <c r="I250" s="337" t="str">
        <f>IF(ISBLANK(input_wld_az1_host14_fqdn),"Value Missing",input_wld_az1_host14_fqdn)</f>
        <v>Value Missing</v>
      </c>
      <c r="J250" s="6"/>
      <c r="K250" s="4" t="s">
        <v>1555</v>
      </c>
      <c r="L250" s="337"/>
      <c r="N250" s="4" t="s">
        <v>1555</v>
      </c>
      <c r="O250" s="337"/>
      <c r="Q250" s="4" t="s">
        <v>1555</v>
      </c>
      <c r="R250" s="337"/>
      <c r="T250" s="4" t="s">
        <v>1555</v>
      </c>
      <c r="U250" s="337"/>
      <c r="W250" s="4" t="s">
        <v>1555</v>
      </c>
      <c r="X250" s="337"/>
      <c r="Z250" s="4" t="s">
        <v>1555</v>
      </c>
      <c r="AA250" s="337"/>
      <c r="AC250" s="4" t="s">
        <v>1555</v>
      </c>
      <c r="AD250" s="337"/>
    </row>
    <row r="251" spans="5:30" ht="20.05" customHeight="1" x14ac:dyDescent="0.35">
      <c r="E251" s="4" t="s">
        <v>1536</v>
      </c>
      <c r="F251" s="337" t="str">
        <f>IF(ISBLANK(input_mgmt_az1_host15_fqdn),"Value Missing",input_mgmt_az1_host15_fqdn)</f>
        <v>Value Missing</v>
      </c>
      <c r="H251" s="4" t="s">
        <v>1536</v>
      </c>
      <c r="I251" s="337" t="str">
        <f>IF(ISBLANK(input_wld_az1_host15_fqdn),"Value Missing",input_wld_az1_host15_fqdn)</f>
        <v>Value Missing</v>
      </c>
      <c r="K251" s="4" t="s">
        <v>1556</v>
      </c>
      <c r="L251" s="337"/>
      <c r="N251" s="4" t="s">
        <v>1556</v>
      </c>
      <c r="O251" s="337"/>
      <c r="Q251" s="4" t="s">
        <v>1556</v>
      </c>
      <c r="R251" s="337"/>
      <c r="T251" s="4" t="s">
        <v>1556</v>
      </c>
      <c r="U251" s="337"/>
      <c r="W251" s="4" t="s">
        <v>1556</v>
      </c>
      <c r="X251" s="337"/>
      <c r="Z251" s="4" t="s">
        <v>1556</v>
      </c>
      <c r="AA251" s="337"/>
      <c r="AC251" s="4" t="s">
        <v>1556</v>
      </c>
      <c r="AD251" s="337"/>
    </row>
    <row r="252" spans="5:30" ht="20.05" customHeight="1" x14ac:dyDescent="0.35">
      <c r="E252" s="4" t="s">
        <v>1537</v>
      </c>
      <c r="F252" s="337" t="str">
        <f>IF(ISBLANK(input_mgmt_az1_host16_fqdn),"Value Missing",input_mgmt_az1_host16_fqdn)</f>
        <v>Value Missing</v>
      </c>
      <c r="H252" s="4" t="s">
        <v>1537</v>
      </c>
      <c r="I252" s="337" t="str">
        <f>IF(ISBLANK(input_wld_az1_host16_fqdn),"Value Missing",input_wld_az1_host16_fqdn)</f>
        <v>Value Missing</v>
      </c>
      <c r="K252" s="4" t="s">
        <v>1557</v>
      </c>
      <c r="L252" s="337"/>
      <c r="M252" s="2"/>
      <c r="N252" s="4" t="s">
        <v>1557</v>
      </c>
      <c r="O252" s="337"/>
      <c r="Q252" s="4" t="s">
        <v>1557</v>
      </c>
      <c r="R252" s="337"/>
      <c r="T252" s="4" t="s">
        <v>1557</v>
      </c>
      <c r="U252" s="337"/>
      <c r="W252" s="4" t="s">
        <v>1557</v>
      </c>
      <c r="X252" s="337"/>
      <c r="Z252" s="4" t="s">
        <v>1557</v>
      </c>
      <c r="AA252" s="337"/>
      <c r="AC252" s="4" t="s">
        <v>1557</v>
      </c>
      <c r="AD252" s="337"/>
    </row>
    <row r="253" spans="5:30" ht="20.05" customHeight="1" x14ac:dyDescent="0.35">
      <c r="H253" s="2"/>
      <c r="I253" s="2"/>
      <c r="K253" s="4" t="s">
        <v>1558</v>
      </c>
      <c r="L253" s="337"/>
      <c r="M253" s="2"/>
      <c r="N253" s="4" t="s">
        <v>1558</v>
      </c>
      <c r="O253" s="337"/>
      <c r="Q253" s="4" t="s">
        <v>1558</v>
      </c>
      <c r="R253" s="337"/>
      <c r="T253" s="4" t="s">
        <v>1558</v>
      </c>
      <c r="U253" s="337"/>
      <c r="W253" s="4" t="s">
        <v>1558</v>
      </c>
      <c r="X253" s="337"/>
      <c r="Z253" s="4" t="s">
        <v>1558</v>
      </c>
      <c r="AA253" s="337"/>
      <c r="AC253" s="4" t="s">
        <v>1558</v>
      </c>
      <c r="AD253" s="337"/>
    </row>
    <row r="254" spans="5:30" ht="20.05" customHeight="1" x14ac:dyDescent="0.35">
      <c r="E254" s="379" t="s">
        <v>1561</v>
      </c>
      <c r="F254" s="380"/>
      <c r="H254" s="379" t="s">
        <v>1562</v>
      </c>
      <c r="I254" s="380"/>
      <c r="K254" s="4" t="s">
        <v>1559</v>
      </c>
      <c r="L254" s="337"/>
      <c r="M254" s="9" t="str">
        <f>IF(wld_dpg_separation_result="Included",(CONCATENATE(prefix_wld_az1_rack_cidr,".21.0/24")),(CONCATENATE(prefix_wld_az1_rack_cidr,".22.0/24")))</f>
        <v>10.13..21.0/24</v>
      </c>
      <c r="N254" s="4" t="s">
        <v>1559</v>
      </c>
      <c r="O254" s="337"/>
      <c r="Q254" s="4" t="s">
        <v>1559</v>
      </c>
      <c r="R254" s="337"/>
      <c r="T254" s="4" t="s">
        <v>1559</v>
      </c>
      <c r="U254" s="337"/>
      <c r="W254" s="4" t="s">
        <v>1559</v>
      </c>
      <c r="X254" s="337"/>
      <c r="Z254" s="4" t="s">
        <v>1559</v>
      </c>
      <c r="AA254" s="337"/>
      <c r="AC254" s="4" t="s">
        <v>1559</v>
      </c>
      <c r="AD254" s="337"/>
    </row>
    <row r="255" spans="5:30" ht="20.05" customHeight="1" x14ac:dyDescent="0.35">
      <c r="E255" s="4" t="s">
        <v>1554</v>
      </c>
      <c r="F255" s="337" t="str">
        <f>IF(mgmt_az1_en1_fqdn="Value Missing",mgmt_az1_en1_fqdn,LEFT(mgmt_az1_en1_fqdn,FIND(".",mgmt_az1_en1_fqdn)-1))</f>
        <v>Value Missing</v>
      </c>
      <c r="H255" s="4" t="s">
        <v>1554</v>
      </c>
      <c r="I255" s="337" t="str">
        <f>IF(wld_az1_en1_fqdn="Value Missing",wld_az1_en1_fqdn,LEFT(wld_az1_en1_fqdn,FIND(".",wld_az1_en1_fqdn)-1))</f>
        <v>Value Missing</v>
      </c>
      <c r="K255" s="4" t="s">
        <v>1560</v>
      </c>
      <c r="L255" s="337"/>
      <c r="M255" s="9" t="str">
        <f>IF(wld_dpg_separation_result="Included",(CONCATENATE(prefix_wld_az1_rack_cidr,".32.0/24")),(CONCATENATE(prefix_wld_az1_rack_cidr,".33.0/24")))</f>
        <v>10.13..32.0/24</v>
      </c>
      <c r="N255" s="4" t="s">
        <v>1560</v>
      </c>
      <c r="O255" s="337"/>
      <c r="Q255" s="4" t="s">
        <v>1560</v>
      </c>
      <c r="R255" s="337"/>
      <c r="T255" s="4" t="s">
        <v>1560</v>
      </c>
      <c r="U255" s="337"/>
      <c r="W255" s="4" t="s">
        <v>1560</v>
      </c>
      <c r="X255" s="337"/>
      <c r="Z255" s="4" t="s">
        <v>1560</v>
      </c>
      <c r="AA255" s="337"/>
      <c r="AC255" s="4" t="s">
        <v>1560</v>
      </c>
      <c r="AD255" s="337"/>
    </row>
    <row r="256" spans="5:30" ht="20.05" customHeight="1" x14ac:dyDescent="0.35">
      <c r="E256" s="4" t="s">
        <v>1555</v>
      </c>
      <c r="F256" s="337" t="str">
        <f>mgmt_az1_en1_fqdn</f>
        <v>Value Missing</v>
      </c>
      <c r="H256" s="4" t="s">
        <v>1555</v>
      </c>
      <c r="I256" s="337" t="str">
        <f>wld_az1_en1_fqdn</f>
        <v>Value Missing</v>
      </c>
      <c r="K256" s="6"/>
      <c r="L256" s="2"/>
      <c r="M256" s="9" t="str">
        <f>IF(wld_dpg_separation_result="Included",(CONCATENATE(prefix_wld_az1_rack_cidr,".43.0/24")),(CONCATENATE(prefix_wld_az1_rack_cidr,".44.0/24")))</f>
        <v>10.13..43.0/24</v>
      </c>
      <c r="N256" s="6"/>
      <c r="O256" s="2"/>
      <c r="Q256" s="6"/>
      <c r="R256" s="2"/>
      <c r="T256" s="6"/>
      <c r="U256" s="2"/>
      <c r="W256" s="6"/>
      <c r="X256" s="2"/>
      <c r="Z256" s="6"/>
      <c r="AA256" s="2"/>
      <c r="AC256" s="6"/>
      <c r="AD256" s="2"/>
    </row>
    <row r="257" spans="5:31" ht="20.05" customHeight="1" x14ac:dyDescent="0.35">
      <c r="E257" s="4" t="s">
        <v>1556</v>
      </c>
      <c r="F257" s="337" t="str">
        <f>IF(mgmt_az1_en1_mgmt_cidr="Value Missing","Value Missing",(_xlfn.TEXTBEFORE(mgmt_az1_en1_mgmt_cidr,"/",1)))</f>
        <v>Value Missing</v>
      </c>
      <c r="H257" s="4" t="s">
        <v>1556</v>
      </c>
      <c r="I257" s="337" t="str">
        <f>IF(wld_az1_en1_mgmt_cidr="Value Missing","Value Missing",(_xlfn.TEXTBEFORE(wld_az1_en1_mgmt_cidr,"/",1)))</f>
        <v>Value Missing</v>
      </c>
      <c r="L257" s="19"/>
      <c r="M257" s="9" t="str">
        <f>IF(wld_dpg_separation_result="Included",(CONCATENATE(prefix_wld_az1_rack_cidr,".54.0/24")),(CONCATENATE(prefix_wld_az1_rack_cidr,".55.0/24")))</f>
        <v>10.13..54.0/24</v>
      </c>
      <c r="P257" s="2"/>
      <c r="S257" s="2"/>
      <c r="V257" s="2"/>
      <c r="W257" s="2"/>
      <c r="Y257" s="2"/>
      <c r="AB257" s="2"/>
    </row>
    <row r="258" spans="5:31" ht="20.05" customHeight="1" x14ac:dyDescent="0.35">
      <c r="E258" s="4" t="s">
        <v>1563</v>
      </c>
      <c r="F258" s="337" t="str">
        <f>IF(ISBLANK('Configure Management Domain'!D107),"Value Missing",'Configure Management Domain'!D107)</f>
        <v>Value Missing</v>
      </c>
      <c r="H258" s="4" t="s">
        <v>1563</v>
      </c>
      <c r="I258" s="337" t="str">
        <f>IF(ISBLANK('Configure Workload Domain'!D50),"Value Missing",'Configure Workload Domain'!D50)</f>
        <v>Value Missing</v>
      </c>
      <c r="L258" s="19"/>
      <c r="M258" s="9" t="str">
        <f>IF(wld_dpg_separation_result="Included",(CONCATENATE(prefix_wld_az1_rack_cidr,".65.0/24")),(CONCATENATE(prefix_wld_az1_rack_cidr,".66.0/24")))</f>
        <v>10.13..65.0/24</v>
      </c>
      <c r="P258" s="2"/>
      <c r="S258" s="2"/>
      <c r="V258" s="2"/>
      <c r="W258" s="2"/>
      <c r="Y258" s="2"/>
      <c r="AB258" s="2"/>
    </row>
    <row r="259" spans="5:31" ht="20.05" customHeight="1" x14ac:dyDescent="0.35">
      <c r="E259" s="4" t="s">
        <v>1557</v>
      </c>
      <c r="F259" s="337" t="str">
        <f>IF(ISBLANK('Configure Management Domain'!D159),"Value Missing",'Configure Management Domain'!D159)</f>
        <v>Value Missing</v>
      </c>
      <c r="H259" s="4" t="s">
        <v>1557</v>
      </c>
      <c r="I259" s="337" t="str">
        <f>IF(ISBLANK('Configure Workload Domain'!D102),"Value Missing",'Configure Workload Domain'!D102)</f>
        <v>Value Missing</v>
      </c>
      <c r="K259" s="201" t="str">
        <f t="array" ref="K259">IF(wld_dpg_separation_result="Included",CONCATENATE(prefix_wld_az1_rack_vlan,"21"),CONCATENATE(prefix_wld_az1_rack_vlan,"22"))</f>
        <v>1321</v>
      </c>
      <c r="L259" s="347"/>
      <c r="M259" s="9" t="str">
        <f>IF(wld_dpg_separation_result="Included",(CONCATENATE(prefix_wld_az1_rack_cidr,".76.0/24")),(CONCATENATE(prefix_wld_az1_rack_cidr,".77.0/24")))</f>
        <v>10.13..76.0/24</v>
      </c>
      <c r="N259" s="347"/>
      <c r="O259" s="9" t="str">
        <f>IF(wld_dpg_separation_result="Included",CONCATENATE(prefix_wld_az1_rack_cidr,".21.1"),CONCATENATE(prefix_wld_az1_rack_cidr,".22.1"))</f>
        <v>10.13..21.1</v>
      </c>
      <c r="P259" s="347"/>
      <c r="Q259" s="9">
        <v>1500</v>
      </c>
      <c r="R259" s="347"/>
      <c r="S259" s="2"/>
      <c r="V259" s="2"/>
      <c r="W259" s="2"/>
      <c r="Y259" s="2"/>
      <c r="AB259" s="2"/>
    </row>
    <row r="260" spans="5:31" ht="20.05" customHeight="1" x14ac:dyDescent="0.35">
      <c r="E260" s="4" t="s">
        <v>1558</v>
      </c>
      <c r="F260" s="337" t="str">
        <f>IF(ISBLANK('Configure Management Domain'!D166),"Value Missing",'Configure Management Domain'!D166)</f>
        <v>Value Missing</v>
      </c>
      <c r="H260" s="4" t="s">
        <v>1558</v>
      </c>
      <c r="I260" s="337" t="str">
        <f>IF(ISBLANK('Configure Workload Domain'!D109),"Value Missing",'Configure Workload Domain'!D109)</f>
        <v>Value Missing</v>
      </c>
      <c r="K260" s="201" t="str">
        <f>IF(wld_dpg_separation_result="Included",CONCATENATE(prefix_wld_az1_rack_vlan,"32"),CONCATENATE(prefix_wld_az1_rack_vlan,"33"))</f>
        <v>1332</v>
      </c>
      <c r="L260" s="347"/>
      <c r="M260" s="9" t="str">
        <f>IF(wld_dpg_separation_result="Included",(CONCATENATE(prefix_wld_az1_rack_cidr,".87.0/24")),(CONCATENATE(prefix_wld_az1_rack_cidr,".88.0/24")))</f>
        <v>10.13..87.0/24</v>
      </c>
      <c r="N260" s="347"/>
      <c r="O260" s="9" t="str">
        <f>IF(wld_dpg_separation_result="Included",CONCATENATE(prefix_wld_az1_rack_cidr,".32.1"),CONCATENATE(prefix_wld_az1_rack_cidr,".33.1"))</f>
        <v>10.13..32.1</v>
      </c>
      <c r="P260" s="347"/>
      <c r="Q260" s="9">
        <v>1500</v>
      </c>
      <c r="R260" s="347"/>
      <c r="S260" s="2"/>
      <c r="V260" s="2"/>
      <c r="W260" s="2"/>
      <c r="Y260" s="2"/>
      <c r="AB260" s="2"/>
    </row>
    <row r="261" spans="5:31" ht="20.05" customHeight="1" x14ac:dyDescent="0.35">
      <c r="E261" s="4" t="s">
        <v>1559</v>
      </c>
      <c r="F261" s="337" t="str">
        <f>IF(ISBLANK('Configure Management Domain'!D120),"Value Missing",'Configure Management Domain'!D120)</f>
        <v>Value Missing</v>
      </c>
      <c r="H261" s="4" t="s">
        <v>1559</v>
      </c>
      <c r="I261" s="337" t="str">
        <f>IF(ISBLANK('Configure Workload Domain'!D63),"Value Missing",'Configure Workload Domain'!D63)</f>
        <v>Value Missing</v>
      </c>
      <c r="K261" s="201" t="str">
        <f>IF(wld_dpg_separation_result="Included",CONCATENATE(prefix_wld_az1_rack_vlan,"43"),CONCATENATE(prefix_wld_az1_rack_vlan,"44"))</f>
        <v>1343</v>
      </c>
      <c r="L261" s="347"/>
      <c r="M261" s="2"/>
      <c r="N261" s="347"/>
      <c r="O261" s="9" t="str">
        <f>IF(wld_dpg_separation_result="Included",CONCATENATE(prefix_wld_az1_rack_cidr,".43.1"),CONCATENATE(prefix_wld_az1_rack_cidr,".44.1"))</f>
        <v>10.13..43.1</v>
      </c>
      <c r="P261" s="347"/>
      <c r="Q261" s="9">
        <v>1500</v>
      </c>
      <c r="R261" s="347"/>
      <c r="S261" s="2"/>
      <c r="V261" s="2"/>
      <c r="W261" s="2"/>
      <c r="Y261" s="2"/>
      <c r="AB261" s="2"/>
    </row>
    <row r="262" spans="5:31" ht="20.05" customHeight="1" x14ac:dyDescent="0.35">
      <c r="E262" s="4" t="s">
        <v>1560</v>
      </c>
      <c r="F262" s="337" t="str">
        <f>IF(ISBLANK('Configure Management Domain'!D121),"Value Missing",'Configure Management Domain'!D121)</f>
        <v>Value Missing</v>
      </c>
      <c r="H262" s="4" t="s">
        <v>1560</v>
      </c>
      <c r="I262" s="337" t="str">
        <f>IF(ISBLANK('Configure Workload Domain'!D64),"Value Missing",'Configure Workload Domain'!D64)</f>
        <v>Value Missing</v>
      </c>
      <c r="K262" s="201" t="str">
        <f>IF(wld_dpg_separation_result="Included",CONCATENATE(prefix_wld_az1_rack_vlan,"54"),CONCATENATE(prefix_wld_az1_rack_vlan,"55"))</f>
        <v>1354</v>
      </c>
      <c r="L262" s="347"/>
      <c r="M262" s="2"/>
      <c r="N262" s="347"/>
      <c r="O262" s="9" t="str">
        <f>IF(wld_dpg_separation_result="Included",CONCATENATE(prefix_wld_az1_rack_cidr,".54.1"),CONCATENATE(prefix_wld_az1_rack_cidr,".55.1"))</f>
        <v>10.13..54.1</v>
      </c>
      <c r="P262" s="347"/>
      <c r="Q262" s="9">
        <v>1500</v>
      </c>
      <c r="R262" s="347"/>
      <c r="S262" s="2"/>
      <c r="V262" s="2"/>
      <c r="W262" s="2"/>
      <c r="Y262" s="2"/>
      <c r="AB262" s="2"/>
    </row>
    <row r="263" spans="5:31" ht="20.05" customHeight="1" x14ac:dyDescent="0.35">
      <c r="E263" s="4" t="s">
        <v>1564</v>
      </c>
      <c r="F263" s="337" t="str">
        <f>IF(ISBLANK(mgmt_en01_bfd_chosen),"Value Missing",mgmt_en01_bfd_chosen)</f>
        <v>Selected</v>
      </c>
      <c r="H263" s="6"/>
      <c r="I263" s="6"/>
      <c r="K263" s="201" t="str">
        <f>IF(wld_dpg_separation_result="Included",CONCATENATE(prefix_wld_az1_rack_vlan,"65"),CONCATENATE(prefix_wld_az1_rack_vlan,"66"))</f>
        <v>1365</v>
      </c>
      <c r="L263" s="347"/>
      <c r="M263" s="2"/>
      <c r="N263" s="347"/>
      <c r="O263" s="9" t="str">
        <f>IF(wld_dpg_separation_result="Included",CONCATENATE(prefix_wld_az1_rack_cidr,".65.1"),CONCATENATE(prefix_wld_az1_rack_cidr,".66.1"))</f>
        <v>10.13..65.1</v>
      </c>
      <c r="P263" s="347"/>
      <c r="Q263" s="9">
        <v>1500</v>
      </c>
      <c r="R263" s="347"/>
      <c r="S263" s="2"/>
      <c r="V263" s="2"/>
      <c r="W263" s="2"/>
      <c r="Y263" s="2"/>
      <c r="AB263" s="2"/>
    </row>
    <row r="264" spans="5:31" ht="20.05" customHeight="1" x14ac:dyDescent="0.35">
      <c r="E264" s="6"/>
      <c r="H264" s="6"/>
      <c r="K264" s="201" t="str">
        <f>IF(wld_dpg_separation_result="Included",CONCATENATE(prefix_wld_az1_rack_vlan,"76"),CONCATENATE(prefix_wld_az1_rack_vlan,"77"))</f>
        <v>1376</v>
      </c>
      <c r="L264" s="347"/>
      <c r="M264" s="2"/>
      <c r="N264" s="347"/>
      <c r="O264" s="9" t="str">
        <f>IF(wld_dpg_separation_result="Included",CONCATENATE(prefix_wld_az1_rack_cidr,".76.1"),CONCATENATE(prefix_wld_az1_rack_cidr,".77.1"))</f>
        <v>10.13..76.1</v>
      </c>
      <c r="P264" s="347"/>
      <c r="Q264" s="9">
        <v>1500</v>
      </c>
      <c r="R264" s="347"/>
      <c r="S264" s="2"/>
      <c r="V264" s="2"/>
      <c r="W264" s="2"/>
      <c r="Y264" s="2"/>
      <c r="AB264" s="2"/>
      <c r="AE264" s="19"/>
    </row>
    <row r="265" spans="5:31" ht="20.05" customHeight="1" x14ac:dyDescent="0.35">
      <c r="E265" s="379" t="s">
        <v>1565</v>
      </c>
      <c r="F265" s="380"/>
      <c r="G265" s="24"/>
      <c r="H265" s="379" t="s">
        <v>1566</v>
      </c>
      <c r="I265" s="380"/>
      <c r="K265" s="201" t="str">
        <f>IF(wld_dpg_separation_result="Included",CONCATENATE(prefix_wld_az1_rack_vlan,"87"),CONCATENATE(prefix_wld_az1_rack_vlan,"88"))</f>
        <v>1387</v>
      </c>
      <c r="L265" s="347"/>
      <c r="M265" s="2"/>
      <c r="N265" s="347"/>
      <c r="O265" s="9" t="str">
        <f>IF(wld_dpg_separation_result="Included",CONCATENATE(prefix_wld_az1_rack_cidr,".87.1"),CONCATENATE(prefix_wld_az1_rack_cidr,".88.1"))</f>
        <v>10.13..87.1</v>
      </c>
      <c r="P265" s="347"/>
      <c r="Q265" s="9">
        <v>1500</v>
      </c>
      <c r="R265" s="347"/>
      <c r="S265" s="2"/>
      <c r="V265" s="2"/>
      <c r="W265" s="2"/>
      <c r="Y265" s="2"/>
      <c r="AB265" s="2"/>
    </row>
    <row r="266" spans="5:31" ht="20.05" customHeight="1" x14ac:dyDescent="0.35">
      <c r="E266" s="4" t="s">
        <v>1554</v>
      </c>
      <c r="F266" s="337" t="str">
        <f>IF(mgmt_az1_en2_fqdn="Value Missing",mgmt_az1_en2_fqdn,LEFT(mgmt_az1_en2_fqdn,FIND(".",mgmt_az1_en2_fqdn)-1))</f>
        <v>Value Missing</v>
      </c>
      <c r="H266" s="4" t="s">
        <v>1554</v>
      </c>
      <c r="I266" s="337" t="str">
        <f>IF(wld_az1_en2_fqdn="Value Missing",wld_az1_en2_fqdn,LEFT(wld_az1_en2_fqdn,FIND(".",wld_az1_en2_fqdn)-1))</f>
        <v>Value Missing</v>
      </c>
      <c r="L266" s="19"/>
      <c r="M266" s="2"/>
      <c r="P266" s="2"/>
      <c r="S266" s="2"/>
      <c r="V266" s="2"/>
      <c r="W266" s="2"/>
      <c r="Y266" s="2"/>
      <c r="AB266" s="2"/>
    </row>
    <row r="267" spans="5:31" ht="20.05" customHeight="1" x14ac:dyDescent="0.35">
      <c r="E267" s="4" t="s">
        <v>1555</v>
      </c>
      <c r="F267" s="337" t="str">
        <f>mgmt_az1_en1_fqdn</f>
        <v>Value Missing</v>
      </c>
      <c r="H267" s="4" t="s">
        <v>1555</v>
      </c>
      <c r="I267" s="337" t="str">
        <f>wld_az1_en2_fqdn</f>
        <v>Value Missing</v>
      </c>
      <c r="L267" s="19"/>
      <c r="M267" s="2"/>
      <c r="P267" s="2"/>
      <c r="S267" s="2"/>
      <c r="V267" s="2"/>
      <c r="W267" s="2"/>
      <c r="Y267" s="2"/>
      <c r="AB267" s="2"/>
    </row>
    <row r="268" spans="5:31" ht="20.05" customHeight="1" x14ac:dyDescent="0.35">
      <c r="E268" s="4" t="s">
        <v>1556</v>
      </c>
      <c r="F268" s="337" t="str">
        <f>IF(mgmt_az1_en2_mgmt_cidr="Value Missing","Value Missing",(_xlfn.TEXTBEFORE(mgmt_az1_en2_mgmt_cidr,"/",1)))</f>
        <v>Value Missing</v>
      </c>
      <c r="H268" s="4" t="s">
        <v>1556</v>
      </c>
      <c r="I268" s="337" t="str">
        <f>IF(wld_az1_en2_mgmt_cidr="Value Missing","Value Missing",(_xlfn.TEXTBEFORE(wld_az1_en2_mgmt_cidr,"/",1)))</f>
        <v>Value Missing</v>
      </c>
      <c r="L268" s="19"/>
      <c r="M268" s="2"/>
      <c r="P268" s="2"/>
      <c r="S268" s="2"/>
      <c r="V268" s="2"/>
      <c r="W268" s="2"/>
      <c r="Y268" s="2"/>
      <c r="AB268" s="2"/>
    </row>
    <row r="269" spans="5:31" ht="20.05" customHeight="1" x14ac:dyDescent="0.35">
      <c r="E269" s="4" t="s">
        <v>1563</v>
      </c>
      <c r="F269" s="337" t="str">
        <f>IF(ISBLANK('Configure Management Domain'!D133),"Value Missing",'Configure Management Domain'!D133)</f>
        <v>Value Missing</v>
      </c>
      <c r="H269" s="4" t="s">
        <v>1563</v>
      </c>
      <c r="I269" s="337" t="str">
        <f>IF(ISBLANK('Configure Workload Domain'!D76),"Value Missing",'Configure Workload Domain'!D76)</f>
        <v>Value Missing</v>
      </c>
      <c r="L269" s="19"/>
      <c r="P269" s="2"/>
      <c r="S269" s="2"/>
      <c r="V269" s="2"/>
      <c r="W269" s="2"/>
      <c r="Y269" s="2"/>
      <c r="AB269" s="2"/>
    </row>
    <row r="270" spans="5:31" ht="20.05" customHeight="1" x14ac:dyDescent="0.35">
      <c r="E270" s="4" t="s">
        <v>1557</v>
      </c>
      <c r="F270" s="337" t="str">
        <f>IF(ISBLANK('Configure Management Domain'!D174),"Value Missing",'Configure Management Domain'!D174)</f>
        <v>Value Missing</v>
      </c>
      <c r="H270" s="4" t="s">
        <v>1557</v>
      </c>
      <c r="I270" s="337" t="str">
        <f>IF(ISBLANK('Configure Workload Domain'!D117),"Value Missing",'Configure Workload Domain'!D117)</f>
        <v>Value Missing</v>
      </c>
      <c r="L270" s="19"/>
      <c r="P270" s="2"/>
      <c r="S270" s="2"/>
      <c r="V270" s="2"/>
      <c r="W270" s="2"/>
      <c r="Y270" s="2"/>
      <c r="AB270" s="2"/>
    </row>
    <row r="271" spans="5:31" ht="20.05" customHeight="1" x14ac:dyDescent="0.35">
      <c r="E271" s="4" t="s">
        <v>1558</v>
      </c>
      <c r="F271" s="337" t="str">
        <f>IF(ISBLANK('Configure Management Domain'!D181),"Value Missing",'Configure Management Domain'!D181)</f>
        <v>Value Missing</v>
      </c>
      <c r="H271" s="4" t="s">
        <v>1558</v>
      </c>
      <c r="I271" s="337" t="str">
        <f>IF(ISBLANK('Configure Workload Domain'!D124),"Value Missing",'Configure Workload Domain'!D124)</f>
        <v>Value Missing</v>
      </c>
      <c r="L271" s="19"/>
      <c r="P271" s="2"/>
      <c r="S271" s="2"/>
      <c r="V271" s="2"/>
      <c r="W271" s="2"/>
      <c r="Y271" s="2"/>
      <c r="AB271" s="2"/>
    </row>
    <row r="272" spans="5:31" ht="20.05" customHeight="1" x14ac:dyDescent="0.35">
      <c r="E272" s="4" t="s">
        <v>1559</v>
      </c>
      <c r="F272" s="337" t="str">
        <f>IF(ISBLANK('Configure Management Domain'!D144),"Value Missing",'Configure Management Domain'!D144)</f>
        <v>Value Missing</v>
      </c>
      <c r="H272" s="4" t="s">
        <v>1559</v>
      </c>
      <c r="I272" s="337" t="str">
        <f>IF(ISBLANK('Configure Workload Domain'!D87),"Value Missing",'Configure Workload Domain'!D87)</f>
        <v>Value Missing</v>
      </c>
      <c r="L272" s="19"/>
      <c r="S272" s="2"/>
      <c r="V272" s="2"/>
      <c r="W272" s="2"/>
      <c r="Y272" s="2"/>
      <c r="AB272" s="2"/>
    </row>
    <row r="273" spans="5:28" ht="20.05" customHeight="1" x14ac:dyDescent="0.35">
      <c r="E273" s="4" t="s">
        <v>1560</v>
      </c>
      <c r="F273" s="337" t="str">
        <f>IF(ISBLANK('Configure Management Domain'!D145),"Value Missing",'Configure Management Domain'!D145)</f>
        <v>Value Missing</v>
      </c>
      <c r="H273" s="4" t="s">
        <v>1560</v>
      </c>
      <c r="I273" s="337" t="str">
        <f>IF(ISBLANK('Configure Workload Domain'!D88),"Value Missing",'Configure Workload Domain'!D88)</f>
        <v>Value Missing</v>
      </c>
      <c r="L273" s="19"/>
      <c r="S273" s="2"/>
      <c r="V273" s="2"/>
      <c r="W273" s="2"/>
      <c r="Y273" s="2"/>
      <c r="AB273" s="2"/>
    </row>
    <row r="274" spans="5:28" ht="20.05" customHeight="1" x14ac:dyDescent="0.35">
      <c r="E274" s="4" t="s">
        <v>1564</v>
      </c>
      <c r="F274" s="337" t="str">
        <f>IF(ISBLANK(mgmt_en02_bfd_chosen),"Value Missing",mgmt_en02_bfd_chosen)</f>
        <v>Selected</v>
      </c>
      <c r="H274" s="6"/>
      <c r="I274" s="2"/>
    </row>
    <row r="276" spans="5:28" ht="20.05" customHeight="1" x14ac:dyDescent="0.35">
      <c r="E276" s="379" t="s">
        <v>1567</v>
      </c>
      <c r="F276" s="381"/>
      <c r="H276" s="379" t="s">
        <v>1568</v>
      </c>
      <c r="I276" s="381"/>
    </row>
    <row r="277" spans="5:28" ht="20.05" customHeight="1" x14ac:dyDescent="0.35">
      <c r="E277" s="11" t="s">
        <v>261</v>
      </c>
      <c r="F277" s="14" t="s">
        <v>1569</v>
      </c>
      <c r="H277" s="11" t="s">
        <v>261</v>
      </c>
      <c r="I277" s="12" t="s">
        <v>1569</v>
      </c>
    </row>
    <row r="278" spans="5:28" ht="20.05" customHeight="1" x14ac:dyDescent="0.35">
      <c r="E278" s="4" t="s">
        <v>1272</v>
      </c>
      <c r="F278" s="337"/>
      <c r="H278" s="4" t="s">
        <v>1272</v>
      </c>
      <c r="I278" s="337"/>
    </row>
    <row r="279" spans="5:28" ht="20.05" customHeight="1" x14ac:dyDescent="0.35">
      <c r="E279" s="4" t="s">
        <v>1274</v>
      </c>
      <c r="F279" s="337" t="str">
        <f>IF(ISBLANK('Configure Management Domain'!D225),"Value Missing",'Configure Management Domain'!D225)</f>
        <v>Value Missing</v>
      </c>
      <c r="G279" s="24"/>
      <c r="H279" s="4" t="s">
        <v>1274</v>
      </c>
      <c r="I279" s="337" t="str">
        <f>IF(ISBLANK('Configure Workload Domain'!D169),"Value Missing",'Configure Workload Domain'!D169)</f>
        <v>Value Missing</v>
      </c>
    </row>
    <row r="280" spans="5:28" ht="20.05" customHeight="1" x14ac:dyDescent="0.35">
      <c r="E280" s="4" t="s">
        <v>251</v>
      </c>
      <c r="F280" s="337" t="str">
        <f>IF(ISBLANK('Configure Management Domain'!D252),"Value Missing",'Configure Management Domain'!D252)</f>
        <v>Value Missing</v>
      </c>
      <c r="H280" s="4" t="s">
        <v>251</v>
      </c>
      <c r="I280" s="337" t="str">
        <f>IF(ISBLANK(input_wld_az2_vmotion_vlan),"Value Missing",input_wld_az2_vmotion_vlan)</f>
        <v>Value Missing</v>
      </c>
    </row>
    <row r="281" spans="5:28" ht="20.05" customHeight="1" x14ac:dyDescent="0.35">
      <c r="E281" s="17" t="str">
        <f>CONCATENATE("Principal Storage Network ",wld_principal_storage_chosen)</f>
        <v>Principal Storage Network vSAN-ESA</v>
      </c>
      <c r="F281" s="337" t="str">
        <f>IF(ISBLANK('Configure Management Domain'!D260),"Value Missing",'Configure Management Domain'!D260)</f>
        <v>Value Missing</v>
      </c>
      <c r="H281" s="17" t="s">
        <v>1570</v>
      </c>
      <c r="I281" s="337" t="str">
        <f>IF(ISBLANK(input_wld_az2_principal_storage_vlan),"Value Missing",input_wld_az2_principal_storage_vlan)</f>
        <v>Value Missing</v>
      </c>
    </row>
    <row r="282" spans="5:28" ht="20.05" customHeight="1" x14ac:dyDescent="0.35">
      <c r="E282" s="4" t="s">
        <v>1278</v>
      </c>
      <c r="F282" s="337" t="str">
        <f>IF(ISBLANK('Configure Management Domain'!D365),"Value Missing",'Configure Management Domain'!D365)</f>
        <v>Value Missing</v>
      </c>
      <c r="H282" s="4" t="s">
        <v>1278</v>
      </c>
      <c r="I282" s="337" t="str">
        <f>IF(ISBLANK('Configure Workload Domain'!D323),"Value Missing",'Configure Workload Domain'!D323)</f>
        <v>Value Missing</v>
      </c>
    </row>
    <row r="283" spans="5:28" ht="20.05" customHeight="1" x14ac:dyDescent="0.35">
      <c r="E283" s="4" t="s">
        <v>1280</v>
      </c>
      <c r="F283" s="337" t="str">
        <f>IF(ISBLANK(input_mgmt_az2_secondary_storage_vlan),"Value Missing",input_mgmt_az2_secondary_storage_vlan)</f>
        <v>Value Missing</v>
      </c>
      <c r="H283" s="4" t="s">
        <v>1280</v>
      </c>
      <c r="I283" s="337" t="str">
        <f>IF(ISBLANK('Configure Workload Domain'!D213),"Value Missing",'Configure Workload Domain'!D213)</f>
        <v>Value Missing</v>
      </c>
    </row>
    <row r="284" spans="5:28" ht="20.05" customHeight="1" x14ac:dyDescent="0.35">
      <c r="E284" s="4" t="s">
        <v>1283</v>
      </c>
      <c r="F284" s="337" t="str">
        <f>IF(ISBLANK(input_mgmt_az1_uplink01_vlan),"Value Missing",input_mgmt_az1_uplink01_vlan)</f>
        <v>Value Missing</v>
      </c>
      <c r="H284" s="4" t="s">
        <v>805</v>
      </c>
      <c r="I284" s="337" t="str">
        <f>IF(ISBLANK(input_wld_az2_storage_cluster_vlan),"Value Missing",input_wld_az2_storage_cluster_vlan)</f>
        <v>Value Missing</v>
      </c>
    </row>
    <row r="285" spans="5:28" ht="20.05" customHeight="1" x14ac:dyDescent="0.35">
      <c r="E285" s="4" t="s">
        <v>1285</v>
      </c>
      <c r="F285" s="337" t="str">
        <f>IF(ISBLANK(input_mgmt_az1_uplink02_vlan),"Value Missing",input_mgmt_az1_uplink02_vlan)</f>
        <v>Value Missing</v>
      </c>
      <c r="H285" s="4" t="s">
        <v>1283</v>
      </c>
      <c r="I285" s="337" t="str">
        <f>IF(ISBLANK(input_wld_az1_uplink01_vlan),"Value Missing",input_wld_az1_uplink01_vlan)</f>
        <v>Value Missing</v>
      </c>
    </row>
    <row r="286" spans="5:28" ht="20.05" customHeight="1" x14ac:dyDescent="0.35">
      <c r="E286" s="4" t="s">
        <v>1287</v>
      </c>
      <c r="F286" s="337" t="str">
        <f>IF(ISBLANK(input_mgmt_az1_edge_overlay_vlan),"Value Missing",input_mgmt_az1_edge_overlay_vlan)</f>
        <v>Value Missing</v>
      </c>
      <c r="H286" s="4" t="s">
        <v>1285</v>
      </c>
      <c r="I286" s="337" t="str">
        <f>IF(ISBLANK(input_wld_az1_uplink02_vlan),"Value Missing",input_wld_az1_uplink02_vlan)</f>
        <v>Value Missing</v>
      </c>
    </row>
    <row r="287" spans="5:28" ht="20.05" customHeight="1" x14ac:dyDescent="0.35">
      <c r="E287" s="4" t="s">
        <v>1289</v>
      </c>
      <c r="F287" s="337" t="str">
        <f>IF(ISBLANK(input_mgmt_az1_rtep_overlay_vlan),"Value Missing",input_mgmt_az1_rtep_overlay_vlan)</f>
        <v>Value Missing</v>
      </c>
      <c r="H287" s="4" t="s">
        <v>1287</v>
      </c>
      <c r="I287" s="337" t="str">
        <f>IF(ISBLANK(input_wld_az1_edge_overlay_vlan),"Value Missing",input_wld_az1_edge_overlay_vlan)</f>
        <v>Value Missing</v>
      </c>
    </row>
    <row r="288" spans="5:28" ht="20.05" customHeight="1" x14ac:dyDescent="0.35">
      <c r="E288" s="4" t="s">
        <v>1291</v>
      </c>
      <c r="F288" s="337" t="str">
        <f>IF(ISBLANK(input_mgmt_az1_vrms_vlan),"Value Missing",input_mgmt_az1_vrms_vlan)</f>
        <v>Value Missing</v>
      </c>
      <c r="H288" s="4" t="s">
        <v>1289</v>
      </c>
      <c r="I288" s="337" t="str">
        <f>IF(ISBLANK(input_wld_az1_rtep_overlay_vlan),"Value Missing",input_wld_az1_rtep_overlay_vlan)</f>
        <v>Value Missing</v>
      </c>
    </row>
    <row r="289" spans="5:9" ht="20.05" customHeight="1" x14ac:dyDescent="0.35">
      <c r="E289" s="2"/>
      <c r="F289" s="2"/>
      <c r="H289" s="4" t="s">
        <v>1291</v>
      </c>
      <c r="I289" s="337" t="str">
        <f>IF(ISBLANK(input_wld_az1_vrms_vlan),"Value Missing",input_wld_az1_vrms_vlan)</f>
        <v>Value Missing</v>
      </c>
    </row>
    <row r="290" spans="5:9" ht="20.05" customHeight="1" x14ac:dyDescent="0.35">
      <c r="E290" s="379" t="s">
        <v>1571</v>
      </c>
      <c r="F290" s="381"/>
    </row>
    <row r="291" spans="5:9" ht="20.05" customHeight="1" x14ac:dyDescent="0.35">
      <c r="E291" s="11" t="s">
        <v>261</v>
      </c>
      <c r="F291" s="14" t="s">
        <v>1569</v>
      </c>
      <c r="H291" s="379" t="s">
        <v>1572</v>
      </c>
      <c r="I291" s="381"/>
    </row>
    <row r="292" spans="5:9" ht="20.05" customHeight="1" x14ac:dyDescent="0.35">
      <c r="E292" s="4" t="s">
        <v>1272</v>
      </c>
      <c r="F292" s="337"/>
      <c r="H292" s="11" t="s">
        <v>261</v>
      </c>
      <c r="I292" s="12" t="s">
        <v>1573</v>
      </c>
    </row>
    <row r="293" spans="5:9" ht="20.05" customHeight="1" x14ac:dyDescent="0.35">
      <c r="E293" s="4" t="s">
        <v>1274</v>
      </c>
      <c r="F293" s="337" t="str">
        <f>IF(ISBLANK('Configure Management Domain'!D227),"Value Missing",'Configure Management Domain'!D227)</f>
        <v>Value Missing</v>
      </c>
      <c r="G293" s="24"/>
      <c r="H293" s="4" t="s">
        <v>1272</v>
      </c>
      <c r="I293" s="337"/>
    </row>
    <row r="294" spans="5:9" ht="20.05" customHeight="1" x14ac:dyDescent="0.35">
      <c r="E294" s="4" t="s">
        <v>251</v>
      </c>
      <c r="F294" s="337" t="str">
        <f>IF(OR(mgmt_az2_vmotion_network="Value Missing",mgmt_az2_vmotion_network="Value Missing"),"Value Missing",(CONCATENATE(mgmt_az2_vmotion_network,"/",VLOOKUP(mgmt_az2_vmotion_mask,table_mask_to_cidr,2,FALSE))))</f>
        <v>Value Missing</v>
      </c>
      <c r="H294" s="4" t="s">
        <v>1274</v>
      </c>
      <c r="I294" s="337" t="str">
        <f>IF(ISBLANK('Configure Workload Domain'!D171),"Value Missing",'Configure Workload Domain'!D171)</f>
        <v>Value Missing</v>
      </c>
    </row>
    <row r="295" spans="5:9" ht="20.05" customHeight="1" x14ac:dyDescent="0.35">
      <c r="E295" s="17" t="str">
        <f>CONCATENATE("Principal Storage Network ",wld_principal_storage_chosen)</f>
        <v>Principal Storage Network vSAN-ESA</v>
      </c>
      <c r="F295" s="337" t="str">
        <f>IF(OR(mgmt_az2_vsan_network="Value Missing",mgmt_az2_vsan_network="Value Missing"),"Value Missing",(CONCATENATE(mgmt_az2_vsan_network,"/",VLOOKUP(mgmt_az2_vsan_mask,table_mask_to_cidr,2,FALSE))))</f>
        <v>Value Missing</v>
      </c>
      <c r="H295" s="4" t="s">
        <v>251</v>
      </c>
      <c r="I295" s="337" t="str">
        <f>IF(OR(ISBLANK(input_wld_az2_vmotion_network),input_wld_az2_vmotion_network="Value Missing"),"Value Missing",(CONCATENATE(input_wld_az2_vmotion_network,"/",VLOOKUP(input_wld_az2_vmotion_mask,table_mask_to_cidr,2,FALSE))))</f>
        <v>Value Missing</v>
      </c>
    </row>
    <row r="296" spans="5:9" ht="20.05" customHeight="1" x14ac:dyDescent="0.35">
      <c r="E296" s="4" t="s">
        <v>1278</v>
      </c>
      <c r="F296" s="337" t="str">
        <f>IF(ISBLANK(input_mgmt_az2_host_overlay_cidr),"Value Missing",input_mgmt_az2_host_overlay_cidr)</f>
        <v>Value Missing</v>
      </c>
      <c r="H296" s="17" t="s">
        <v>1570</v>
      </c>
      <c r="I296" s="337" t="str">
        <f>IF(OR(ISBLANK(input_wld_az2_principal_storage_network),input_wld_az2_principal_storage_network="Value Missing"),"Value Missing",(CONCATENATE(input_wld_az2_principal_storage_network,"/",VLOOKUP(input_wld_az2_principal_storage_mask,table_mask_to_cidr,2,FALSE))))</f>
        <v>Value Missing</v>
      </c>
    </row>
    <row r="297" spans="5:9" ht="20.05" customHeight="1" x14ac:dyDescent="0.35">
      <c r="E297" s="4" t="s">
        <v>1280</v>
      </c>
      <c r="F297" s="337" t="str">
        <f>IF(OR(mgmt_az2_secondary_storage_network="Value Missing",mgmt_az2_secondary_storage_network="Value Missing"),"Value Missing",(CONCATENATE(mgmt_az2_secondary_storage_network,"/",VLOOKUP(mgmt_az2_vmotion_mask,table_mask_to_cidr,2,FALSE))))</f>
        <v>Value Missing</v>
      </c>
      <c r="H297" s="4" t="s">
        <v>1278</v>
      </c>
      <c r="I297" s="337" t="str">
        <f>IF(ISBLANK(input_wld_az2_host_overlay_cidr),"Value Missing",input_wld_az2_host_overlay_cidr)</f>
        <v>Value Missing</v>
      </c>
    </row>
    <row r="298" spans="5:9" ht="20.05" customHeight="1" x14ac:dyDescent="0.35">
      <c r="E298" s="4" t="s">
        <v>1283</v>
      </c>
      <c r="F298" s="337" t="str">
        <f>IF(ISBLANK(input_mgmt_az1_uplink01_cidr),"Value Missing",input_mgmt_az1_uplink01_cidr)</f>
        <v>Value Missing</v>
      </c>
      <c r="H298" s="4" t="s">
        <v>1280</v>
      </c>
      <c r="I298" s="337" t="str">
        <f>IF(OR(wld_az2_secondary_storage_network="Value Missing",wld_az2_secondary_storage_mask="Value Missing"),"Value Missing",(CONCATENATE(wld_az2_secondary_storage_network,"/",VLOOKUP(wld_az2_secondary_storage_mask,table_mask_to_cidr,2,FALSE))))</f>
        <v>Value Missing</v>
      </c>
    </row>
    <row r="299" spans="5:9" ht="20.05" customHeight="1" x14ac:dyDescent="0.35">
      <c r="E299" s="4" t="s">
        <v>1285</v>
      </c>
      <c r="F299" s="337" t="str">
        <f>IF(ISBLANK(input_mgmt_az1_uplink02_cidr),"Value Missing",input_mgmt_az1_uplink02_cidr)</f>
        <v>Value Missing</v>
      </c>
      <c r="H299" s="4" t="s">
        <v>805</v>
      </c>
      <c r="I299" s="337" t="str">
        <f>IF(OR(ISBLANK(wld_az2_storage_cluster_network),wld_az2_storage_cluster_mask="Value Missing"),"Value Missing",(CONCATENATE(wld_az2_storage_cluster_network,"/",VLOOKUP(wld_az2_storage_cluster_mask,table_mask_to_cidr,2,FALSE))))</f>
        <v>Value Missing</v>
      </c>
    </row>
    <row r="300" spans="5:9" ht="20.05" customHeight="1" x14ac:dyDescent="0.35">
      <c r="E300" s="4" t="s">
        <v>1287</v>
      </c>
      <c r="F300" s="337" t="str">
        <f>IF(ISBLANK(input_mgmt_az1_edge_overlay_cidr),"Value Missing",input_mgmt_az1_edge_overlay_cidr)</f>
        <v>Value Missing</v>
      </c>
      <c r="H300" s="4" t="s">
        <v>1283</v>
      </c>
      <c r="I300" s="337" t="str">
        <f>IF(ISBLANK(input_wld_az1_uplink01_cidr),"Value Missing",input_wld_az1_uplink01_cidr)</f>
        <v>Value Missing</v>
      </c>
    </row>
    <row r="301" spans="5:9" ht="20.05" customHeight="1" x14ac:dyDescent="0.35">
      <c r="E301" s="4" t="s">
        <v>1289</v>
      </c>
      <c r="F301" s="337" t="str">
        <f>IF(ISBLANK(input_mgmt_az1_rtep_overlay_cidr),"Value Missing",input_mgmt_az1_rtep_overlay_cidr)</f>
        <v>Value Missing</v>
      </c>
      <c r="H301" s="4" t="s">
        <v>1285</v>
      </c>
      <c r="I301" s="337" t="str">
        <f>IF(ISBLANK(input_wld_az1_uplink02_cidr),"Value Missing",input_wld_az1_uplink02_cidr)</f>
        <v>Value Missing</v>
      </c>
    </row>
    <row r="302" spans="5:9" ht="20.05" customHeight="1" x14ac:dyDescent="0.35">
      <c r="E302" s="4" t="s">
        <v>1291</v>
      </c>
      <c r="F302" s="337"/>
      <c r="H302" s="4" t="s">
        <v>1287</v>
      </c>
      <c r="I302" s="337" t="str">
        <f>IF(ISBLANK(input_wld_az1_edge_overlay_cidr),"Value Missing",input_wld_az1_edge_overlay_cidr)</f>
        <v>Value Missing</v>
      </c>
    </row>
    <row r="303" spans="5:9" ht="20.05" customHeight="1" x14ac:dyDescent="0.35">
      <c r="E303" s="6"/>
      <c r="F303" s="6"/>
      <c r="H303" s="4" t="s">
        <v>1289</v>
      </c>
      <c r="I303" s="337" t="str">
        <f>IF(ISBLANK(input_wld_az1_rtep_overlay_cidr),"Value Missing",input_wld_az1_rtep_overlay_cidr)</f>
        <v>Value Missing</v>
      </c>
    </row>
    <row r="304" spans="5:9" ht="20.05" customHeight="1" x14ac:dyDescent="0.35">
      <c r="E304" s="379" t="s">
        <v>1574</v>
      </c>
      <c r="F304" s="381"/>
      <c r="H304" s="4" t="s">
        <v>1291</v>
      </c>
      <c r="I304" s="337" t="str">
        <f>IF(ISBLANK(input_wld_az1_vrms_cidr),"Value Missing",input_wld_az1_vrms_cidr)</f>
        <v>Value Missing</v>
      </c>
    </row>
    <row r="305" spans="5:9" ht="20.05" customHeight="1" x14ac:dyDescent="0.35">
      <c r="E305" s="11" t="s">
        <v>261</v>
      </c>
      <c r="F305" s="14" t="s">
        <v>1569</v>
      </c>
      <c r="H305" s="6"/>
      <c r="I305" s="6"/>
    </row>
    <row r="306" spans="5:9" ht="20.05" customHeight="1" x14ac:dyDescent="0.35">
      <c r="E306" s="4" t="s">
        <v>1272</v>
      </c>
      <c r="F306" s="337"/>
      <c r="G306" s="24"/>
      <c r="H306" s="379" t="s">
        <v>1575</v>
      </c>
      <c r="I306" s="381"/>
    </row>
    <row r="307" spans="5:9" ht="20.05" customHeight="1" x14ac:dyDescent="0.35">
      <c r="E307" s="4" t="s">
        <v>1274</v>
      </c>
      <c r="F307" s="337" t="str">
        <f>IF(ISBLANK(input_mgmt_az2_mgmt_cidr),"Value Missing",LEFT(mgmt_az2_mgmt_cidr,(FIND("/",mgmt_az2_mgmt_cidr)-1)))</f>
        <v>Value Missing</v>
      </c>
      <c r="G307" s="24"/>
      <c r="H307" s="11" t="s">
        <v>261</v>
      </c>
      <c r="I307" s="12" t="s">
        <v>1573</v>
      </c>
    </row>
    <row r="308" spans="5:9" ht="20.05" customHeight="1" x14ac:dyDescent="0.35">
      <c r="E308" s="4" t="s">
        <v>251</v>
      </c>
      <c r="F308" s="337" t="str">
        <f>IF(ISBLANK(input_mgmt_az2_vmotion_network),"Value Missing",input_mgmt_az2_vmotion_network)</f>
        <v>Value Missing</v>
      </c>
      <c r="H308" s="4" t="s">
        <v>1272</v>
      </c>
      <c r="I308" s="337" t="s">
        <v>632</v>
      </c>
    </row>
    <row r="309" spans="5:9" ht="20.05" customHeight="1" x14ac:dyDescent="0.35">
      <c r="E309" s="17" t="str">
        <f>CONCATENATE("Principal Storage Network ",wld_principal_storage_chosen)</f>
        <v>Principal Storage Network vSAN-ESA</v>
      </c>
      <c r="F309" s="337" t="str">
        <f>IF(ISBLANK(input_mgmt_az2_vsan_network),"Value Missing",input_mgmt_az2_vsan_network)</f>
        <v>Value Missing</v>
      </c>
      <c r="H309" s="4" t="s">
        <v>1274</v>
      </c>
      <c r="I309" s="337" t="str">
        <f>IF(OR(ISBLANK(wld_az2_mgmt_cidr),wld_az2_mgmt_cidr="Value Missing"),"Value Missing",LEFT(wld_az2_mgmt_cidr,(FIND("/",wld_az2_mgmt_cidr)-1)))</f>
        <v>Value Missing</v>
      </c>
    </row>
    <row r="310" spans="5:9" ht="20.05" customHeight="1" x14ac:dyDescent="0.35">
      <c r="E310" s="4" t="s">
        <v>1278</v>
      </c>
      <c r="F310" s="337" t="str">
        <f>IF(OR(ISBLANK(mgmt_az2_host_overlay_cidr),mgmt_az2_host_overlay_cidr="Value Missing"),"Value Missing",LEFT(mgmt_az2_host_overlay_cidr,(FIND("/",mgmt_az2_host_overlay_cidr)-1)))</f>
        <v>Value Missing</v>
      </c>
      <c r="H310" s="4" t="s">
        <v>251</v>
      </c>
      <c r="I310" s="337" t="str">
        <f>IF(ISBLANK(input_wld_az2_vmotion_network),"Value Missing",input_wld_az2_vmotion_network)</f>
        <v>Value Missing</v>
      </c>
    </row>
    <row r="311" spans="5:9" ht="20.05" customHeight="1" x14ac:dyDescent="0.35">
      <c r="E311" s="4" t="s">
        <v>1280</v>
      </c>
      <c r="F311" s="337" t="str">
        <f>IF(ISBLANK(input_mgmt_az2_secondary_storage_network),"Value Missing",input_mgmt_az2_secondary_storage_network)</f>
        <v>Value Missing</v>
      </c>
      <c r="H311" s="17" t="s">
        <v>1570</v>
      </c>
      <c r="I311" s="337" t="str">
        <f>IF(ISBLANK(input_wld_az2_principal_storage_network),"Value Missing",input_wld_az2_principal_storage_network)</f>
        <v>Value Missing</v>
      </c>
    </row>
    <row r="312" spans="5:9" ht="20.05" customHeight="1" x14ac:dyDescent="0.35">
      <c r="E312" s="4" t="s">
        <v>1283</v>
      </c>
      <c r="F312" s="337" t="str">
        <f>IF(mgmt_az1_uplink01_cidr="Value Missing",mgmt_az1_uplink01_cidr,LEFT(mgmt_az1_uplink01_cidr,(FIND("/",mgmt_az1_uplink01_cidr)-1)))</f>
        <v>Value Missing</v>
      </c>
      <c r="H312" s="4" t="s">
        <v>1278</v>
      </c>
      <c r="I312" s="337" t="str">
        <f>IF(OR(ISBLANK(wld_az2_host_overlay_cidr),wld_az2_host_overlay_cidr="Value Missing"),"Value Missing",LEFT(wld_az2_host_overlay_cidr,(FIND("/",wld_az2_host_overlay_cidr)-1)))</f>
        <v>Value Missing</v>
      </c>
    </row>
    <row r="313" spans="5:9" ht="20.05" customHeight="1" x14ac:dyDescent="0.35">
      <c r="E313" s="4" t="s">
        <v>1285</v>
      </c>
      <c r="F313" s="337" t="str">
        <f>IF(mgmt_az1_uplink02_cidr="Value Missing",mgmt_az1_uplink02_cidr,LEFT(mgmt_az1_uplink02_cidr,(FIND("/",mgmt_az1_uplink02_cidr)-1)))</f>
        <v>Value Missing</v>
      </c>
      <c r="H313" s="4" t="s">
        <v>1280</v>
      </c>
      <c r="I313" s="2" t="str">
        <f>IF(ISBLANK(input_wld_az2_secondary_storage_network),"Value Missing",input_wld_az2_secondary_storage_network)</f>
        <v>Value Missing</v>
      </c>
    </row>
    <row r="314" spans="5:9" ht="20.05" customHeight="1" x14ac:dyDescent="0.35">
      <c r="E314" s="4" t="s">
        <v>1287</v>
      </c>
      <c r="F314" s="337" t="str">
        <f>IF(mgmt_az1_edge_overlay_cidr="Value Missing",mgmt_az1_edge_overlay_cidr,(LEFT(mgmt_az1_edge_overlay_cidr,(FIND("/",mgmt_az1_edge_overlay_cidr)-1))))</f>
        <v>Value Missing</v>
      </c>
      <c r="H314" s="4" t="s">
        <v>805</v>
      </c>
      <c r="I314" s="2" t="str">
        <f>IF(ISBLANK(input_wld_az2_storage_cluster_network),"Value Missing",input_wld_az2_storage_cluster_network)</f>
        <v>Value Missing</v>
      </c>
    </row>
    <row r="315" spans="5:9" ht="20.05" customHeight="1" x14ac:dyDescent="0.35">
      <c r="E315" s="4" t="s">
        <v>1289</v>
      </c>
      <c r="F315" s="337" t="str">
        <f>mgmt_az1_rtep_overlay_cidr</f>
        <v>Value Missing</v>
      </c>
      <c r="H315" s="4" t="s">
        <v>1283</v>
      </c>
      <c r="I315" s="337" t="str">
        <f>wld_az1_uplink01_network</f>
        <v>Value Missing</v>
      </c>
    </row>
    <row r="316" spans="5:9" ht="20.05" customHeight="1" x14ac:dyDescent="0.35">
      <c r="E316" s="4" t="s">
        <v>1291</v>
      </c>
      <c r="F316" s="337"/>
      <c r="H316" s="4" t="s">
        <v>1285</v>
      </c>
      <c r="I316" s="337" t="str">
        <f>wld_az1_uplink02_network</f>
        <v>Value Missing</v>
      </c>
    </row>
    <row r="317" spans="5:9" ht="20.05" customHeight="1" x14ac:dyDescent="0.35">
      <c r="E317" s="2"/>
      <c r="F317" s="2"/>
      <c r="H317" s="4" t="s">
        <v>1287</v>
      </c>
      <c r="I317" s="337" t="str">
        <f>wld_az1_edge_overlay_network</f>
        <v>Value Missing</v>
      </c>
    </row>
    <row r="318" spans="5:9" ht="20.05" customHeight="1" x14ac:dyDescent="0.35">
      <c r="E318" s="379" t="s">
        <v>1576</v>
      </c>
      <c r="F318" s="381"/>
      <c r="H318" s="4" t="s">
        <v>1289</v>
      </c>
      <c r="I318" s="337" t="str">
        <f>IF(ISBLANK(input_wld_az1_rtep_overlay_cidr),"Value Missing",input_wld_az1_rtep_overlay_cidr)</f>
        <v>Value Missing</v>
      </c>
    </row>
    <row r="319" spans="5:9" ht="20.05" customHeight="1" x14ac:dyDescent="0.35">
      <c r="E319" s="11" t="s">
        <v>261</v>
      </c>
      <c r="F319" s="14" t="s">
        <v>1569</v>
      </c>
      <c r="H319" s="4" t="s">
        <v>1291</v>
      </c>
      <c r="I319" s="337" t="str">
        <f>IF(ISBLANK(input_wld_az1_vrms_cidr),"Value Missing",input_wld_az1_vrms_cidr)</f>
        <v>Value Missing</v>
      </c>
    </row>
    <row r="320" spans="5:9" ht="20.05" customHeight="1" x14ac:dyDescent="0.35">
      <c r="E320" s="4" t="s">
        <v>1272</v>
      </c>
      <c r="F320" s="337"/>
    </row>
    <row r="321" spans="5:9" ht="20.05" customHeight="1" x14ac:dyDescent="0.35">
      <c r="E321" s="4" t="s">
        <v>1274</v>
      </c>
      <c r="F321" s="337" t="str">
        <f>IF(mgmt_az2_mgmt_cidr="Value Missing","Value Missing",VLOOKUP(INT(RIGHT(mgmt_az2_mgmt_cidr,LEN(mgmt_az2_mgmt_cidr)-FIND("/",mgmt_az2_mgmt_cidr))),table_cidr_to_mask,2,FALSE))</f>
        <v>Value Missing</v>
      </c>
      <c r="G321" s="24"/>
      <c r="H321" s="379" t="s">
        <v>1577</v>
      </c>
      <c r="I321" s="381"/>
    </row>
    <row r="322" spans="5:9" ht="20.05" customHeight="1" x14ac:dyDescent="0.35">
      <c r="E322" s="4" t="s">
        <v>251</v>
      </c>
      <c r="F322" s="337" t="str">
        <f>IF(ISBLANK(input_mgmt_az2_vmotion_mask),"Value Missing",input_mgmt_az2_vmotion_mask)</f>
        <v>Value Missing</v>
      </c>
      <c r="H322" s="11" t="s">
        <v>261</v>
      </c>
      <c r="I322" s="12" t="s">
        <v>1573</v>
      </c>
    </row>
    <row r="323" spans="5:9" ht="20.05" customHeight="1" x14ac:dyDescent="0.35">
      <c r="E323" s="17" t="str">
        <f>CONCATENATE("Principal Storage Network ",wld_principal_storage_chosen)</f>
        <v>Principal Storage Network vSAN-ESA</v>
      </c>
      <c r="F323" s="337" t="str">
        <f>IF(ISBLANK(input_mgmt_az2_vsan_mask),"Value Missing",input_mgmt_az2_vsan_mask)</f>
        <v>Value Missing</v>
      </c>
      <c r="H323" s="4" t="s">
        <v>1272</v>
      </c>
      <c r="I323" s="337" t="s">
        <v>632</v>
      </c>
    </row>
    <row r="324" spans="5:9" ht="20.05" customHeight="1" x14ac:dyDescent="0.35">
      <c r="E324" s="4" t="s">
        <v>1278</v>
      </c>
      <c r="F324" s="337" t="str">
        <f>IF(mgmt_az2_host_overlay_cidr="Value Missing","Value Missing",(VLOOKUP(INT(RIGHT(mgmt_az2_host_overlay_cidr,LEN(mgmt_az2_host_overlay_cidr)-FIND("/",mgmt_az2_host_overlay_cidr))),table_cidr_to_mask,2,FALSE)))</f>
        <v>Value Missing</v>
      </c>
      <c r="H324" s="4" t="s">
        <v>1274</v>
      </c>
      <c r="I324" s="337" t="str">
        <f>IF(wld_az2_mgmt_cidr="Value Missing","Value Missing",VLOOKUP(INT(RIGHT(wld_az2_mgmt_cidr,LEN(wld_az2_mgmt_cidr)-FIND("/",wld_az2_mgmt_cidr))),table_cidr_to_mask,2,FALSE))</f>
        <v>Value Missing</v>
      </c>
    </row>
    <row r="325" spans="5:9" ht="20.05" customHeight="1" x14ac:dyDescent="0.35">
      <c r="E325" s="4" t="s">
        <v>1280</v>
      </c>
      <c r="F325" s="337" t="str">
        <f>IF(ISBLANK(input_mgmt_az2_secondary_storage_mask),"Value Missing",input_mgmt_az2_secondary_storage_mask)</f>
        <v>Value Missing</v>
      </c>
      <c r="H325" s="4" t="s">
        <v>251</v>
      </c>
      <c r="I325" s="337" t="str">
        <f>IF(ISBLANK(input_wld_az2_vmotion_mask),"Value Missing",input_wld_az2_vmotion_mask)</f>
        <v>Value Missing</v>
      </c>
    </row>
    <row r="326" spans="5:9" ht="20.05" customHeight="1" x14ac:dyDescent="0.35">
      <c r="E326" s="4" t="s">
        <v>1283</v>
      </c>
      <c r="F326" s="337" t="str">
        <f>mgmt_az1_uplink01_mask</f>
        <v>Value Missing</v>
      </c>
      <c r="H326" s="17" t="s">
        <v>1570</v>
      </c>
      <c r="I326" s="337" t="str">
        <f>IF(ISBLANK(input_wld_az2_principal_storage_mask),"Value Missing",input_wld_az2_principal_storage_mask)</f>
        <v>Value Missing</v>
      </c>
    </row>
    <row r="327" spans="5:9" ht="20.05" customHeight="1" x14ac:dyDescent="0.35">
      <c r="E327" s="4" t="s">
        <v>1285</v>
      </c>
      <c r="F327" s="337" t="str">
        <f>mgmt_az1_uplink02_mask</f>
        <v>Value Missing</v>
      </c>
      <c r="H327" s="4" t="s">
        <v>1278</v>
      </c>
      <c r="I327" s="337" t="str">
        <f>IF(wld_az2_host_overlay_cidr="Value Missing","Value Missing",(VLOOKUP(INT(RIGHT(wld_az2_host_overlay_cidr,LEN(wld_az2_host_overlay_cidr)-FIND("/",wld_az2_host_overlay_cidr))),table_cidr_to_mask,2,FALSE)))</f>
        <v>Value Missing</v>
      </c>
    </row>
    <row r="328" spans="5:9" ht="20.05" customHeight="1" x14ac:dyDescent="0.35">
      <c r="E328" s="4" t="s">
        <v>1287</v>
      </c>
      <c r="F328" s="337" t="str">
        <f>mgmt_az1_edge_overlay_mask</f>
        <v>Value Missing</v>
      </c>
      <c r="H328" s="4" t="s">
        <v>1280</v>
      </c>
      <c r="I328" s="2" t="str">
        <f>IF(ISBLANK(input_wld_az2_secondary_storage_mask),"Value Missing",input_wld_az2_secondary_storage_mask)</f>
        <v>Value Missing</v>
      </c>
    </row>
    <row r="329" spans="5:9" ht="20.05" customHeight="1" x14ac:dyDescent="0.35">
      <c r="E329" s="4" t="s">
        <v>1289</v>
      </c>
      <c r="F329" s="337"/>
      <c r="H329" s="4" t="s">
        <v>805</v>
      </c>
      <c r="I329" s="2" t="str">
        <f>IF(ISBLANK(input_wld_az2_storage_cluster_mask),"Value Missing",input_wld_az2_storage_cluster_mask)</f>
        <v>Value Missing</v>
      </c>
    </row>
    <row r="330" spans="5:9" ht="20.05" customHeight="1" x14ac:dyDescent="0.35">
      <c r="E330" s="4" t="s">
        <v>1291</v>
      </c>
      <c r="F330" s="337" t="str">
        <f>IF(mgmt_az2_mgmt_cidr="Value Missing","Value Missing",VLOOKUP(INT(RIGHT(mgmt_az2_mgmt_cidr,LEN(mgmt_az2_mgmt_cidr)-FIND("/",mgmt_az2_mgmt_cidr))),table_cidr_to_mask,2,FALSE))</f>
        <v>Value Missing</v>
      </c>
      <c r="H330" s="4" t="s">
        <v>1283</v>
      </c>
      <c r="I330" s="337" t="str">
        <f>wld_az1_uplink01_mask</f>
        <v>Value Missing</v>
      </c>
    </row>
    <row r="331" spans="5:9" ht="20.05" customHeight="1" x14ac:dyDescent="0.35">
      <c r="E331" s="2"/>
      <c r="F331" s="2"/>
      <c r="H331" s="4" t="s">
        <v>1285</v>
      </c>
      <c r="I331" s="337" t="str">
        <f>wld_az1_uplink02_mask</f>
        <v>Value Missing</v>
      </c>
    </row>
    <row r="332" spans="5:9" ht="20.05" customHeight="1" x14ac:dyDescent="0.35">
      <c r="E332" s="379" t="s">
        <v>1578</v>
      </c>
      <c r="F332" s="381"/>
      <c r="H332" s="4" t="s">
        <v>1287</v>
      </c>
      <c r="I332" s="337" t="str">
        <f>wld_az1_edge_overlay_mask</f>
        <v>Value Missing</v>
      </c>
    </row>
    <row r="333" spans="5:9" ht="20.05" customHeight="1" x14ac:dyDescent="0.35">
      <c r="E333" s="11" t="s">
        <v>261</v>
      </c>
      <c r="F333" s="12" t="s">
        <v>1569</v>
      </c>
      <c r="H333" s="4" t="s">
        <v>1289</v>
      </c>
      <c r="I333" s="337" t="str">
        <f>IF(ISBLANK(input_wld_az1_rtep_overlay_cidr),"Value Missing",input_wld_az1_rtep_overlay_cidr)</f>
        <v>Value Missing</v>
      </c>
    </row>
    <row r="334" spans="5:9" ht="20.05" customHeight="1" x14ac:dyDescent="0.35">
      <c r="E334" s="4" t="s">
        <v>1272</v>
      </c>
      <c r="F334" s="337"/>
      <c r="H334" s="4" t="s">
        <v>1291</v>
      </c>
      <c r="I334" s="337" t="str">
        <f>IF(ISBLANK(input_wld_az1_vrms_cidr),"Value Missing",input_wld_az1_vrms_cidr)</f>
        <v>Value Missing</v>
      </c>
    </row>
    <row r="335" spans="5:9" ht="20.05" customHeight="1" x14ac:dyDescent="0.35">
      <c r="E335" s="4" t="s">
        <v>1274</v>
      </c>
      <c r="F335" s="337" t="str">
        <f>IF(ISBLANK('Configure Management Domain'!D226),"Value Missing",'Configure Management Domain'!D226)</f>
        <v>Value Missing</v>
      </c>
      <c r="G335" s="24"/>
    </row>
    <row r="336" spans="5:9" ht="20.05" customHeight="1" x14ac:dyDescent="0.35">
      <c r="E336" s="4" t="s">
        <v>251</v>
      </c>
      <c r="F336" s="337" t="str">
        <f>IF(ISBLANK('Configure Management Domain'!D256),"Value Missing",'Configure Management Domain'!D256)</f>
        <v>Value Missing</v>
      </c>
      <c r="H336" s="379" t="s">
        <v>1579</v>
      </c>
      <c r="I336" s="381"/>
    </row>
    <row r="337" spans="2:37" ht="20.05" customHeight="1" x14ac:dyDescent="0.35">
      <c r="E337" s="17" t="str">
        <f>CONCATENATE("Principal Storage Network ",wld_principal_storage_chosen)</f>
        <v>Principal Storage Network vSAN-ESA</v>
      </c>
      <c r="F337" s="337" t="str">
        <f>IF(ISBLANK('Configure Management Domain'!D264),"Value Missing",'Configure Management Domain'!D264)</f>
        <v>Value Missing</v>
      </c>
      <c r="H337" s="11" t="s">
        <v>261</v>
      </c>
      <c r="I337" s="12" t="s">
        <v>1573</v>
      </c>
    </row>
    <row r="338" spans="2:37" ht="20.05" customHeight="1" x14ac:dyDescent="0.35">
      <c r="E338" s="4" t="s">
        <v>1278</v>
      </c>
      <c r="F338" s="337" t="str">
        <f>IF(ISBLANK('Configure Management Domain'!D366),"Value Missing",'Configure Management Domain'!D366)</f>
        <v>Value Missing</v>
      </c>
      <c r="H338" s="4" t="s">
        <v>1272</v>
      </c>
      <c r="I338" s="337" t="s">
        <v>632</v>
      </c>
    </row>
    <row r="339" spans="2:37" ht="20.05" customHeight="1" x14ac:dyDescent="0.35">
      <c r="B339" s="2"/>
      <c r="C339" s="2"/>
      <c r="E339" s="4" t="s">
        <v>1280</v>
      </c>
      <c r="F339" s="337" t="str">
        <f>IF(ISBLANK(input_mgmt_az2_secondary_storage_gateway_ip),"Value Missing",input_mgmt_az2_secondary_storage_gateway_ip)</f>
        <v>Value Missing</v>
      </c>
      <c r="H339" s="4" t="s">
        <v>1274</v>
      </c>
      <c r="I339" s="337" t="str">
        <f>IF(ISBLANK('Configure Workload Domain'!D170),"Value Missing",'Configure Workload Domain'!D170)</f>
        <v>Value Missing</v>
      </c>
    </row>
    <row r="340" spans="2:37" ht="20.05" customHeight="1" x14ac:dyDescent="0.35">
      <c r="B340" s="2"/>
      <c r="C340" s="2"/>
      <c r="E340" s="4" t="s">
        <v>1283</v>
      </c>
      <c r="F340" s="337" t="str">
        <f>IF(ISBLANK(mgmt_az1_uplink01_gateway_ip),"Value Missing",mgmt_az1_uplink01_gateway_ip)</f>
        <v>Value Missing</v>
      </c>
      <c r="H340" s="4" t="s">
        <v>251</v>
      </c>
      <c r="I340" s="337" t="str">
        <f>IF(ISBLANK(input_wld_az2_vmotion_gateway_ip),"Value Missing",input_wld_az2_vmotion_gateway_ip)</f>
        <v>Value Missing</v>
      </c>
    </row>
    <row r="341" spans="2:37" ht="20.05" customHeight="1" x14ac:dyDescent="0.35">
      <c r="B341" s="2"/>
      <c r="C341" s="2"/>
      <c r="E341" s="4" t="s">
        <v>1285</v>
      </c>
      <c r="F341" s="337" t="str">
        <f>IF(ISBLANK(input_mgmt_az1_uplink02_gateway_ip),"Value Missing",mgmt_az1_uplink02_gateway_ip)</f>
        <v>Value Missing</v>
      </c>
      <c r="H341" s="17" t="s">
        <v>1570</v>
      </c>
      <c r="I341" s="337" t="str">
        <f>IF(ISBLANK(input_wld_az2_principal_storage_gateway_ip),"Value Missing",input_wld_az2_principal_storage_gateway_ip)</f>
        <v>Value Missing</v>
      </c>
    </row>
    <row r="342" spans="2:37" ht="20.05" customHeight="1" x14ac:dyDescent="0.35">
      <c r="B342" s="2"/>
      <c r="C342" s="2"/>
      <c r="E342" s="4" t="s">
        <v>1287</v>
      </c>
      <c r="F342" s="337" t="str">
        <f>IF(ISBLANK(input_mgmt_az1_edge_overlay_gateway_ip),"Value Missing",input_mgmt_az1_edge_overlay_gateway_ip)</f>
        <v>Value Missing</v>
      </c>
      <c r="H342" s="4" t="s">
        <v>1278</v>
      </c>
      <c r="I342" s="337" t="str">
        <f>IF(ISBLANK(input_wld_az2_host_overlay_gateway_ip),"Value Missing",input_wld_az2_host_overlay_gateway_ip)</f>
        <v>Value Missing</v>
      </c>
    </row>
    <row r="343" spans="2:37" ht="20.05" customHeight="1" x14ac:dyDescent="0.35">
      <c r="B343" s="2"/>
      <c r="C343" s="2"/>
      <c r="E343" s="4" t="s">
        <v>1289</v>
      </c>
      <c r="F343" s="337" t="str">
        <f>IF(ISBLANK(input_mgmt_az1_rtep_overlay_gateway_ip),"Value Missing",input_mgmt_az1_rtep_overlay_gateway_ip)</f>
        <v>Value Missing</v>
      </c>
      <c r="H343" s="4" t="s">
        <v>1280</v>
      </c>
      <c r="I343" s="337" t="str">
        <f>IF(ISBLANK(input_wld_az2_secondary_storage_gateway_ip),"Value Missing",input_wld_az2_secondary_storage_gateway_ip)</f>
        <v>Value Missing</v>
      </c>
    </row>
    <row r="344" spans="2:37" ht="20.05" customHeight="1" x14ac:dyDescent="0.35">
      <c r="B344" s="2"/>
      <c r="C344" s="2"/>
      <c r="E344" s="4" t="s">
        <v>1291</v>
      </c>
      <c r="F344" s="337"/>
      <c r="H344" s="4" t="s">
        <v>805</v>
      </c>
      <c r="I344" s="337" t="str">
        <f>IF(ISBLANK(input_wld_az2_storage_cluster_gateway_ip),"Value Missing",input_wld_az2_storage_cluster_gateway_ip)</f>
        <v>Value Missing</v>
      </c>
    </row>
    <row r="345" spans="2:37" ht="20.05" customHeight="1" x14ac:dyDescent="0.35">
      <c r="B345" s="2"/>
      <c r="C345" s="2"/>
      <c r="E345" s="2"/>
      <c r="F345" s="2"/>
      <c r="G345" s="24"/>
      <c r="H345" s="4" t="s">
        <v>1283</v>
      </c>
      <c r="I345" s="337" t="str">
        <f>wld_az1_uplink01_gateway_ip</f>
        <v>Value Missing</v>
      </c>
    </row>
    <row r="346" spans="2:37" ht="20.05" customHeight="1" x14ac:dyDescent="0.35">
      <c r="B346" s="2"/>
      <c r="C346" s="2"/>
      <c r="E346" s="379" t="s">
        <v>1580</v>
      </c>
      <c r="F346" s="381"/>
      <c r="H346" s="4" t="s">
        <v>1285</v>
      </c>
      <c r="I346" s="337" t="str">
        <f>wld_az1_uplink02_gateway_ip</f>
        <v>Value Missing</v>
      </c>
    </row>
    <row r="347" spans="2:37" ht="20.05" customHeight="1" x14ac:dyDescent="0.35">
      <c r="B347" s="2"/>
      <c r="C347" s="2"/>
      <c r="E347" s="11" t="s">
        <v>261</v>
      </c>
      <c r="F347" s="12" t="s">
        <v>1569</v>
      </c>
      <c r="H347" s="4" t="s">
        <v>1287</v>
      </c>
      <c r="I347" s="337" t="str">
        <f>wld_az1_edge_overlay_gateway_ip</f>
        <v>Value Missing</v>
      </c>
    </row>
    <row r="348" spans="2:37" ht="20.05" customHeight="1" x14ac:dyDescent="0.35">
      <c r="B348" s="2"/>
      <c r="C348" s="2"/>
      <c r="E348" s="4" t="s">
        <v>1272</v>
      </c>
      <c r="F348" s="337"/>
      <c r="H348" s="4" t="s">
        <v>1289</v>
      </c>
      <c r="I348" s="337" t="str">
        <f>wld_az1_rtep_overlay_gateway_ip</f>
        <v>Value Missing</v>
      </c>
    </row>
    <row r="349" spans="2:37" ht="20.05" customHeight="1" x14ac:dyDescent="0.35">
      <c r="B349" s="2"/>
      <c r="C349" s="2"/>
      <c r="E349" s="4" t="s">
        <v>1274</v>
      </c>
      <c r="F349" s="337" t="str">
        <f>IF(ISBLANK('Configure Management Domain'!D228),"Value Missing",'Configure Management Domain'!D228)</f>
        <v>Value Missing</v>
      </c>
      <c r="H349" s="4" t="s">
        <v>1291</v>
      </c>
      <c r="I349" s="337" t="str">
        <f>wld_az1_vrms_gateway_ip</f>
        <v>Value Missing</v>
      </c>
    </row>
    <row r="350" spans="2:37" ht="20.05" customHeight="1" x14ac:dyDescent="0.35">
      <c r="B350" s="2"/>
      <c r="C350" s="2"/>
      <c r="E350" s="4" t="s">
        <v>251</v>
      </c>
      <c r="F350" s="337" t="str">
        <f>IF(ISBLANK('Configure Management Domain'!D253),"Value Missing",'Configure Management Domain'!D253)</f>
        <v>Value Missing</v>
      </c>
    </row>
    <row r="351" spans="2:37" ht="20.05" customHeight="1" x14ac:dyDescent="0.35">
      <c r="B351" s="2"/>
      <c r="C351" s="2"/>
      <c r="E351" s="17" t="str">
        <f>CONCATENATE("Principal Storage Network ",wld_principal_storage_chosen)</f>
        <v>Principal Storage Network vSAN-ESA</v>
      </c>
      <c r="F351" s="337" t="str">
        <f>IF(ISBLANK('Configure Management Domain'!D261),"Value Missing",'Configure Management Domain'!D261)</f>
        <v>Value Missing</v>
      </c>
      <c r="H351" s="379" t="s">
        <v>1581</v>
      </c>
      <c r="I351" s="381"/>
    </row>
    <row r="352" spans="2:37" s="2" customFormat="1" ht="20.05" customHeight="1" x14ac:dyDescent="0.35">
      <c r="E352" s="4" t="s">
        <v>1278</v>
      </c>
      <c r="F352" s="337" t="str">
        <f>IF(ISBLANK(input_mgmt_az2_host_overlay_mtu),"Value Missing",input_mgmt_az2_host_overlay_mtu)</f>
        <v>Value Missing</v>
      </c>
      <c r="G352" s="8"/>
      <c r="H352" s="11" t="s">
        <v>261</v>
      </c>
      <c r="I352" s="12" t="s">
        <v>1573</v>
      </c>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row>
    <row r="353" spans="5:37" s="2" customFormat="1" ht="20.05" customHeight="1" x14ac:dyDescent="0.35">
      <c r="E353" s="4" t="s">
        <v>1280</v>
      </c>
      <c r="F353" s="337" t="str">
        <f>IF(ISBLANK(input_mgmt_az2_secondary_storage_mtu),"Value Missing",input_mgmt_az2_secondary_storage_mtu)</f>
        <v>Value Missing</v>
      </c>
      <c r="G353" s="8"/>
      <c r="H353" s="4" t="s">
        <v>1272</v>
      </c>
      <c r="I353" s="337"/>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row>
    <row r="354" spans="5:37" s="2" customFormat="1" ht="20.05" customHeight="1" x14ac:dyDescent="0.35">
      <c r="E354" s="4" t="s">
        <v>1283</v>
      </c>
      <c r="F354" s="337" t="str">
        <f>IF(ISBLANK(input_mgmt_az1_uplink01_mtu),"Value Missing",input_mgmt_az1_uplink01_mtu)</f>
        <v>Value Missing</v>
      </c>
      <c r="G354" s="8"/>
      <c r="H354" s="4" t="s">
        <v>1274</v>
      </c>
      <c r="I354" s="337" t="str">
        <f>IF(ISBLANK('Configure Workload Domain'!D172),"Value Missing",'Configure Workload Domain'!D172)</f>
        <v>Value Missing</v>
      </c>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row>
    <row r="355" spans="5:37" s="2" customFormat="1" ht="20.05" customHeight="1" x14ac:dyDescent="0.35">
      <c r="E355" s="4" t="s">
        <v>1285</v>
      </c>
      <c r="F355" s="337" t="str">
        <f>IF(ISBLANK(input_mgmt_az1_uplink02_mtu),"Value Missing",input_mgmt_az1_uplink02_mtu)</f>
        <v>Value Missing</v>
      </c>
      <c r="G355" s="8"/>
      <c r="H355" s="4" t="s">
        <v>251</v>
      </c>
      <c r="I355" s="337" t="str">
        <f>IF(ISBLANK(input_wld_az2_vmotion_mtu),"Value Missing",input_wld_az2_vmotion_mtu)</f>
        <v>Value Missing</v>
      </c>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row>
    <row r="356" spans="5:37" s="2" customFormat="1" ht="20.05" customHeight="1" x14ac:dyDescent="0.35">
      <c r="E356" s="4" t="s">
        <v>1287</v>
      </c>
      <c r="F356" s="337" t="s">
        <v>632</v>
      </c>
      <c r="G356" s="8"/>
      <c r="H356" s="17" t="s">
        <v>1570</v>
      </c>
      <c r="I356" s="337" t="str">
        <f>IF(ISBLANK(input_wld_az2_principal_storage_mtu),"Value Missing",input_wld_az2_principal_storage_mtu)</f>
        <v>Value Missing</v>
      </c>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row>
    <row r="357" spans="5:37" s="2" customFormat="1" ht="20.05" customHeight="1" x14ac:dyDescent="0.35">
      <c r="E357" s="4" t="s">
        <v>1289</v>
      </c>
      <c r="F357" s="337"/>
      <c r="G357" s="8"/>
      <c r="H357" s="4" t="s">
        <v>1278</v>
      </c>
      <c r="I357" s="337" t="str">
        <f>IF(ISBLANK(input_wld_az2_host_overlay_mtu),"Value Missing",input_wld_az2_host_overlay_mtu)</f>
        <v>Value Missing</v>
      </c>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row>
    <row r="358" spans="5:37" s="2" customFormat="1" ht="20.05" customHeight="1" x14ac:dyDescent="0.35">
      <c r="E358" s="4" t="s">
        <v>1291</v>
      </c>
      <c r="F358" s="337"/>
      <c r="G358" s="24"/>
      <c r="H358" s="4" t="s">
        <v>1280</v>
      </c>
      <c r="I358" s="337" t="str">
        <f>IF(ISBLANK('Configure Workload Domain'!D214),"Value Missing",'Configure Workload Domain'!D214)</f>
        <v>Value Missing</v>
      </c>
      <c r="J358" s="15"/>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row>
    <row r="359" spans="5:37" s="2" customFormat="1" ht="20.05" customHeight="1" x14ac:dyDescent="0.35">
      <c r="G359" s="8"/>
      <c r="H359" s="4" t="s">
        <v>805</v>
      </c>
      <c r="I359" s="337" t="str">
        <f>IF(ISBLANK(input_wld_az2_storage_cluster_mtu),"Value Missing",input_wld_az2_storage_cluster_mtu)</f>
        <v>Value Missing</v>
      </c>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row>
    <row r="360" spans="5:37" s="2" customFormat="1" ht="20.05" customHeight="1" x14ac:dyDescent="0.35">
      <c r="E360" s="379" t="s">
        <v>1582</v>
      </c>
      <c r="F360" s="381"/>
      <c r="G360" s="8"/>
      <c r="H360" s="4" t="s">
        <v>1283</v>
      </c>
      <c r="I360" s="337" t="str">
        <f>IF(ISBLANK(input_wld_az1_uplink01_mtu),"Value Missing",input_wld_az1_uplink01_mtu)</f>
        <v>Value Missing</v>
      </c>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row>
    <row r="361" spans="5:37" s="2" customFormat="1" ht="20.05" customHeight="1" x14ac:dyDescent="0.35">
      <c r="E361" s="11" t="s">
        <v>261</v>
      </c>
      <c r="F361" s="14" t="s">
        <v>1569</v>
      </c>
      <c r="G361" s="8"/>
      <c r="H361" s="4" t="s">
        <v>1285</v>
      </c>
      <c r="I361" s="337" t="str">
        <f>IF(ISBLANK(input_wld_az1_uplink02_mtu),"Value Missing",input_wld_az1_uplink02_mtu)</f>
        <v>Value Missing</v>
      </c>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row>
    <row r="362" spans="5:37" s="2" customFormat="1" ht="20.05" customHeight="1" x14ac:dyDescent="0.35">
      <c r="E362" s="4" t="s">
        <v>1025</v>
      </c>
      <c r="F362" s="337" t="str">
        <f>mgmt_en_asn</f>
        <v>Value Missing</v>
      </c>
      <c r="G362" s="8"/>
      <c r="H362" s="4" t="s">
        <v>1287</v>
      </c>
      <c r="I362" s="337" t="str">
        <f>wld_az1_edge_overlay_mtu</f>
        <v>N/A</v>
      </c>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row>
    <row r="363" spans="5:37" s="2" customFormat="1" ht="20.05" customHeight="1" x14ac:dyDescent="0.35">
      <c r="E363" s="4" t="s">
        <v>168</v>
      </c>
      <c r="F363" s="337" t="str">
        <f>IF(ISBLANK('Configure Management Domain'!D384),"Value Missing",'Configure Management Domain'!D384)</f>
        <v>Value Missing</v>
      </c>
      <c r="G363" s="8"/>
      <c r="H363" s="4" t="s">
        <v>1289</v>
      </c>
      <c r="I363" s="337">
        <f>wld_az1_rtep_overlay_mtu</f>
        <v>0</v>
      </c>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row>
    <row r="364" spans="5:37" s="2" customFormat="1" ht="20.05" customHeight="1" x14ac:dyDescent="0.35">
      <c r="E364" s="4" t="s">
        <v>169</v>
      </c>
      <c r="F364" s="337" t="str">
        <f>IF(ISBLANK('Configure Management Domain'!D385),"Value Missing",'Configure Management Domain'!D385)</f>
        <v>Value Missing</v>
      </c>
      <c r="G364" s="8"/>
      <c r="H364" s="4" t="s">
        <v>1291</v>
      </c>
      <c r="I364" s="337" t="str">
        <f>wld_az1_vrms_mtu</f>
        <v>Value Missing</v>
      </c>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row>
    <row r="365" spans="5:37" s="2" customFormat="1" ht="20.05" customHeight="1" x14ac:dyDescent="0.35">
      <c r="E365" s="4" t="s">
        <v>170</v>
      </c>
      <c r="F365" s="337" t="str">
        <f>IF(ISBLANK(input_mgmt_az2_tor1_peer_bgp_password),"Value Missing",input_mgmt_az2_tor1_peer_bgp_password)</f>
        <v>Value Missing</v>
      </c>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row>
    <row r="366" spans="5:37" s="2" customFormat="1" ht="20.05" customHeight="1" x14ac:dyDescent="0.35">
      <c r="E366" s="4" t="s">
        <v>171</v>
      </c>
      <c r="F366" s="337" t="str">
        <f>IF(ISBLANK('Configure Management Domain'!D389),"Value Missing",'Configure Management Domain'!D389)</f>
        <v>Value Missing</v>
      </c>
      <c r="G366" s="8"/>
      <c r="H366" s="379" t="s">
        <v>1583</v>
      </c>
      <c r="I366" s="381"/>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row>
    <row r="367" spans="5:37" s="2" customFormat="1" ht="20.05" customHeight="1" x14ac:dyDescent="0.35">
      <c r="E367" s="4" t="s">
        <v>172</v>
      </c>
      <c r="F367" s="337" t="str">
        <f>IF(ISBLANK('Configure Management Domain'!D392),"Value Missing",'Configure Management Domain'!D392)</f>
        <v>Value Missing</v>
      </c>
      <c r="G367" s="8"/>
      <c r="H367" s="11" t="s">
        <v>261</v>
      </c>
      <c r="I367" s="14" t="s">
        <v>1569</v>
      </c>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row>
    <row r="368" spans="5:37" s="2" customFormat="1" ht="20.05" customHeight="1" x14ac:dyDescent="0.35">
      <c r="E368" s="4" t="s">
        <v>173</v>
      </c>
      <c r="F368" s="337" t="str">
        <f>IF(ISBLANK('Configure Management Domain'!D393),"Value Missing",'Configure Management Domain'!D393)</f>
        <v>Value Missing</v>
      </c>
      <c r="G368" s="8"/>
      <c r="H368" s="4" t="s">
        <v>1025</v>
      </c>
      <c r="I368" s="337" t="str">
        <f>wld_en_asn</f>
        <v>Value Missing</v>
      </c>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row>
    <row r="369" spans="5:37" s="2" customFormat="1" ht="20.05" customHeight="1" x14ac:dyDescent="0.35">
      <c r="E369" s="7"/>
      <c r="F369" s="7"/>
      <c r="G369" s="8"/>
      <c r="H369" s="4" t="s">
        <v>168</v>
      </c>
      <c r="I369" s="337" t="str">
        <f>IF(ISBLANK('Configure Workload Domain'!D345),"Value Missing",'Configure Workload Domain'!D345)</f>
        <v>Value Missing</v>
      </c>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row>
    <row r="370" spans="5:37" s="2" customFormat="1" ht="20.05" customHeight="1" x14ac:dyDescent="0.35">
      <c r="E370" s="379" t="s">
        <v>1584</v>
      </c>
      <c r="F370" s="381"/>
      <c r="G370" s="8"/>
      <c r="H370" s="4" t="s">
        <v>169</v>
      </c>
      <c r="I370" s="337" t="str">
        <f>IF(ISBLANK('Configure Workload Domain'!D346),"Value Missing",'Configure Workload Domain'!D346)</f>
        <v>Value Missing</v>
      </c>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row>
    <row r="371" spans="5:37" s="2" customFormat="1" ht="20.05" customHeight="1" x14ac:dyDescent="0.35">
      <c r="E371" s="11" t="s">
        <v>261</v>
      </c>
      <c r="F371" s="14" t="s">
        <v>1573</v>
      </c>
      <c r="G371" s="24"/>
      <c r="H371" s="4" t="s">
        <v>170</v>
      </c>
      <c r="I371" s="337" t="str">
        <f>IF(ISBLANK('Configure Workload Domain'!D349),"Value Missing",'Configure Workload Domain'!D349)</f>
        <v>Value Missing</v>
      </c>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row>
    <row r="372" spans="5:37" s="2" customFormat="1" ht="20.05" customHeight="1" x14ac:dyDescent="0.35">
      <c r="E372" s="4" t="s">
        <v>1272</v>
      </c>
      <c r="F372" s="337"/>
      <c r="G372" s="8"/>
      <c r="H372" s="4" t="s">
        <v>171</v>
      </c>
      <c r="I372" s="337" t="str">
        <f>IF(ISBLANK('Configure Workload Domain'!D350),"Value Missing",'Configure Workload Domain'!D350)</f>
        <v>Value Missing</v>
      </c>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row>
    <row r="373" spans="5:37" s="2" customFormat="1" ht="20.05" customHeight="1" x14ac:dyDescent="0.35">
      <c r="E373" s="4" t="s">
        <v>1274</v>
      </c>
      <c r="F373" s="337" t="str">
        <f>IF('Value Reference Tables - MR'!$F111="Value Missing","Value Missing",CONCATENATE("az2_",'Value Reference Tables - MR'!$F111))</f>
        <v>Value Missing</v>
      </c>
      <c r="G373" s="8"/>
      <c r="H373" s="4" t="s">
        <v>172</v>
      </c>
      <c r="I373" s="337" t="str">
        <f>IF(ISBLANK('Configure Workload Domain'!D351),"Value Missing",'Configure Workload Domain'!D351)</f>
        <v>Value Missing</v>
      </c>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row>
    <row r="374" spans="5:37" s="2" customFormat="1" ht="20.05" customHeight="1" x14ac:dyDescent="0.35">
      <c r="E374" s="4" t="s">
        <v>251</v>
      </c>
      <c r="F374" s="337" t="str">
        <f>IF('Value Reference Tables - MR'!$F112="Value Missing","Value Missing",CONCATENATE("az2_",'Value Reference Tables - MR'!$F112))</f>
        <v>Value Missing</v>
      </c>
      <c r="G374" s="8"/>
      <c r="H374" s="4" t="s">
        <v>173</v>
      </c>
      <c r="I374" s="337" t="str">
        <f>IF(ISBLANK('Configure Workload Domain'!D354),"Value Missing",'Configure Workload Domain'!D354)</f>
        <v>Value Missing</v>
      </c>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row>
    <row r="375" spans="5:37" s="2" customFormat="1" ht="20.05" customHeight="1" x14ac:dyDescent="0.35">
      <c r="E375" s="4" t="s">
        <v>257</v>
      </c>
      <c r="F375" s="337" t="str">
        <f>IF('Value Reference Tables - MR'!$F113="Value Missing","Value Missing",CONCATENATE("az2_",'Value Reference Tables - MR'!$F113))</f>
        <v>Value Missing</v>
      </c>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row>
    <row r="376" spans="5:37" s="2" customFormat="1" ht="20.05" customHeight="1" x14ac:dyDescent="0.35">
      <c r="E376" s="4" t="s">
        <v>1278</v>
      </c>
      <c r="F376" s="337" t="str">
        <f>mgmt_az1_host_overlay_pg</f>
        <v>N/A</v>
      </c>
      <c r="G376" s="8"/>
      <c r="H376" s="379" t="s">
        <v>1585</v>
      </c>
      <c r="I376" s="381"/>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row>
    <row r="377" spans="5:37" s="2" customFormat="1" ht="20.05" customHeight="1" x14ac:dyDescent="0.35">
      <c r="E377" s="4" t="s">
        <v>1291</v>
      </c>
      <c r="F377" s="337"/>
      <c r="G377" s="8"/>
      <c r="H377" s="11" t="s">
        <v>261</v>
      </c>
      <c r="I377" s="14" t="s">
        <v>1573</v>
      </c>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row>
    <row r="378" spans="5:37" s="2" customFormat="1" ht="20.05" customHeight="1" x14ac:dyDescent="0.35">
      <c r="E378" s="4" t="s">
        <v>1283</v>
      </c>
      <c r="F378" s="337" t="str">
        <f>mgmt_cl01_az1_uplink01_pg</f>
        <v>Value Missing</v>
      </c>
      <c r="G378" s="24"/>
      <c r="H378" s="4" t="s">
        <v>1272</v>
      </c>
      <c r="I378" s="31"/>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row>
    <row r="379" spans="5:37" s="2" customFormat="1" ht="20.05" customHeight="1" x14ac:dyDescent="0.35">
      <c r="E379" s="4" t="s">
        <v>1285</v>
      </c>
      <c r="F379" s="337" t="str">
        <f>mgmt_cl01_az1_uplink02_pg</f>
        <v>Value Missing</v>
      </c>
      <c r="G379" s="24"/>
      <c r="H379" s="4" t="s">
        <v>1274</v>
      </c>
      <c r="I379" s="337" t="str">
        <f>IF('Value Reference Tables - MR'!$I111="Value Missing","Value Missing",CONCATENATE("az2_",'Value Reference Tables - MR'!$I111))</f>
        <v>Value Missing</v>
      </c>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row>
    <row r="380" spans="5:37" s="2" customFormat="1" ht="20.05" customHeight="1" x14ac:dyDescent="0.35">
      <c r="E380" s="17" t="s">
        <v>1287</v>
      </c>
      <c r="F380" s="337" t="str">
        <f>mgmt_az1_edge_overlay_pg</f>
        <v>N/A</v>
      </c>
      <c r="G380" s="8"/>
      <c r="H380" s="4" t="s">
        <v>251</v>
      </c>
      <c r="I380" s="337" t="str">
        <f>IF('Value Reference Tables - MR'!$I112="Value Missing","Value Missing",CONCATENATE("az2_",'Value Reference Tables - MR'!$I112))</f>
        <v>Value Missing</v>
      </c>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row>
    <row r="381" spans="5:37" s="2" customFormat="1" ht="20.05" customHeight="1" x14ac:dyDescent="0.35">
      <c r="E381" s="4" t="s">
        <v>1382</v>
      </c>
      <c r="F381" s="337" t="str">
        <f>mgmt_az1_rtep_overlay_pg</f>
        <v>N/A</v>
      </c>
      <c r="G381" s="8"/>
      <c r="H381" s="4" t="s">
        <v>257</v>
      </c>
      <c r="I381" s="337" t="str">
        <f>IF('Value Reference Tables - MR'!$I113="Value Missing","Value Missing",CONCATENATE("az2_",'Value Reference Tables - MR'!$I113))</f>
        <v>Value Missing</v>
      </c>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row>
    <row r="382" spans="5:37" s="2" customFormat="1" ht="20.05" customHeight="1" x14ac:dyDescent="0.35">
      <c r="G382" s="8"/>
      <c r="H382" s="4" t="s">
        <v>1278</v>
      </c>
      <c r="I382" s="337" t="str">
        <f>mgmt_az2_host_overlay_pg</f>
        <v>N/A</v>
      </c>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row>
    <row r="383" spans="5:37" s="2" customFormat="1" ht="20.05" customHeight="1" x14ac:dyDescent="0.35">
      <c r="E383" s="20" t="s">
        <v>1586</v>
      </c>
      <c r="F383" s="381"/>
      <c r="G383" s="8"/>
      <c r="H383" s="4" t="s">
        <v>1291</v>
      </c>
      <c r="I383" s="337"/>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row>
    <row r="384" spans="5:37" s="2" customFormat="1" ht="20.05" customHeight="1" x14ac:dyDescent="0.35">
      <c r="E384" s="11" t="s">
        <v>261</v>
      </c>
      <c r="F384" s="14" t="s">
        <v>1573</v>
      </c>
      <c r="G384" s="8"/>
      <c r="H384" s="4" t="s">
        <v>1283</v>
      </c>
      <c r="I384" s="337" t="str">
        <f>wld_cl01_az1_uplink01_pg</f>
        <v>Value Missing</v>
      </c>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row>
    <row r="385" spans="2:37" s="2" customFormat="1" ht="20.05" customHeight="1" x14ac:dyDescent="0.35">
      <c r="B385" s="8"/>
      <c r="C385" s="8"/>
      <c r="E385" s="361" t="s">
        <v>1417</v>
      </c>
      <c r="F385" s="337" t="str">
        <f>IF(ISBLANK('Configure Management Domain'!D257),"Value Missing",'Configure Management Domain'!D257)</f>
        <v>Value Missing</v>
      </c>
      <c r="G385" s="8"/>
      <c r="H385" s="4" t="s">
        <v>1285</v>
      </c>
      <c r="I385" s="337" t="str">
        <f>wld_cl01_az1_uplink02_pg</f>
        <v>Value Missing</v>
      </c>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row>
    <row r="386" spans="2:37" s="2" customFormat="1" ht="20.05" customHeight="1" x14ac:dyDescent="0.35">
      <c r="B386" s="8"/>
      <c r="C386" s="8"/>
      <c r="E386" s="361" t="s">
        <v>1418</v>
      </c>
      <c r="F386" s="337" t="str">
        <f>IF(ISBLANK('Configure Management Domain'!D258),"Value Missing",'Configure Management Domain'!D258)</f>
        <v>Value Missing</v>
      </c>
      <c r="G386" s="8"/>
      <c r="H386" s="17" t="s">
        <v>1287</v>
      </c>
      <c r="I386" s="337" t="str">
        <f>wld_az1_edge_overlay_pg</f>
        <v>N/A</v>
      </c>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row>
    <row r="387" spans="2:37" s="2" customFormat="1" ht="20.05" customHeight="1" x14ac:dyDescent="0.35">
      <c r="B387" s="8"/>
      <c r="C387" s="8"/>
      <c r="E387" s="361" t="s">
        <v>1419</v>
      </c>
      <c r="F387" s="337" t="str">
        <f>IF(ISBLANK('Configure Management Domain'!D265),"Value Missing",'Configure Management Domain'!D265)</f>
        <v>Value Missing</v>
      </c>
      <c r="G387" s="8"/>
      <c r="H387" s="4" t="s">
        <v>1382</v>
      </c>
      <c r="I387" s="337" t="str">
        <f>mgmt_az1_rtep_overlay_pg</f>
        <v>N/A</v>
      </c>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row>
    <row r="388" spans="2:37" s="2" customFormat="1" ht="20.05" customHeight="1" x14ac:dyDescent="0.35">
      <c r="B388" s="8"/>
      <c r="C388" s="8"/>
      <c r="E388" s="361" t="s">
        <v>1420</v>
      </c>
      <c r="F388" s="337" t="str">
        <f>IF(ISBLANK('Configure Management Domain'!D266),"Value Missing",'Configure Management Domain'!D266)</f>
        <v>Value Missing</v>
      </c>
      <c r="G388" s="24"/>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row>
    <row r="389" spans="2:37" s="2" customFormat="1" ht="20.05" customHeight="1" x14ac:dyDescent="0.35">
      <c r="B389" s="8"/>
      <c r="C389" s="8"/>
      <c r="E389" s="361" t="s">
        <v>1421</v>
      </c>
      <c r="F389" s="337" t="str">
        <f>IF(ISBLANK('Configure Management Domain'!D369),"Value Missing",'Configure Management Domain'!D369)</f>
        <v>Value Missing</v>
      </c>
      <c r="G389" s="8"/>
      <c r="H389" s="20" t="s">
        <v>1587</v>
      </c>
      <c r="I389" s="381"/>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row>
    <row r="390" spans="2:37" s="2" customFormat="1" ht="20.05" customHeight="1" x14ac:dyDescent="0.35">
      <c r="B390" s="8"/>
      <c r="C390" s="8"/>
      <c r="E390" s="361" t="s">
        <v>1422</v>
      </c>
      <c r="F390" s="337" t="str">
        <f>IF(ISBLANK('Configure Management Domain'!D370),"Value Missing",'Configure Management Domain'!D370)</f>
        <v>Value Missing</v>
      </c>
      <c r="G390" s="8"/>
      <c r="H390" s="11" t="s">
        <v>261</v>
      </c>
      <c r="I390" s="14" t="s">
        <v>1573</v>
      </c>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row>
    <row r="391" spans="2:37" s="2" customFormat="1" ht="20.05" customHeight="1" x14ac:dyDescent="0.35">
      <c r="B391" s="8"/>
      <c r="C391" s="8"/>
      <c r="E391" s="17" t="s">
        <v>1423</v>
      </c>
      <c r="F391" s="337" t="str">
        <f>IF(ISBLANK(input_mgmt_az2_secondary_storage_pool_start_ip),"Value Missing",input_mgmt_az2_secondary_storage_pool_start_ip)</f>
        <v>Value Missing</v>
      </c>
      <c r="G391" s="8"/>
      <c r="H391" s="361" t="s">
        <v>1417</v>
      </c>
      <c r="I391" s="337" t="str">
        <f>IF(ISBLANK(input_wld_az2_vmotion_pool_start_ip),"Value Missing",input_wld_az2_vmotion_pool_start_ip)</f>
        <v>Value Missing</v>
      </c>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row>
    <row r="392" spans="2:37" s="2" customFormat="1" ht="20.05" customHeight="1" x14ac:dyDescent="0.35">
      <c r="B392" s="8"/>
      <c r="C392" s="8"/>
      <c r="E392" s="22" t="s">
        <v>1424</v>
      </c>
      <c r="F392" s="337" t="str">
        <f>IF(ISBLANK(input_mgmt_az2_secondary_storage_pool_end_ip),"Value Missing",input_mgmt_az2_secondary_storage_pool_end_ip)</f>
        <v>Value Missing</v>
      </c>
      <c r="G392" s="8"/>
      <c r="H392" s="361" t="s">
        <v>1418</v>
      </c>
      <c r="I392" s="337" t="str">
        <f>IF(ISBLANK(input_wld_az2_vmotion_pool_end_ip),"Value Missing",input_wld_az2_vmotion_pool_end_ip)</f>
        <v>Value Missing</v>
      </c>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row>
    <row r="393" spans="2:37" s="2" customFormat="1" ht="20.05" customHeight="1" x14ac:dyDescent="0.35">
      <c r="B393" s="8"/>
      <c r="C393" s="8"/>
      <c r="E393" s="361" t="s">
        <v>1427</v>
      </c>
      <c r="F393" s="337"/>
      <c r="G393" s="8"/>
      <c r="H393" s="361" t="s">
        <v>1419</v>
      </c>
      <c r="I393" s="337" t="str">
        <f>IF(ISBLANK(input_wld_az2_principal_storage_pool_start_ip),"Value Missing",input_wld_az2_principal_storage_pool_start_ip)</f>
        <v>Value Missing</v>
      </c>
      <c r="J393" s="15"/>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row>
    <row r="394" spans="2:37" s="2" customFormat="1" ht="20.05" customHeight="1" x14ac:dyDescent="0.35">
      <c r="B394" s="8"/>
      <c r="C394" s="8"/>
      <c r="E394" s="361" t="s">
        <v>1428</v>
      </c>
      <c r="F394" s="337"/>
      <c r="G394" s="8"/>
      <c r="H394" s="361" t="s">
        <v>1420</v>
      </c>
      <c r="I394" s="337" t="str">
        <f>IF(ISBLANK(input_wld_az2_principal_storage_pool_end_ip),"Value Missing",input_wld_az2_principal_storage_pool_end_ip)</f>
        <v>Value Missing</v>
      </c>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row>
    <row r="395" spans="2:37" s="2" customFormat="1" ht="20.05" customHeight="1" x14ac:dyDescent="0.35">
      <c r="B395" s="8"/>
      <c r="C395" s="8"/>
      <c r="G395" s="8"/>
      <c r="H395" s="361" t="s">
        <v>1421</v>
      </c>
      <c r="I395" s="337" t="str">
        <f>IF(ISBLANK('Configure Workload Domain'!D327),"Value Missing",'Configure Workload Domain'!D327)</f>
        <v>Value Missing</v>
      </c>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row>
    <row r="396" spans="2:37" s="2" customFormat="1" ht="20.05" customHeight="1" x14ac:dyDescent="0.35">
      <c r="B396" s="8"/>
      <c r="C396" s="8"/>
      <c r="E396" s="20" t="s">
        <v>1588</v>
      </c>
      <c r="F396" s="381"/>
      <c r="G396" s="8"/>
      <c r="H396" s="361" t="s">
        <v>1422</v>
      </c>
      <c r="I396" s="337" t="str">
        <f>IF(ISBLANK('Configure Workload Domain'!D328),"Value Missing",'Configure Workload Domain'!D328)</f>
        <v>Value Missing</v>
      </c>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row>
    <row r="397" spans="2:37" s="2" customFormat="1" ht="20.05" customHeight="1" x14ac:dyDescent="0.35">
      <c r="B397" s="8"/>
      <c r="C397" s="8"/>
      <c r="E397" s="13" t="s">
        <v>261</v>
      </c>
      <c r="F397" s="14" t="s">
        <v>1573</v>
      </c>
      <c r="G397" s="8"/>
      <c r="H397" s="17" t="s">
        <v>1423</v>
      </c>
      <c r="I397" s="337" t="str">
        <f>IF(ISBLANK(input_wld_az2_secondary_storage_pool_start_ip),"Value Missing",input_wld_az2_secondary_storage_pool_start_ip)</f>
        <v>Value Missing</v>
      </c>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row>
    <row r="398" spans="2:37" s="2" customFormat="1" ht="20.05" customHeight="1" x14ac:dyDescent="0.35">
      <c r="B398" s="8"/>
      <c r="C398" s="8"/>
      <c r="E398" s="361" t="s">
        <v>1438</v>
      </c>
      <c r="F398" s="337" t="str">
        <f>IF(ISBLANK(input_mgmt_az2_pool_name),"Value Missing",input_mgmt_az2_pool_name)</f>
        <v>Value Missing</v>
      </c>
      <c r="G398" s="8"/>
      <c r="H398" s="22" t="s">
        <v>1424</v>
      </c>
      <c r="I398" s="337" t="str">
        <f>IF(ISBLANK(input_wld_az2_secondary_storage_pool_end_ip),"Value Missing",input_wld_az2_secondary_storage_pool_end_ip)</f>
        <v>Value Missing</v>
      </c>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row>
    <row r="399" spans="2:37" s="2" customFormat="1" ht="20.05" customHeight="1" x14ac:dyDescent="0.35">
      <c r="B399" s="8"/>
      <c r="C399" s="8"/>
      <c r="E399" s="361" t="s">
        <v>1439</v>
      </c>
      <c r="F399" s="337" t="str">
        <f>IF(ISBLANK(input_mgmt_az2_host_overlay_network_profile_name),"Value Missing",input_mgmt_az2_host_overlay_network_profile_name)</f>
        <v>Value Missing</v>
      </c>
      <c r="G399" s="8"/>
      <c r="H399" s="4" t="s">
        <v>805</v>
      </c>
      <c r="I399" s="337" t="str">
        <f>IF(ISBLANK(input_wld_az2_storage_cluster_pool_start_ip),"Value Missing",input_wld_az2_storage_cluster_pool_start_ip)</f>
        <v>Value Missing</v>
      </c>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row>
    <row r="400" spans="2:37" ht="20.05" customHeight="1" x14ac:dyDescent="0.35">
      <c r="E400" s="361" t="s">
        <v>1442</v>
      </c>
      <c r="F400" s="337" t="str">
        <f>IF(ISBLANK(input_mgmt_az2_host_overlay_network_pool_name),"Value Missing",input_mgmt_az2_host_overlay_network_pool_name)</f>
        <v>Value Missing</v>
      </c>
      <c r="H400" s="4" t="s">
        <v>805</v>
      </c>
      <c r="I400" s="337" t="str">
        <f>IF(ISBLANK(input_wld_az2_storage_cluster_pool_end_ip),"Value Missing",input_wld_az2_storage_cluster_pool_end_ip)</f>
        <v>Value Missing</v>
      </c>
    </row>
    <row r="401" spans="5:10" ht="20.05" customHeight="1" x14ac:dyDescent="0.35">
      <c r="E401" s="361" t="s">
        <v>1445</v>
      </c>
      <c r="F401" s="337" t="str">
        <f>IF(ISBLANK(input_mgmt_az2_host_overlay_uplink_profile_name),"Value Missing",input_mgmt_az2_host_overlay_uplink_profile_name)</f>
        <v>Value Missing</v>
      </c>
      <c r="H401" s="361" t="s">
        <v>1427</v>
      </c>
      <c r="I401" s="32"/>
    </row>
    <row r="402" spans="5:10" ht="20.05" customHeight="1" x14ac:dyDescent="0.35">
      <c r="E402" s="7"/>
      <c r="F402" s="7"/>
      <c r="H402" s="361" t="s">
        <v>1428</v>
      </c>
      <c r="I402" s="32"/>
    </row>
    <row r="403" spans="5:10" ht="20.05" customHeight="1" x14ac:dyDescent="0.35">
      <c r="E403" s="576" t="s">
        <v>1589</v>
      </c>
      <c r="F403" s="577"/>
    </row>
    <row r="404" spans="5:10" ht="20.05" customHeight="1" x14ac:dyDescent="0.35">
      <c r="E404" s="13" t="s">
        <v>261</v>
      </c>
      <c r="F404" s="14" t="s">
        <v>1573</v>
      </c>
      <c r="H404" s="20" t="s">
        <v>1590</v>
      </c>
      <c r="I404" s="381"/>
    </row>
    <row r="405" spans="5:10" ht="20.05" customHeight="1" x14ac:dyDescent="0.35">
      <c r="E405" s="4" t="s">
        <v>1455</v>
      </c>
      <c r="F405" s="356"/>
      <c r="H405" s="13" t="s">
        <v>261</v>
      </c>
      <c r="I405" s="14" t="s">
        <v>1573</v>
      </c>
    </row>
    <row r="406" spans="5:10" ht="20.05" customHeight="1" x14ac:dyDescent="0.35">
      <c r="E406" s="4" t="s">
        <v>1464</v>
      </c>
      <c r="F406" s="337"/>
      <c r="H406" s="361" t="s">
        <v>1438</v>
      </c>
      <c r="I406" s="337" t="str">
        <f>IF(ISBLANK(input_wld_az2_pool_name),"Value Missing",input_wld_az2_pool_name)</f>
        <v>Value Missing</v>
      </c>
    </row>
    <row r="407" spans="5:10" ht="20.05" customHeight="1" x14ac:dyDescent="0.35">
      <c r="E407" s="4" t="s">
        <v>1591</v>
      </c>
      <c r="F407" s="337"/>
      <c r="H407" s="361" t="s">
        <v>1439</v>
      </c>
      <c r="I407" s="337" t="str">
        <f>IF(ISBLANK(input_wld_az2_host_overlay_network_profile_name),"Value Missing",input_wld_az2_host_overlay_network_profile_name)</f>
        <v>Value Missing</v>
      </c>
    </row>
    <row r="408" spans="5:10" ht="20.05" customHeight="1" x14ac:dyDescent="0.35">
      <c r="E408" s="4" t="s">
        <v>1592</v>
      </c>
      <c r="F408" s="337"/>
      <c r="H408" s="361" t="s">
        <v>1442</v>
      </c>
      <c r="I408" s="337" t="str">
        <f>IF(ISBLANK(input_wld_az2_host_overlay_network_pool_name),"Value Missing",input_wld_az2_host_overlay_network_pool_name)</f>
        <v>Value Missing</v>
      </c>
    </row>
    <row r="409" spans="5:10" ht="20.05" customHeight="1" x14ac:dyDescent="0.35">
      <c r="E409" s="4" t="s">
        <v>1593</v>
      </c>
      <c r="F409" s="337"/>
      <c r="H409" s="361" t="s">
        <v>1445</v>
      </c>
      <c r="I409" s="337" t="str">
        <f>IF(ISBLANK(input_wld_az2_host_overlay_uplink_profile_name),"Value Missing",input_wld_az2_host_overlay_uplink_profile_name)</f>
        <v>Value Missing</v>
      </c>
    </row>
    <row r="410" spans="5:10" ht="20.05" customHeight="1" x14ac:dyDescent="0.35">
      <c r="E410" s="4" t="s">
        <v>1594</v>
      </c>
      <c r="F410" s="337"/>
    </row>
    <row r="411" spans="5:10" ht="20.05" customHeight="1" x14ac:dyDescent="0.35">
      <c r="E411" s="4" t="s">
        <v>1595</v>
      </c>
      <c r="F411" s="337"/>
      <c r="H411" s="576" t="s">
        <v>1596</v>
      </c>
      <c r="I411" s="577"/>
      <c r="J411" s="2"/>
    </row>
    <row r="412" spans="5:10" ht="20.05" customHeight="1" x14ac:dyDescent="0.35">
      <c r="E412" s="6"/>
      <c r="F412" s="6"/>
      <c r="H412" s="13" t="s">
        <v>261</v>
      </c>
      <c r="I412" s="14" t="s">
        <v>1573</v>
      </c>
      <c r="J412" s="15"/>
    </row>
    <row r="413" spans="5:10" ht="20.05" customHeight="1" x14ac:dyDescent="0.35">
      <c r="E413" s="20" t="s">
        <v>1597</v>
      </c>
      <c r="F413" s="381"/>
      <c r="G413" s="2"/>
      <c r="H413" s="4" t="s">
        <v>1455</v>
      </c>
      <c r="I413" s="356"/>
    </row>
    <row r="414" spans="5:10" ht="20.05" customHeight="1" x14ac:dyDescent="0.35">
      <c r="E414" s="13" t="s">
        <v>261</v>
      </c>
      <c r="F414" s="14" t="s">
        <v>1573</v>
      </c>
      <c r="G414" s="2"/>
      <c r="H414" s="4" t="s">
        <v>1464</v>
      </c>
      <c r="I414" s="337"/>
    </row>
    <row r="415" spans="5:10" ht="20.05" customHeight="1" x14ac:dyDescent="0.35">
      <c r="E415" s="4" t="s">
        <v>1481</v>
      </c>
      <c r="F415" s="337" t="str">
        <f>IF(ISBLANK(input_mgmt_az2_host1_mgmt_ip),"Value Missing",input_mgmt_az2_host1_mgmt_ip)</f>
        <v>Value Missing</v>
      </c>
      <c r="G415" s="2"/>
      <c r="H415" s="4" t="s">
        <v>1591</v>
      </c>
      <c r="I415" s="337"/>
    </row>
    <row r="416" spans="5:10" ht="20.05" customHeight="1" x14ac:dyDescent="0.35">
      <c r="E416" s="4" t="s">
        <v>1482</v>
      </c>
      <c r="F416" s="337" t="str">
        <f>IF(ISBLANK(input_mgmt_az2_host2_mgmt_ip),"Value Missing",input_mgmt_az2_host2_mgmt_ip)</f>
        <v>Value Missing</v>
      </c>
      <c r="G416" s="2"/>
      <c r="H416" s="4" t="s">
        <v>1592</v>
      </c>
      <c r="I416" s="337"/>
    </row>
    <row r="417" spans="5:9" ht="20.05" customHeight="1" x14ac:dyDescent="0.35">
      <c r="E417" s="4" t="s">
        <v>1483</v>
      </c>
      <c r="F417" s="337" t="str">
        <f>IF(ISBLANK(input_mgmt_az2_host3_mgmt_ip),"Value Missing",input_mgmt_az2_host3_mgmt_ip)</f>
        <v>Value Missing</v>
      </c>
      <c r="G417" s="2"/>
      <c r="H417" s="4" t="s">
        <v>1593</v>
      </c>
      <c r="I417" s="337"/>
    </row>
    <row r="418" spans="5:9" ht="20.05" customHeight="1" x14ac:dyDescent="0.35">
      <c r="E418" s="4" t="s">
        <v>1484</v>
      </c>
      <c r="F418" s="337" t="str">
        <f>IF(ISBLANK(input_mgmt_az2_host4_mgmt_ip),"Value Missing",input_mgmt_az2_host4_mgmt_ip)</f>
        <v>Value Missing</v>
      </c>
      <c r="G418" s="2"/>
      <c r="H418" s="4" t="s">
        <v>1594</v>
      </c>
      <c r="I418" s="337"/>
    </row>
    <row r="419" spans="5:9" ht="20.05" customHeight="1" x14ac:dyDescent="0.35">
      <c r="E419" s="4" t="s">
        <v>1485</v>
      </c>
      <c r="F419" s="337" t="str">
        <f>IF(ISBLANK(input_mgmt_az2_host5_mgmt_ip),"Value Missing",input_mgmt_az2_host5_mgmt_ip)</f>
        <v>Value Missing</v>
      </c>
      <c r="G419" s="2"/>
      <c r="H419" s="4" t="s">
        <v>1595</v>
      </c>
      <c r="I419" s="337"/>
    </row>
    <row r="420" spans="5:9" ht="20.05" customHeight="1" x14ac:dyDescent="0.35">
      <c r="E420" s="4" t="s">
        <v>1486</v>
      </c>
      <c r="F420" s="337" t="str">
        <f>IF(ISBLANK(input_mgmt_az2_host6_mgmt_ip),"Value Missing",input_mgmt_az2_host6_mgmt_ip)</f>
        <v>Value Missing</v>
      </c>
      <c r="G420" s="2"/>
      <c r="H420" s="6"/>
      <c r="I420" s="6"/>
    </row>
    <row r="421" spans="5:9" ht="20.05" customHeight="1" x14ac:dyDescent="0.35">
      <c r="E421" s="4" t="s">
        <v>1487</v>
      </c>
      <c r="F421" s="337" t="str">
        <f>IF(ISBLANK(input_mgmt_az2_host7_mgmt_ip),"Value Missing",input_mgmt_az2_host7_mgmt_ip)</f>
        <v>Value Missing</v>
      </c>
      <c r="G421" s="2"/>
      <c r="H421" s="20" t="s">
        <v>1598</v>
      </c>
      <c r="I421" s="381"/>
    </row>
    <row r="422" spans="5:9" ht="20.05" customHeight="1" x14ac:dyDescent="0.35">
      <c r="E422" s="4" t="s">
        <v>1488</v>
      </c>
      <c r="F422" s="337" t="str">
        <f>IF(ISBLANK(input_mgmt_az2_host8_mgmt_ip),"Value Missing",input_mgmt_az2_host8_mgmt_ip)</f>
        <v>Value Missing</v>
      </c>
      <c r="G422" s="2"/>
      <c r="H422" s="13" t="s">
        <v>261</v>
      </c>
      <c r="I422" s="14" t="s">
        <v>1573</v>
      </c>
    </row>
    <row r="423" spans="5:9" ht="20.05" customHeight="1" x14ac:dyDescent="0.35">
      <c r="E423" s="4" t="s">
        <v>1489</v>
      </c>
      <c r="F423" s="337" t="str">
        <f>IF(ISBLANK(input_mgmt_az2_host9_mgmt_ip),"Value Missing",input_mgmt_az2_host9_mgmt_ip)</f>
        <v>Value Missing</v>
      </c>
      <c r="G423" s="15"/>
      <c r="H423" s="4" t="s">
        <v>1481</v>
      </c>
      <c r="I423" s="337" t="str">
        <f>IF(ISBLANK('Configure Workload Domain'!D174),"Value Missing",'Configure Workload Domain'!D174)</f>
        <v>Value Missing</v>
      </c>
    </row>
    <row r="424" spans="5:9" ht="20.05" customHeight="1" x14ac:dyDescent="0.35">
      <c r="E424" s="4" t="s">
        <v>1490</v>
      </c>
      <c r="F424" s="337" t="str">
        <f>IF(ISBLANK(input_mgmt_az2_host10_mgmt_ip),"Value Missing",input_mgmt_az2_host10_mgmt_ip)</f>
        <v>Value Missing</v>
      </c>
      <c r="G424" s="2"/>
      <c r="H424" s="4" t="s">
        <v>1482</v>
      </c>
      <c r="I424" s="337" t="str">
        <f>IF(ISBLANK('Configure Workload Domain'!D175),"Value Missing",'Configure Workload Domain'!D175)</f>
        <v>Value Missing</v>
      </c>
    </row>
    <row r="425" spans="5:9" ht="20.05" customHeight="1" x14ac:dyDescent="0.35">
      <c r="E425" s="4" t="s">
        <v>1491</v>
      </c>
      <c r="F425" s="337" t="str">
        <f>IF(ISBLANK(input_mgmt_az2_host11_mgmt_ip),"Value Missing",input_mgmt_az2_host11_mgmt_ip)</f>
        <v>Value Missing</v>
      </c>
      <c r="G425" s="2"/>
      <c r="H425" s="4" t="s">
        <v>1483</v>
      </c>
      <c r="I425" s="337" t="str">
        <f>IF(ISBLANK('Configure Workload Domain'!D176),"Value Missing",'Configure Workload Domain'!D176)</f>
        <v>Value Missing</v>
      </c>
    </row>
    <row r="426" spans="5:9" ht="20.05" customHeight="1" x14ac:dyDescent="0.35">
      <c r="E426" s="4" t="s">
        <v>1492</v>
      </c>
      <c r="F426" s="337" t="str">
        <f>IF(ISBLANK(input_mgmt_az2_host12_mgmt_ip),"Value Missing",input_mgmt_az2_host12_mgmt_ip)</f>
        <v>Value Missing</v>
      </c>
      <c r="G426" s="2"/>
      <c r="H426" s="4" t="s">
        <v>1484</v>
      </c>
      <c r="I426" s="337" t="str">
        <f>IF(ISBLANK('Configure Workload Domain'!D177),"Value Missing",'Configure Workload Domain'!D177)</f>
        <v>Value Missing</v>
      </c>
    </row>
    <row r="427" spans="5:9" ht="20.05" customHeight="1" x14ac:dyDescent="0.35">
      <c r="E427" s="4" t="s">
        <v>1493</v>
      </c>
      <c r="F427" s="337" t="str">
        <f>IF(ISBLANK(input_mgmt_az2_host13_mgmt_ip),"Value Missing",input_mgmt_az2_host13_mgmt_ip)</f>
        <v>Value Missing</v>
      </c>
      <c r="G427" s="2"/>
      <c r="H427" s="4" t="s">
        <v>1485</v>
      </c>
      <c r="I427" s="337" t="str">
        <f>IF(ISBLANK('Configure Workload Domain'!D178),"Value Missing",'Configure Workload Domain'!D178)</f>
        <v>Value Missing</v>
      </c>
    </row>
    <row r="428" spans="5:9" ht="20.05" customHeight="1" x14ac:dyDescent="0.35">
      <c r="E428" s="4" t="s">
        <v>1494</v>
      </c>
      <c r="F428" s="337" t="str">
        <f>IF(ISBLANK(input_mgmt_az2_host14_mgmt_ip),"Value Missing",input_mgmt_az2_host14_mgmt_ip)</f>
        <v>Value Missing</v>
      </c>
      <c r="G428" s="2"/>
      <c r="H428" s="4" t="s">
        <v>1486</v>
      </c>
      <c r="I428" s="337" t="str">
        <f>IF(ISBLANK('Configure Workload Domain'!D179),"Value Missing",'Configure Workload Domain'!D179)</f>
        <v>Value Missing</v>
      </c>
    </row>
    <row r="429" spans="5:9" ht="20.05" customHeight="1" x14ac:dyDescent="0.35">
      <c r="E429" s="4" t="s">
        <v>1495</v>
      </c>
      <c r="F429" s="337" t="str">
        <f>IF(ISBLANK(input_mgmt_az2_host15_mgmt_ip),"Value Missing",input_mgmt_az2_host15_mgmt_ip)</f>
        <v>Value Missing</v>
      </c>
      <c r="G429" s="2"/>
      <c r="H429" s="4" t="s">
        <v>1487</v>
      </c>
      <c r="I429" s="337" t="str">
        <f>IF(ISBLANK('Configure Workload Domain'!D180),"Value Missing",'Configure Workload Domain'!D180)</f>
        <v>Value Missing</v>
      </c>
    </row>
    <row r="430" spans="5:9" ht="20.05" customHeight="1" x14ac:dyDescent="0.35">
      <c r="E430" s="4" t="s">
        <v>1496</v>
      </c>
      <c r="F430" s="337" t="str">
        <f>IF(ISBLANK(input_mgmt_az2_host16_mgmt_ip),"Value Missing",input_mgmt_az2_host16_mgmt_ip)</f>
        <v>Value Missing</v>
      </c>
      <c r="G430" s="2"/>
      <c r="H430" s="4" t="s">
        <v>1488</v>
      </c>
      <c r="I430" s="337" t="str">
        <f>IF(ISBLANK('Configure Workload Domain'!D181),"Value Missing",'Configure Workload Domain'!D181)</f>
        <v>Value Missing</v>
      </c>
    </row>
    <row r="431" spans="5:9" ht="20.05" customHeight="1" x14ac:dyDescent="0.35">
      <c r="E431" s="4" t="s">
        <v>1497</v>
      </c>
      <c r="F431" s="337" t="str">
        <f>IF(ISBLANK('Site Protection &amp; DR'!D193),"Value Missing",'Site Protection &amp; DR'!D193)</f>
        <v>Value Missing</v>
      </c>
      <c r="G431" s="2"/>
      <c r="H431" s="4" t="s">
        <v>1489</v>
      </c>
      <c r="I431" s="337" t="str">
        <f>IF(ISBLANK('Configure Workload Domain'!D182),"Value Missing",'Configure Workload Domain'!D182)</f>
        <v>Value Missing</v>
      </c>
    </row>
    <row r="432" spans="5:9" ht="20.05" customHeight="1" x14ac:dyDescent="0.35">
      <c r="E432" s="4" t="s">
        <v>1498</v>
      </c>
      <c r="F432" s="337" t="str">
        <f>IF(ISBLANK('Site Protection &amp; DR'!D194),"Value Missing",'Site Protection &amp; DR'!D194)</f>
        <v>Value Missing</v>
      </c>
      <c r="G432" s="2"/>
      <c r="H432" s="4" t="s">
        <v>1490</v>
      </c>
      <c r="I432" s="337" t="str">
        <f>IF(ISBLANK('Configure Workload Domain'!D183),"Value Missing",'Configure Workload Domain'!D183)</f>
        <v>Value Missing</v>
      </c>
    </row>
    <row r="433" spans="5:9" ht="20.05" customHeight="1" x14ac:dyDescent="0.35">
      <c r="E433" s="4" t="s">
        <v>1506</v>
      </c>
      <c r="F433" s="337" t="str">
        <f>IF(ISBLANK('Site Protection &amp; DR'!D195),"Value Missing",'Site Protection &amp; DR'!D195)</f>
        <v>Value Missing</v>
      </c>
      <c r="G433" s="2"/>
      <c r="H433" s="4" t="s">
        <v>1491</v>
      </c>
      <c r="I433" s="337" t="str">
        <f>IF(ISBLANK('Configure Workload Domain'!D184),"Value Missing",'Configure Workload Domain'!D184)</f>
        <v>Value Missing</v>
      </c>
    </row>
    <row r="434" spans="5:9" ht="20.05" customHeight="1" x14ac:dyDescent="0.35">
      <c r="E434" s="4" t="s">
        <v>1507</v>
      </c>
      <c r="F434" s="337" t="str">
        <f>IF(ISBLANK('Site Protection &amp; DR'!D196),"Value Missing",'Site Protection &amp; DR'!D196)</f>
        <v>Value Missing</v>
      </c>
      <c r="G434" s="2"/>
      <c r="H434" s="4" t="s">
        <v>1492</v>
      </c>
      <c r="I434" s="337" t="str">
        <f>IF(ISBLANK('Configure Workload Domain'!D185),"Value Missing",'Configure Workload Domain'!D185)</f>
        <v>Value Missing</v>
      </c>
    </row>
    <row r="435" spans="5:9" ht="20.05" customHeight="1" x14ac:dyDescent="0.35">
      <c r="E435" s="4" t="s">
        <v>1509</v>
      </c>
      <c r="F435" s="337" t="str">
        <f>IF(ISBLANK('Site Protection &amp; DR'!D197),"Value Missing",'Site Protection &amp; DR'!D197)</f>
        <v>Value Missing</v>
      </c>
      <c r="G435" s="2"/>
      <c r="H435" s="4" t="s">
        <v>1493</v>
      </c>
      <c r="I435" s="337" t="str">
        <f>IF(ISBLANK('Configure Workload Domain'!D186),"Value Missing",'Configure Workload Domain'!D186)</f>
        <v>Value Missing</v>
      </c>
    </row>
    <row r="436" spans="5:9" ht="20.05" customHeight="1" x14ac:dyDescent="0.35">
      <c r="E436" s="4" t="s">
        <v>1511</v>
      </c>
      <c r="F436" s="337" t="str">
        <f>IF(ISBLANK('Site Protection &amp; DR'!D198),"Value Missing",'Site Protection &amp; DR'!D198)</f>
        <v>Value Missing</v>
      </c>
      <c r="G436" s="2"/>
      <c r="H436" s="4" t="s">
        <v>1494</v>
      </c>
      <c r="I436" s="337" t="str">
        <f>IF(ISBLANK('Configure Workload Domain'!D187),"Value Missing",'Configure Workload Domain'!D187)</f>
        <v>Value Missing</v>
      </c>
    </row>
    <row r="437" spans="5:9" ht="20.05" customHeight="1" x14ac:dyDescent="0.35">
      <c r="E437" s="4" t="s">
        <v>1513</v>
      </c>
      <c r="F437" s="337" t="str">
        <f>IF(ISBLANK('Site Protection &amp; DR'!D199),"Value Missing",'Site Protection &amp; DR'!D199)</f>
        <v>Value Missing</v>
      </c>
      <c r="G437" s="2"/>
      <c r="H437" s="4" t="s">
        <v>1495</v>
      </c>
      <c r="I437" s="337" t="str">
        <f>IF(ISBLANK('Configure Workload Domain'!D188),"Value Missing",'Configure Workload Domain'!D188)</f>
        <v>Value Missing</v>
      </c>
    </row>
    <row r="438" spans="5:9" ht="20.05" customHeight="1" x14ac:dyDescent="0.35">
      <c r="E438" s="4" t="s">
        <v>1515</v>
      </c>
      <c r="F438" s="337" t="str">
        <f>IF(ISBLANK('Site Protection &amp; DR'!D200),"Value Missing",'Site Protection &amp; DR'!D200)</f>
        <v>Value Missing</v>
      </c>
      <c r="G438" s="2"/>
      <c r="H438" s="4" t="s">
        <v>1496</v>
      </c>
      <c r="I438" s="337" t="str">
        <f>IF(ISBLANK('Configure Workload Domain'!D189),"Value Missing",'Configure Workload Domain'!D189)</f>
        <v>Value Missing</v>
      </c>
    </row>
    <row r="439" spans="5:9" ht="20.05" customHeight="1" x14ac:dyDescent="0.35">
      <c r="E439" s="4" t="s">
        <v>1517</v>
      </c>
      <c r="F439" s="337" t="str">
        <f>IF(ISBLANK('Site Protection &amp; DR'!D201),"Value Missing",'Site Protection &amp; DR'!D201)</f>
        <v>Value Missing</v>
      </c>
      <c r="G439" s="2"/>
      <c r="H439" s="4" t="s">
        <v>1497</v>
      </c>
      <c r="I439" s="337" t="str">
        <f>IF(ISBLANK('Dumping Ground'!D310),"Value Missing",'Dumping Ground'!D310)</f>
        <v>Value Missing</v>
      </c>
    </row>
    <row r="440" spans="5:9" ht="20.05" customHeight="1" x14ac:dyDescent="0.35">
      <c r="E440" s="4" t="s">
        <v>1519</v>
      </c>
      <c r="F440" s="337" t="str">
        <f>IF(ISBLANK('Site Protection &amp; DR'!D202),"Value Missing",'Site Protection &amp; DR'!D202)</f>
        <v>Value Missing</v>
      </c>
      <c r="G440" s="2"/>
      <c r="H440" s="4" t="s">
        <v>1498</v>
      </c>
      <c r="I440" s="337" t="str">
        <f>IF(ISBLANK('Dumping Ground'!D311),"Value Missing",'Dumping Ground'!D311)</f>
        <v>Value Missing</v>
      </c>
    </row>
    <row r="441" spans="5:9" ht="20.05" customHeight="1" x14ac:dyDescent="0.35">
      <c r="E441" s="4" t="s">
        <v>1521</v>
      </c>
      <c r="F441" s="337" t="str">
        <f>IF(ISBLANK('Site Protection &amp; DR'!D203),"Value Missing",'Site Protection &amp; DR'!D203)</f>
        <v>Value Missing</v>
      </c>
      <c r="G441" s="2"/>
      <c r="H441" s="4" t="s">
        <v>1506</v>
      </c>
      <c r="I441" s="337" t="str">
        <f>IF(ISBLANK('Dumping Ground'!D312),"Value Missing",'Dumping Ground'!D312)</f>
        <v>Value Missing</v>
      </c>
    </row>
    <row r="442" spans="5:9" ht="20.05" customHeight="1" x14ac:dyDescent="0.35">
      <c r="E442" s="4" t="s">
        <v>1523</v>
      </c>
      <c r="F442" s="337" t="str">
        <f>IF(ISBLANK('Site Protection &amp; DR'!D204),"Value Missing",'Site Protection &amp; DR'!D204)</f>
        <v>Value Missing</v>
      </c>
      <c r="G442" s="15"/>
      <c r="H442" s="4" t="s">
        <v>1507</v>
      </c>
      <c r="I442" s="337" t="str">
        <f>IF(ISBLANK('Dumping Ground'!D313),"Value Missing",'Dumping Ground'!D313)</f>
        <v>Value Missing</v>
      </c>
    </row>
    <row r="443" spans="5:9" ht="20.05" customHeight="1" x14ac:dyDescent="0.35">
      <c r="E443" s="4" t="s">
        <v>1525</v>
      </c>
      <c r="F443" s="337" t="str">
        <f>IF(ISBLANK('Site Protection &amp; DR'!D205),"Value Missing",'Site Protection &amp; DR'!D205)</f>
        <v>Value Missing</v>
      </c>
      <c r="G443" s="2"/>
      <c r="H443" s="4" t="s">
        <v>1509</v>
      </c>
      <c r="I443" s="337" t="str">
        <f>IF(ISBLANK('Dumping Ground'!D314),"Value Missing",'Dumping Ground'!D314)</f>
        <v>Value Missing</v>
      </c>
    </row>
    <row r="444" spans="5:9" ht="20.05" customHeight="1" x14ac:dyDescent="0.35">
      <c r="E444" s="4" t="s">
        <v>1527</v>
      </c>
      <c r="F444" s="337" t="str">
        <f>IF(ISBLANK('Site Protection &amp; DR'!D206),"Value Missing",'Site Protection &amp; DR'!D206)</f>
        <v>Value Missing</v>
      </c>
      <c r="G444" s="2"/>
      <c r="H444" s="4" t="s">
        <v>1511</v>
      </c>
      <c r="I444" s="337" t="str">
        <f>IF(ISBLANK('Dumping Ground'!D315),"Value Missing",'Dumping Ground'!D315)</f>
        <v>Value Missing</v>
      </c>
    </row>
    <row r="445" spans="5:9" ht="20.05" customHeight="1" x14ac:dyDescent="0.35">
      <c r="E445" s="4" t="s">
        <v>1529</v>
      </c>
      <c r="F445" s="337" t="str">
        <f>IF(ISBLANK('Site Protection &amp; DR'!D207),"Value Missing",'Site Protection &amp; DR'!D207)</f>
        <v>Value Missing</v>
      </c>
      <c r="G445" s="2"/>
      <c r="H445" s="4" t="s">
        <v>1513</v>
      </c>
      <c r="I445" s="337" t="str">
        <f>IF(ISBLANK('Dumping Ground'!D316),"Value Missing",'Dumping Ground'!D316)</f>
        <v>Value Missing</v>
      </c>
    </row>
    <row r="446" spans="5:9" ht="20.05" customHeight="1" x14ac:dyDescent="0.35">
      <c r="E446" s="4" t="s">
        <v>1531</v>
      </c>
      <c r="F446" s="337" t="str">
        <f>IF(ISBLANK('Site Protection &amp; DR'!D208),"Value Missing",'Site Protection &amp; DR'!D208)</f>
        <v>Value Missing</v>
      </c>
      <c r="G446" s="2"/>
      <c r="H446" s="4" t="s">
        <v>1515</v>
      </c>
      <c r="I446" s="337" t="str">
        <f>IF(ISBLANK('Dumping Ground'!D317),"Value Missing",'Dumping Ground'!D317)</f>
        <v>Value Missing</v>
      </c>
    </row>
    <row r="447" spans="5:9" ht="20.05" customHeight="1" x14ac:dyDescent="0.35">
      <c r="E447" s="2"/>
      <c r="F447" s="2"/>
      <c r="G447" s="2"/>
      <c r="H447" s="4" t="s">
        <v>1517</v>
      </c>
      <c r="I447" s="337" t="str">
        <f>IF(ISBLANK('Dumping Ground'!D318),"Value Missing",'Dumping Ground'!D318)</f>
        <v>Value Missing</v>
      </c>
    </row>
    <row r="448" spans="5:9" ht="20.05" customHeight="1" x14ac:dyDescent="0.35">
      <c r="E448" s="576" t="s">
        <v>1599</v>
      </c>
      <c r="F448" s="577"/>
      <c r="G448" s="2"/>
      <c r="H448" s="4" t="s">
        <v>1519</v>
      </c>
      <c r="I448" s="337" t="str">
        <f>IF(ISBLANK('Dumping Ground'!D319),"Value Missing",'Dumping Ground'!D319)</f>
        <v>Value Missing</v>
      </c>
    </row>
    <row r="449" spans="5:9" ht="20.05" customHeight="1" x14ac:dyDescent="0.35">
      <c r="E449" s="13" t="s">
        <v>261</v>
      </c>
      <c r="F449" s="14" t="s">
        <v>1573</v>
      </c>
      <c r="G449" s="2"/>
      <c r="H449" s="4" t="s">
        <v>1521</v>
      </c>
      <c r="I449" s="337" t="str">
        <f>IF(ISBLANK('Dumping Ground'!D320),"Value Missing",'Dumping Ground'!D320)</f>
        <v>Value Missing</v>
      </c>
    </row>
    <row r="450" spans="5:9" ht="20.05" customHeight="1" x14ac:dyDescent="0.35">
      <c r="E450" s="4" t="s">
        <v>1508</v>
      </c>
      <c r="F450" s="337" t="str">
        <f>IF(mgmt_az2_host1_fqdn="Value Missing",mgmt_az2_host1_fqdn,LEFT(mgmt_az2_host1_fqdn,FIND(".",mgmt_az2_host1_fqdn)-1))</f>
        <v>Value Missing</v>
      </c>
      <c r="G450" s="2"/>
      <c r="H450" s="4" t="s">
        <v>1523</v>
      </c>
      <c r="I450" s="337" t="str">
        <f>IF(ISBLANK('Dumping Ground'!D321),"Value Missing",'Dumping Ground'!D321)</f>
        <v>Value Missing</v>
      </c>
    </row>
    <row r="451" spans="5:9" ht="20.05" customHeight="1" x14ac:dyDescent="0.35">
      <c r="E451" s="4" t="s">
        <v>1510</v>
      </c>
      <c r="F451" s="337" t="str">
        <f>IF(mgmt_az2_host2_fqdn="Value Missing",mgmt_az2_host2_fqdn,LEFT(mgmt_az2_host2_fqdn,FIND(".",mgmt_az2_host2_fqdn)-1))</f>
        <v>Value Missing</v>
      </c>
      <c r="G451" s="2"/>
      <c r="H451" s="4" t="s">
        <v>1525</v>
      </c>
      <c r="I451" s="337" t="str">
        <f>IF(ISBLANK('Dumping Ground'!D322),"Value Missing",'Dumping Ground'!D322)</f>
        <v>Value Missing</v>
      </c>
    </row>
    <row r="452" spans="5:9" ht="20.05" customHeight="1" x14ac:dyDescent="0.35">
      <c r="E452" s="4" t="s">
        <v>1512</v>
      </c>
      <c r="F452" s="337" t="str">
        <f>IF(mgmt_az2_host3_fqdn="Value Missing",mgmt_az2_host3_fqdn,LEFT(mgmt_az2_host3_fqdn,FIND(".",mgmt_az2_host3_fqdn)-1))</f>
        <v>Value Missing</v>
      </c>
      <c r="G452" s="2"/>
      <c r="H452" s="4" t="s">
        <v>1527</v>
      </c>
      <c r="I452" s="337" t="str">
        <f>IF(ISBLANK('Dumping Ground'!D323),"Value Missing",'Dumping Ground'!D323)</f>
        <v>Value Missing</v>
      </c>
    </row>
    <row r="453" spans="5:9" ht="20.05" customHeight="1" x14ac:dyDescent="0.35">
      <c r="E453" s="4" t="s">
        <v>1514</v>
      </c>
      <c r="F453" s="337" t="str">
        <f>IF(mgmt_az2_host4_fqdn="Value Missing",mgmt_az2_host4_fqdn,LEFT(mgmt_az2_host4_fqdn,FIND(".",mgmt_az2_host4_fqdn)-1))</f>
        <v>Value Missing</v>
      </c>
      <c r="G453" s="2"/>
      <c r="H453" s="4" t="s">
        <v>1529</v>
      </c>
      <c r="I453" s="337" t="str">
        <f>IF(ISBLANK('Dumping Ground'!D324),"Value Missing",'Dumping Ground'!D324)</f>
        <v>Value Missing</v>
      </c>
    </row>
    <row r="454" spans="5:9" ht="20.05" customHeight="1" x14ac:dyDescent="0.35">
      <c r="E454" s="4" t="s">
        <v>1516</v>
      </c>
      <c r="F454" s="337" t="str">
        <f>IF(mgmt_az2_host5_fqdn="Value Missing",mgmt_az2_host5_fqdn,LEFT(mgmt_az2_host5_fqdn,FIND(".",mgmt_az2_host5_fqdn)-1))</f>
        <v>Value Missing</v>
      </c>
      <c r="G454" s="2"/>
      <c r="H454" s="4" t="s">
        <v>1531</v>
      </c>
      <c r="I454" s="337" t="str">
        <f>IF(ISBLANK('Dumping Ground'!D325),"Value Missing",'Dumping Ground'!D325)</f>
        <v>Value Missing</v>
      </c>
    </row>
    <row r="455" spans="5:9" ht="20.05" customHeight="1" x14ac:dyDescent="0.35">
      <c r="E455" s="4" t="s">
        <v>1518</v>
      </c>
      <c r="F455" s="337" t="str">
        <f>IF(mgmt_az2_host6_fqdn="Value Missing",mgmt_az2_host6_fqdn,LEFT(mgmt_az2_host6_fqdn,FIND(".",mgmt_az2_host6_fqdn)-1))</f>
        <v>Value Missing</v>
      </c>
      <c r="G455" s="2"/>
      <c r="I455" s="19"/>
    </row>
    <row r="456" spans="5:9" ht="20.05" customHeight="1" x14ac:dyDescent="0.35">
      <c r="E456" s="4" t="s">
        <v>1520</v>
      </c>
      <c r="F456" s="337" t="str">
        <f>IF(mgmt_az2_host7_fqdn="Value Missing",mgmt_az2_host7_fqdn,LEFT(mgmt_az2_host7_fqdn,FIND(".",mgmt_az2_host7_fqdn)-1))</f>
        <v>Value Missing</v>
      </c>
      <c r="G456" s="2"/>
      <c r="H456" s="576" t="s">
        <v>1600</v>
      </c>
      <c r="I456" s="577"/>
    </row>
    <row r="457" spans="5:9" ht="20.05" customHeight="1" x14ac:dyDescent="0.35">
      <c r="E457" s="4" t="s">
        <v>1522</v>
      </c>
      <c r="F457" s="337" t="str">
        <f>IF(mgmt_az2_host8_fqdn="Value Missing",mgmt_az2_host8_fqdn,LEFT(mgmt_az2_host8_fqdn,FIND(".",mgmt_az2_host8_fqdn)-1))</f>
        <v>Value Missing</v>
      </c>
      <c r="G457" s="2"/>
      <c r="H457" s="13" t="s">
        <v>261</v>
      </c>
      <c r="I457" s="14" t="s">
        <v>1573</v>
      </c>
    </row>
    <row r="458" spans="5:9" ht="20.05" customHeight="1" x14ac:dyDescent="0.35">
      <c r="E458" s="4" t="s">
        <v>1524</v>
      </c>
      <c r="F458" s="337" t="str">
        <f>IF(mgmt_az2_host9_fqdn="Value Missing",mgmt_az2_host9_fqdn,LEFT(mgmt_az2_host9_fqdn,FIND(".",mgmt_az2_host9_fqdn)-1))</f>
        <v>Value Missing</v>
      </c>
      <c r="G458" s="2"/>
      <c r="H458" s="4" t="s">
        <v>1508</v>
      </c>
      <c r="I458" s="337" t="str">
        <f>IF(wld_az2_host1_fqdn="Value Missing",wld_az2_host1_fqdn,LEFT(wld_az2_host1_fqdn,FIND(".",wld_az2_host1_fqdn)-1))</f>
        <v>Value Missing</v>
      </c>
    </row>
    <row r="459" spans="5:9" ht="20.05" customHeight="1" x14ac:dyDescent="0.35">
      <c r="E459" s="4" t="s">
        <v>1526</v>
      </c>
      <c r="F459" s="337" t="str">
        <f>IF(mgmt_az2_host10_fqdn="Value Missing",mgmt_az2_host10_fqdn,LEFT(mgmt_az2_host10_fqdn,FIND(".",mgmt_az2_host10_fqdn)-1))</f>
        <v>Value Missing</v>
      </c>
      <c r="H459" s="4" t="s">
        <v>1510</v>
      </c>
      <c r="I459" s="337" t="str">
        <f>IF(wld_az2_host2_fqdn="Value Missing",wld_az2_host2_fqdn,LEFT(wld_az2_host2_fqdn,FIND(".",wld_az2_host2_fqdn)-1))</f>
        <v>Value Missing</v>
      </c>
    </row>
    <row r="460" spans="5:9" ht="20.05" customHeight="1" x14ac:dyDescent="0.35">
      <c r="E460" s="4" t="s">
        <v>1528</v>
      </c>
      <c r="F460" s="337" t="str">
        <f>IF(mgmt_az2_host11_fqdn="Value Missing",mgmt_az2_host11_fqdn,LEFT(mgmt_az2_host11_fqdn,FIND(".",mgmt_az2_host11_fqdn)-1))</f>
        <v>Value Missing</v>
      </c>
      <c r="H460" s="4" t="s">
        <v>1512</v>
      </c>
      <c r="I460" s="337" t="str">
        <f>IF(wld_az2_host3_fqdn="Value Missing",wld_az2_host3_fqdn,LEFT(wld_az2_host3_fqdn,FIND(".",wld_az2_host3_fqdn)-1))</f>
        <v>Value Missing</v>
      </c>
    </row>
    <row r="461" spans="5:9" ht="20.05" customHeight="1" x14ac:dyDescent="0.35">
      <c r="E461" s="4" t="s">
        <v>1530</v>
      </c>
      <c r="F461" s="337" t="str">
        <f>IF(mgmt_az2_host12_fqdn="Value Missing",mgmt_az2_host12_fqdn,LEFT(mgmt_az2_host12_fqdn,FIND(".",mgmt_az2_host12_fqdn)-1))</f>
        <v>Value Missing</v>
      </c>
      <c r="H461" s="4" t="s">
        <v>1514</v>
      </c>
      <c r="I461" s="337" t="str">
        <f>IF(wld_az2_host4_fqdn="Value Missing",wld_az2_host4_fqdn,LEFT(wld_az2_host4_fqdn,FIND(".",wld_az2_host4_fqdn)-1))</f>
        <v>Value Missing</v>
      </c>
    </row>
    <row r="462" spans="5:9" ht="20.05" customHeight="1" x14ac:dyDescent="0.35">
      <c r="E462" s="4" t="s">
        <v>1532</v>
      </c>
      <c r="F462" s="337" t="str">
        <f>IF(mgmt_az2_host13_fqdn="Value Missing",mgmt_az2_host13_fqdn,LEFT(mgmt_az2_host13_fqdn,FIND(".",mgmt_az2_host13_fqdn)-1))</f>
        <v>Value Missing</v>
      </c>
      <c r="H462" s="4" t="s">
        <v>1516</v>
      </c>
      <c r="I462" s="337" t="str">
        <f>IF(wld_az2_host5_fqdn="Value Missing",wld_az2_host5_fqdn,LEFT(wld_az2_host5_fqdn,FIND(".",wld_az2_host5_fqdn)-1))</f>
        <v>Value Missing</v>
      </c>
    </row>
    <row r="463" spans="5:9" ht="20.05" customHeight="1" x14ac:dyDescent="0.35">
      <c r="E463" s="4" t="s">
        <v>1533</v>
      </c>
      <c r="F463" s="337" t="str">
        <f>IF(mgmt_az2_host14_fqdn="Value Missing",mgmt_az2_host14_fqdn,LEFT(mgmt_az2_host14_fqdn,FIND(".",mgmt_az2_host14_fqdn)-1))</f>
        <v>Value Missing</v>
      </c>
      <c r="H463" s="4" t="s">
        <v>1518</v>
      </c>
      <c r="I463" s="337" t="str">
        <f>IF(wld_az2_host6_fqdn="Value Missing",wld_az2_host6_fqdn,LEFT(wld_az2_host6_fqdn,FIND(".",wld_az2_host6_fqdn)-1))</f>
        <v>Value Missing</v>
      </c>
    </row>
    <row r="464" spans="5:9" ht="20.05" customHeight="1" x14ac:dyDescent="0.35">
      <c r="E464" s="4" t="s">
        <v>1536</v>
      </c>
      <c r="F464" s="337" t="str">
        <f>IF(mgmt_az2_host15_fqdn="Value Missing",mgmt_az2_host15_fqdn,LEFT(mgmt_az2_host15_fqdn,FIND(".",mgmt_az2_host15_fqdn)-1))</f>
        <v>Value Missing</v>
      </c>
      <c r="H464" s="4" t="s">
        <v>1520</v>
      </c>
      <c r="I464" s="337" t="str">
        <f>IF(wld_az2_host7_fqdn="Value Missing",wld_az2_host7_fqdn,LEFT(wld_az2_host7_fqdn,FIND(".",wld_az2_host7_fqdn)-1))</f>
        <v>Value Missing</v>
      </c>
    </row>
    <row r="465" spans="5:9" ht="20.05" customHeight="1" x14ac:dyDescent="0.35">
      <c r="E465" s="4" t="s">
        <v>1537</v>
      </c>
      <c r="F465" s="337" t="str">
        <f>IF(mgmt_az2_host16_fqdn="Value Missing",mgmt_az2_host16_fqdn,LEFT(mgmt_az2_host16_fqdn,FIND(".",mgmt_az2_host16_fqdn)-1))</f>
        <v>Value Missing</v>
      </c>
      <c r="H465" s="4" t="s">
        <v>1522</v>
      </c>
      <c r="I465" s="337" t="str">
        <f>IF(wld_az2_host8_fqdn="Value Missing",wld_az2_host8_fqdn,LEFT(wld_az2_host8_fqdn,FIND(".",wld_az2_host8_fqdn)-1))</f>
        <v>Value Missing</v>
      </c>
    </row>
    <row r="466" spans="5:9" ht="20.05" customHeight="1" x14ac:dyDescent="0.35">
      <c r="E466" s="2"/>
      <c r="F466" s="2"/>
      <c r="H466" s="4" t="s">
        <v>1524</v>
      </c>
      <c r="I466" s="337" t="str">
        <f>IF(wld_az2_host9_fqdn="Value Missing",wld_az2_host9_fqdn,LEFT(wld_az2_host9_fqdn,FIND(".",wld_az2_host9_fqdn)-1))</f>
        <v>Value Missing</v>
      </c>
    </row>
    <row r="467" spans="5:9" ht="20.05" customHeight="1" x14ac:dyDescent="0.35">
      <c r="E467" s="379" t="s">
        <v>1601</v>
      </c>
      <c r="F467" s="380"/>
      <c r="H467" s="4" t="s">
        <v>1526</v>
      </c>
      <c r="I467" s="337" t="str">
        <f>IF(wld_az2_host10_fqdn="Value Missing",wld_az2_host10_fqdn,LEFT(wld_az2_host10_fqdn,FIND(".",wld_az2_host10_fqdn)-1))</f>
        <v>Value Missing</v>
      </c>
    </row>
    <row r="468" spans="5:9" ht="20.05" customHeight="1" x14ac:dyDescent="0.35">
      <c r="E468" s="13" t="s">
        <v>261</v>
      </c>
      <c r="F468" s="14" t="s">
        <v>1573</v>
      </c>
      <c r="H468" s="4" t="s">
        <v>1528</v>
      </c>
      <c r="I468" s="337" t="str">
        <f>IF(wld_az2_host11_fqdn="Value Missing",wld_az2_host11_fqdn,LEFT(wld_az2_host11_fqdn,FIND(".",wld_az2_host11_fqdn)-1))</f>
        <v>Value Missing</v>
      </c>
    </row>
    <row r="469" spans="5:9" ht="20.05" customHeight="1" x14ac:dyDescent="0.35">
      <c r="E469" s="4" t="s">
        <v>1508</v>
      </c>
      <c r="F469" s="337" t="str">
        <f>IF(ISBLANK(input_mgmt_az2_host1_fqdn),"Value Missing",input_mgmt_az2_host1_fqdn)</f>
        <v>Value Missing</v>
      </c>
      <c r="H469" s="4" t="s">
        <v>1530</v>
      </c>
      <c r="I469" s="337" t="str">
        <f>IF(wld_az2_host12_fqdn="Value Missing",wld_az2_host12_fqdn,LEFT(wld_az2_host12_fqdn,FIND(".",wld_az2_host12_fqdn)-1))</f>
        <v>Value Missing</v>
      </c>
    </row>
    <row r="470" spans="5:9" ht="20.05" customHeight="1" x14ac:dyDescent="0.35">
      <c r="E470" s="4" t="s">
        <v>1510</v>
      </c>
      <c r="F470" s="337" t="str">
        <f>IF(ISBLANK(input_mgmt_az2_host2_fqdn),"Value Missing",input_mgmt_az2_host2_fqdn)</f>
        <v>Value Missing</v>
      </c>
      <c r="H470" s="4" t="s">
        <v>1532</v>
      </c>
      <c r="I470" s="337" t="str">
        <f>IF(wld_az2_host13_fqdn="Value Missing",wld_az2_host13_fqdn,LEFT(wld_az2_host13_fqdn,FIND(".",wld_az2_host13_fqdn)-1))</f>
        <v>Value Missing</v>
      </c>
    </row>
    <row r="471" spans="5:9" ht="20.05" customHeight="1" x14ac:dyDescent="0.35">
      <c r="E471" s="4" t="s">
        <v>1512</v>
      </c>
      <c r="F471" s="337" t="str">
        <f>IF(ISBLANK(input_mgmt_az2_host3_fqdn),"Value Missing",input_mgmt_az2_host3_fqdn)</f>
        <v>Value Missing</v>
      </c>
      <c r="H471" s="4" t="s">
        <v>1533</v>
      </c>
      <c r="I471" s="337" t="str">
        <f>IF(wld_az2_host14_fqdn="Value Missing",wld_az2_host14_fqdn,LEFT(wld_az2_host14_fqdn,FIND(".",wld_az2_host14_fqdn)-1))</f>
        <v>Value Missing</v>
      </c>
    </row>
    <row r="472" spans="5:9" ht="20.05" customHeight="1" x14ac:dyDescent="0.35">
      <c r="E472" s="4" t="s">
        <v>1514</v>
      </c>
      <c r="F472" s="337" t="str">
        <f>IF(ISBLANK(input_mgmt_az2_host4_fqdn),"Value Missing",input_mgmt_az2_host4_fqdn)</f>
        <v>Value Missing</v>
      </c>
      <c r="H472" s="4" t="s">
        <v>1536</v>
      </c>
      <c r="I472" s="337" t="str">
        <f>IF(wld_az2_host15_fqdn="Value Missing",wld_az2_host15_fqdn,LEFT(wld_az2_host15_fqdn,FIND(".",wld_az2_host15_fqdn)-1))</f>
        <v>Value Missing</v>
      </c>
    </row>
    <row r="473" spans="5:9" ht="20.05" customHeight="1" x14ac:dyDescent="0.35">
      <c r="E473" s="4" t="s">
        <v>1516</v>
      </c>
      <c r="F473" s="337" t="str">
        <f>IF(ISBLANK(input_mgmt_az2_host5_fqdn),"Value Missing",input_mgmt_az2_host5_fqdn)</f>
        <v>Value Missing</v>
      </c>
      <c r="H473" s="4" t="s">
        <v>1537</v>
      </c>
      <c r="I473" s="337" t="str">
        <f>IF(wld_az2_host16_fqdn="Value Missing",wld_az2_host16_fqdn,LEFT(wld_az2_host16_fqdn,FIND(".",wld_az2_host16_fqdn)-1))</f>
        <v>Value Missing</v>
      </c>
    </row>
    <row r="474" spans="5:9" ht="20.05" customHeight="1" x14ac:dyDescent="0.35">
      <c r="E474" s="4" t="s">
        <v>1518</v>
      </c>
      <c r="F474" s="337" t="str">
        <f>IF(ISBLANK(input_mgmt_az2_host6_fqdn),"Value Missing",input_mgmt_az2_host6_fqdn)</f>
        <v>Value Missing</v>
      </c>
      <c r="I474" s="19"/>
    </row>
    <row r="475" spans="5:9" ht="20.05" customHeight="1" x14ac:dyDescent="0.35">
      <c r="E475" s="4" t="s">
        <v>1520</v>
      </c>
      <c r="F475" s="337" t="str">
        <f>IF(ISBLANK(input_mgmt_az2_host7_fqdn),"Value Missing",input_mgmt_az2_host7_fqdn)</f>
        <v>Value Missing</v>
      </c>
      <c r="H475" s="379" t="s">
        <v>1546</v>
      </c>
      <c r="I475" s="380"/>
    </row>
    <row r="476" spans="5:9" ht="20.05" customHeight="1" x14ac:dyDescent="0.35">
      <c r="E476" s="4" t="s">
        <v>1522</v>
      </c>
      <c r="F476" s="337" t="str">
        <f>IF(ISBLANK(input_mgmt_az2_host8_fqdn),"Value Missing",input_mgmt_az2_host8_fqdn)</f>
        <v>Value Missing</v>
      </c>
      <c r="H476" s="13" t="s">
        <v>261</v>
      </c>
      <c r="I476" s="14" t="s">
        <v>1573</v>
      </c>
    </row>
    <row r="477" spans="5:9" ht="20.05" customHeight="1" x14ac:dyDescent="0.35">
      <c r="E477" s="4" t="s">
        <v>1524</v>
      </c>
      <c r="F477" s="337" t="str">
        <f>IF(ISBLANK(input_mgmt_az2_host9_fqdn),"Value Missing",input_mgmt_az2_host9_fqdn)</f>
        <v>Value Missing</v>
      </c>
      <c r="H477" s="4" t="s">
        <v>1508</v>
      </c>
      <c r="I477" s="337" t="str">
        <f>IF(ISBLANK(input_wld_az2_host1_fqdn),"Value Missing",input_wld_az2_host1_fqdn)</f>
        <v>Value Missing</v>
      </c>
    </row>
    <row r="478" spans="5:9" ht="20.05" customHeight="1" x14ac:dyDescent="0.35">
      <c r="E478" s="4" t="s">
        <v>1526</v>
      </c>
      <c r="F478" s="337" t="str">
        <f>IF(ISBLANK(input_mgmt_az2_host10_fqdn),"Value Missing",input_mgmt_az2_host10_fqdn)</f>
        <v>Value Missing</v>
      </c>
      <c r="H478" s="4" t="s">
        <v>1510</v>
      </c>
      <c r="I478" s="337" t="str">
        <f>IF(ISBLANK(input_wld_az2_host2_fqdn),"Value Missing",input_wld_az2_host2_fqdn)</f>
        <v>Value Missing</v>
      </c>
    </row>
    <row r="479" spans="5:9" ht="20.05" customHeight="1" x14ac:dyDescent="0.35">
      <c r="E479" s="4" t="s">
        <v>1528</v>
      </c>
      <c r="F479" s="337" t="str">
        <f>IF(ISBLANK(input_mgmt_az2_host11_fqdn),"Value Missing",input_mgmt_az2_host11_fqdn)</f>
        <v>Value Missing</v>
      </c>
      <c r="H479" s="4" t="s">
        <v>1512</v>
      </c>
      <c r="I479" s="337" t="str">
        <f>IF(ISBLANK(input_wld_az2_host3_fqdn),"Value Missing",input_wld_az2_host3_fqdn)</f>
        <v>Value Missing</v>
      </c>
    </row>
    <row r="480" spans="5:9" ht="20.05" customHeight="1" x14ac:dyDescent="0.35">
      <c r="E480" s="4" t="s">
        <v>1530</v>
      </c>
      <c r="F480" s="337" t="str">
        <f>IF(ISBLANK(input_mgmt_az2_host12_fqdn),"Value Missing",input_mgmt_az2_host12_fqdn)</f>
        <v>Value Missing</v>
      </c>
      <c r="H480" s="4" t="s">
        <v>1514</v>
      </c>
      <c r="I480" s="337" t="str">
        <f>IF(ISBLANK(input_wld_az2_host4_fqdn),"Value Missing",input_wld_az2_host4_fqdn)</f>
        <v>Value Missing</v>
      </c>
    </row>
    <row r="481" spans="5:9" ht="20.05" customHeight="1" x14ac:dyDescent="0.35">
      <c r="E481" s="4" t="s">
        <v>1532</v>
      </c>
      <c r="F481" s="337" t="str">
        <f>IF(ISBLANK(input_mgmt_az2_host13_fqdn),"Value Missing",input_mgmt_az2_host13_fqdn)</f>
        <v>Value Missing</v>
      </c>
      <c r="H481" s="4" t="s">
        <v>1516</v>
      </c>
      <c r="I481" s="337" t="str">
        <f>IF(ISBLANK(input_wld_az2_host5_fqdn),"Value Missing",input_wld_az2_host5_fqdn)</f>
        <v>Value Missing</v>
      </c>
    </row>
    <row r="482" spans="5:9" ht="20.05" customHeight="1" x14ac:dyDescent="0.35">
      <c r="E482" s="4" t="s">
        <v>1533</v>
      </c>
      <c r="F482" s="337" t="str">
        <f>IF(ISBLANK(input_mgmt_az2_host14_fqdn),"Value Missing",input_mgmt_az2_host14_fqdn)</f>
        <v>Value Missing</v>
      </c>
      <c r="H482" s="4" t="s">
        <v>1518</v>
      </c>
      <c r="I482" s="337" t="str">
        <f>IF(ISBLANK(input_wld_az2_host6_fqdn),"Value Missing",input_wld_az2_host6_fqdn)</f>
        <v>Value Missing</v>
      </c>
    </row>
    <row r="483" spans="5:9" ht="20.05" customHeight="1" x14ac:dyDescent="0.35">
      <c r="E483" s="4" t="s">
        <v>1536</v>
      </c>
      <c r="F483" s="337" t="str">
        <f>IF(ISBLANK(input_mgmt_az2_host15_fqdn),"Value Missing",input_mgmt_az2_host15_fqdn)</f>
        <v>Value Missing</v>
      </c>
      <c r="H483" s="4" t="s">
        <v>1520</v>
      </c>
      <c r="I483" s="337" t="str">
        <f>IF(ISBLANK(input_wld_az2_host7_fqdn),"Value Missing",input_wld_az2_host7_fqdn)</f>
        <v>Value Missing</v>
      </c>
    </row>
    <row r="484" spans="5:9" ht="20.05" customHeight="1" x14ac:dyDescent="0.35">
      <c r="E484" s="4" t="s">
        <v>1537</v>
      </c>
      <c r="F484" s="337" t="str">
        <f>IF(ISBLANK(input_mgmt_az2_host16_fqdn),"Value Missing",input_mgmt_az2_host16_fqdn)</f>
        <v>Value Missing</v>
      </c>
      <c r="H484" s="4" t="s">
        <v>1522</v>
      </c>
      <c r="I484" s="337" t="str">
        <f>IF(ISBLANK(input_wld_az2_host8_fqdn),"Value Missing",input_wld_az2_host8_fqdn)</f>
        <v>Value Missing</v>
      </c>
    </row>
    <row r="485" spans="5:9" ht="20.05" customHeight="1" x14ac:dyDescent="0.35">
      <c r="E485" s="2"/>
      <c r="F485" s="2"/>
      <c r="H485" s="4" t="s">
        <v>1524</v>
      </c>
      <c r="I485" s="337" t="str">
        <f>IF(ISBLANK(input_wld_az2_host9_fqdn),"Value Missing",input_wld_az2_host9_fqdn)</f>
        <v>Value Missing</v>
      </c>
    </row>
    <row r="486" spans="5:9" ht="20.05" customHeight="1" x14ac:dyDescent="0.35">
      <c r="H486" s="4" t="s">
        <v>1526</v>
      </c>
      <c r="I486" s="337" t="str">
        <f>IF(ISBLANK(input_wld_az2_host10_fqdn),"Value Missing",input_wld_az2_host10_fqdn)</f>
        <v>Value Missing</v>
      </c>
    </row>
    <row r="487" spans="5:9" ht="20.05" customHeight="1" x14ac:dyDescent="0.35">
      <c r="H487" s="4" t="s">
        <v>1528</v>
      </c>
      <c r="I487" s="337" t="str">
        <f>IF(ISBLANK(input_wld_az2_host11_fqdn),"Value Missing",input_wld_az2_host11_fqdn)</f>
        <v>Value Missing</v>
      </c>
    </row>
    <row r="488" spans="5:9" ht="20.05" customHeight="1" x14ac:dyDescent="0.35">
      <c r="H488" s="4" t="s">
        <v>1530</v>
      </c>
      <c r="I488" s="337" t="str">
        <f>IF(ISBLANK(input_wld_az2_host12_fqdn),"Value Missing",input_wld_az2_host12_fqdn)</f>
        <v>Value Missing</v>
      </c>
    </row>
    <row r="489" spans="5:9" ht="20.05" customHeight="1" x14ac:dyDescent="0.35">
      <c r="H489" s="4" t="s">
        <v>1532</v>
      </c>
      <c r="I489" s="337" t="str">
        <f>IF(ISBLANK(input_wld_az2_host13_fqdn),"Value Missing",input_wld_az2_host13_fqdn)</f>
        <v>Value Missing</v>
      </c>
    </row>
    <row r="490" spans="5:9" ht="20.05" customHeight="1" x14ac:dyDescent="0.35">
      <c r="H490" s="4" t="s">
        <v>1533</v>
      </c>
      <c r="I490" s="337" t="str">
        <f>IF(ISBLANK(input_wld_az2_host14_fqdn),"Value Missing",input_wld_az2_host14_fqdn)</f>
        <v>Value Missing</v>
      </c>
    </row>
    <row r="491" spans="5:9" ht="20.05" customHeight="1" x14ac:dyDescent="0.35">
      <c r="H491" s="4" t="s">
        <v>1536</v>
      </c>
      <c r="I491" s="337" t="str">
        <f>IF(ISBLANK(input_wld_az2_host15_fqdn),"Value Missing",input_wld_az2_host15_fqdn)</f>
        <v>Value Missing</v>
      </c>
    </row>
    <row r="492" spans="5:9" ht="20.05" customHeight="1" x14ac:dyDescent="0.35">
      <c r="H492" s="4" t="s">
        <v>1537</v>
      </c>
      <c r="I492" s="337" t="str">
        <f>IF(ISBLANK(input_wld_az2_host16_fqdn),"Value Missing",input_wld_az2_host16_fqdn)</f>
        <v>Value Missing</v>
      </c>
    </row>
    <row r="493" spans="5:9" ht="20.05" customHeight="1" x14ac:dyDescent="0.35">
      <c r="I493" s="19"/>
    </row>
  </sheetData>
  <sheetProtection algorithmName="SHA-512" hashValue="Omj1QT3WMgJ0efOK2aQrtvSrjMHTkpxujRCr44xAK0RcH0J2NlFPpSRt+O3qlms6hZjpn5/L+2rL7U2XYguswQ==" saltValue="rz7OLh/EUOT0NzNMPcy7Uw==" spinCount="100000" sheet="1" objects="1" scenarios="1"/>
  <mergeCells count="33">
    <mergeCell ref="AG6:AH6"/>
    <mergeCell ref="AG17:AH17"/>
    <mergeCell ref="Z176:AA176"/>
    <mergeCell ref="AC176:AD176"/>
    <mergeCell ref="K176:L176"/>
    <mergeCell ref="N176:O176"/>
    <mergeCell ref="Q176:R176"/>
    <mergeCell ref="T176:U176"/>
    <mergeCell ref="W176:X176"/>
    <mergeCell ref="N200:O200"/>
    <mergeCell ref="K200:L200"/>
    <mergeCell ref="Q200:R200"/>
    <mergeCell ref="Z200:AA200"/>
    <mergeCell ref="AC200:AD200"/>
    <mergeCell ref="T200:U200"/>
    <mergeCell ref="W200:X200"/>
    <mergeCell ref="E216:F216"/>
    <mergeCell ref="E448:F448"/>
    <mergeCell ref="H456:I456"/>
    <mergeCell ref="H176:I176"/>
    <mergeCell ref="H216:I216"/>
    <mergeCell ref="E403:F403"/>
    <mergeCell ref="H411:I411"/>
    <mergeCell ref="E176:F176"/>
    <mergeCell ref="B43:C43"/>
    <mergeCell ref="B51:C51"/>
    <mergeCell ref="B59:C59"/>
    <mergeCell ref="E2:M2"/>
    <mergeCell ref="E3:M3"/>
    <mergeCell ref="B6:C6"/>
    <mergeCell ref="B21:C21"/>
    <mergeCell ref="B31:C31"/>
    <mergeCell ref="E6:F6"/>
  </mergeCells>
  <conditionalFormatting sqref="C8:C19 C34:C36 C38:C41 C45:C49 C53:C57 C61">
    <cfRule type="notContainsBlanks" dxfId="1353" priority="300">
      <formula>LEN(TRIM(C8))&gt;0</formula>
    </cfRule>
  </conditionalFormatting>
  <conditionalFormatting sqref="C23:C29">
    <cfRule type="notContainsBlanks" dxfId="1349" priority="254">
      <formula>LEN(TRIM(C23))&gt;0</formula>
    </cfRule>
  </conditionalFormatting>
  <conditionalFormatting sqref="F120">
    <cfRule type="containsBlanks" dxfId="1345" priority="72">
      <formula>LEN(TRIM(F120))=0</formula>
    </cfRule>
    <cfRule type="notContainsBlanks" dxfId="1344" priority="71">
      <formula>LEN(TRIM(F120))&gt;0</formula>
    </cfRule>
    <cfRule type="expression" dxfId="1343" priority="69">
      <formula>mgmt_domain_existing_vcf_operations_chosen="Selected"</formula>
    </cfRule>
  </conditionalFormatting>
  <conditionalFormatting sqref="F134:F135">
    <cfRule type="expression" dxfId="1341" priority="77">
      <formula>mgmt_domain_existing_vcf_operations_chosen="Selected"</formula>
    </cfRule>
    <cfRule type="containsBlanks" dxfId="1340" priority="80">
      <formula>LEN(TRIM(F134))=0</formula>
    </cfRule>
    <cfRule type="notContainsBlanks" dxfId="1339" priority="79">
      <formula>LEN(TRIM(F134))&gt;0</formula>
    </cfRule>
  </conditionalFormatting>
  <conditionalFormatting sqref="F145">
    <cfRule type="containsBlanks" dxfId="1337" priority="76">
      <formula>LEN(TRIM(F145))=0</formula>
    </cfRule>
    <cfRule type="notContainsBlanks" dxfId="1335" priority="75">
      <formula>LEN(TRIM(F145))&gt;0</formula>
    </cfRule>
    <cfRule type="expression" dxfId="1334" priority="73">
      <formula>mgmt_domain_existing_vcf_operations_chosen="Selected"</formula>
    </cfRule>
  </conditionalFormatting>
  <conditionalFormatting sqref="F170">
    <cfRule type="expression" dxfId="1330" priority="229">
      <formula>(VROPS_Result="Excluded")</formula>
    </cfRule>
    <cfRule type="containsBlanks" dxfId="1329" priority="228">
      <formula>LEN(TRIM(F170))=0</formula>
    </cfRule>
    <cfRule type="expression" dxfId="1327" priority="225">
      <formula>mgmt_domain_existing_vcf_operations_chosen="Selected"</formula>
    </cfRule>
    <cfRule type="notContainsBlanks" dxfId="1326" priority="227">
      <formula>LEN(TRIM(F170))&gt;0</formula>
    </cfRule>
    <cfRule type="expression" dxfId="1324" priority="241">
      <formula>(VROPS_Result="Excluded")</formula>
    </cfRule>
    <cfRule type="expression" dxfId="1322" priority="234">
      <formula>AND((VRLI_Result="Excluded"),(VROPS_Result="Excluded"),(VRA_Result="Excluded"))</formula>
    </cfRule>
    <cfRule type="notContainsBlanks" dxfId="1320" priority="239">
      <formula>LEN(TRIM(F170))&gt;0</formula>
    </cfRule>
    <cfRule type="expression" dxfId="1318" priority="237">
      <formula>mgmt_domain_existing_vcf_operations_chosen="Selected"</formula>
    </cfRule>
    <cfRule type="containsBlanks" dxfId="1315" priority="240">
      <formula>LEN(TRIM(F170))=0</formula>
    </cfRule>
    <cfRule type="expression" dxfId="1313" priority="246">
      <formula>AND((VRLI_Result="Excluded"),(VROPS_Result="Excluded"),(VRA_Result="Excluded"))</formula>
    </cfRule>
  </conditionalFormatting>
  <conditionalFormatting sqref="I140">
    <cfRule type="expression" dxfId="1305" priority="61">
      <formula>(VROPS_Result="Excluded")</formula>
    </cfRule>
    <cfRule type="expression" dxfId="1300" priority="66">
      <formula>AND((VRLI_Result="Excluded"),(VROPS_Result="Excluded"),(VRA_Result="Excluded"))</formula>
    </cfRule>
    <cfRule type="expression" dxfId="1297" priority="57">
      <formula>mgmt_domain_existing_vcf_operations_chosen="Selected"</formula>
    </cfRule>
    <cfRule type="notContainsBlanks" dxfId="1295" priority="59">
      <formula>LEN(TRIM(I140))&gt;0</formula>
    </cfRule>
    <cfRule type="containsBlanks" dxfId="1294" priority="60">
      <formula>LEN(TRIM(I140))=0</formula>
    </cfRule>
  </conditionalFormatting>
  <conditionalFormatting sqref="L260 N260 P260">
    <cfRule type="containsBlanks" dxfId="1286" priority="56">
      <formula>LEN(TRIM(L260))=0</formula>
    </cfRule>
    <cfRule type="notContainsBlanks" dxfId="1285" priority="55" stopIfTrue="1">
      <formula>LEN(TRIM(L260))&gt;0</formula>
    </cfRule>
  </conditionalFormatting>
  <conditionalFormatting sqref="L261 N261 P261">
    <cfRule type="notContainsBlanks" dxfId="1284" priority="48" stopIfTrue="1">
      <formula>LEN(TRIM(L261))&gt;0</formula>
    </cfRule>
    <cfRule type="containsBlanks" dxfId="1283" priority="49">
      <formula>LEN(TRIM(L261))=0</formula>
    </cfRule>
  </conditionalFormatting>
  <conditionalFormatting sqref="L262 N262 P262">
    <cfRule type="containsBlanks" dxfId="1282" priority="42">
      <formula>LEN(TRIM(L262))=0</formula>
    </cfRule>
    <cfRule type="notContainsBlanks" dxfId="1281" priority="41" stopIfTrue="1">
      <formula>LEN(TRIM(L262))&gt;0</formula>
    </cfRule>
  </conditionalFormatting>
  <conditionalFormatting sqref="L263 N263 P263">
    <cfRule type="containsBlanks" dxfId="1280" priority="35">
      <formula>LEN(TRIM(L263))=0</formula>
    </cfRule>
    <cfRule type="notContainsBlanks" dxfId="1279" priority="34" stopIfTrue="1">
      <formula>LEN(TRIM(L263))&gt;0</formula>
    </cfRule>
  </conditionalFormatting>
  <conditionalFormatting sqref="L264 N264 P264">
    <cfRule type="notContainsBlanks" dxfId="1278" priority="27" stopIfTrue="1">
      <formula>LEN(TRIM(L264))&gt;0</formula>
    </cfRule>
    <cfRule type="containsBlanks" dxfId="1277" priority="28">
      <formula>LEN(TRIM(L264))=0</formula>
    </cfRule>
  </conditionalFormatting>
  <conditionalFormatting sqref="L265 N265 P265">
    <cfRule type="notContainsBlanks" dxfId="1276" priority="20" stopIfTrue="1">
      <formula>LEN(TRIM(L265))&gt;0</formula>
    </cfRule>
    <cfRule type="containsBlanks" dxfId="1275" priority="21">
      <formula>LEN(TRIM(L265))=0</formula>
    </cfRule>
  </conditionalFormatting>
  <conditionalFormatting sqref="M255 K260:L260 N260:R260">
    <cfRule type="expression" dxfId="1274" priority="52">
      <formula>wld_multi_rack_count_chosen&lt;2</formula>
    </cfRule>
  </conditionalFormatting>
  <conditionalFormatting sqref="M255:M260 K260:L265 N260:R265">
    <cfRule type="expression" dxfId="1273" priority="16">
      <formula>wld_multi_rack_count_chosen="Exclude"</formula>
    </cfRule>
    <cfRule type="expression" dxfId="1272" priority="15">
      <formula>OR(wld_domain_result="Excluded",wld_multirack_result="Excluded")</formula>
    </cfRule>
  </conditionalFormatting>
  <conditionalFormatting sqref="M256 K261:L261 N261:R261">
    <cfRule type="expression" dxfId="1271" priority="45">
      <formula>wld_multi_rack_count_chosen&lt;3</formula>
    </cfRule>
  </conditionalFormatting>
  <conditionalFormatting sqref="M257 K262:L262 N262:R262">
    <cfRule type="expression" dxfId="1270" priority="38">
      <formula>wld_multi_rack_count_chosen&lt;4</formula>
    </cfRule>
  </conditionalFormatting>
  <conditionalFormatting sqref="M258 K263:L263 N263:R263">
    <cfRule type="expression" dxfId="1269" priority="31">
      <formula>wld_multi_rack_count_chosen&lt;5</formula>
    </cfRule>
  </conditionalFormatting>
  <conditionalFormatting sqref="M259 K264:L264 N264:R264">
    <cfRule type="expression" dxfId="1268" priority="24">
      <formula>wld_multi_rack_count_chosen&lt;6</formula>
    </cfRule>
  </conditionalFormatting>
  <conditionalFormatting sqref="M260 K265:L265 N265:R265">
    <cfRule type="expression" dxfId="1267" priority="17">
      <formula>wld_multi_rack_count_chosen&lt;7</formula>
    </cfRule>
  </conditionalFormatting>
  <conditionalFormatting sqref="R260">
    <cfRule type="containsBlanks" dxfId="1254" priority="54" stopIfTrue="1">
      <formula>LEN(TRIM(R260))=0</formula>
    </cfRule>
    <cfRule type="notContainsBlanks" dxfId="1253" priority="53" stopIfTrue="1">
      <formula>LEN(TRIM(R260))&gt;0</formula>
    </cfRule>
  </conditionalFormatting>
  <conditionalFormatting sqref="R261">
    <cfRule type="notContainsBlanks" dxfId="1252" priority="46" stopIfTrue="1">
      <formula>LEN(TRIM(R261))&gt;0</formula>
    </cfRule>
    <cfRule type="containsBlanks" dxfId="1251" priority="47" stopIfTrue="1">
      <formula>LEN(TRIM(R261))=0</formula>
    </cfRule>
  </conditionalFormatting>
  <conditionalFormatting sqref="R262">
    <cfRule type="notContainsBlanks" dxfId="1250" priority="39" stopIfTrue="1">
      <formula>LEN(TRIM(R262))&gt;0</formula>
    </cfRule>
    <cfRule type="containsBlanks" dxfId="1249" priority="40" stopIfTrue="1">
      <formula>LEN(TRIM(R262))=0</formula>
    </cfRule>
  </conditionalFormatting>
  <conditionalFormatting sqref="R263">
    <cfRule type="containsBlanks" dxfId="1248" priority="33" stopIfTrue="1">
      <formula>LEN(TRIM(R263))=0</formula>
    </cfRule>
    <cfRule type="notContainsBlanks" dxfId="1247" priority="32" stopIfTrue="1">
      <formula>LEN(TRIM(R263))&gt;0</formula>
    </cfRule>
  </conditionalFormatting>
  <conditionalFormatting sqref="R264">
    <cfRule type="containsBlanks" dxfId="1246" priority="26" stopIfTrue="1">
      <formula>LEN(TRIM(R264))=0</formula>
    </cfRule>
    <cfRule type="notContainsBlanks" dxfId="1245" priority="25" stopIfTrue="1">
      <formula>LEN(TRIM(R264))&gt;0</formula>
    </cfRule>
  </conditionalFormatting>
  <conditionalFormatting sqref="R265">
    <cfRule type="containsBlanks" dxfId="1244" priority="19" stopIfTrue="1">
      <formula>LEN(TRIM(R265))=0</formula>
    </cfRule>
    <cfRule type="notContainsBlanks" dxfId="1243" priority="18" stopIfTrue="1">
      <formula>LEN(TRIM(R265))&gt;0</formula>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96" operator="containsText" id="{A65C3405-968D-A649-AF5B-232123F01C80}">
            <xm:f>NOT(ISERROR(SEARCH("Not Required",C8)))</xm:f>
            <xm:f>"Not Required"</xm:f>
            <x14:dxf>
              <font>
                <color theme="0"/>
              </font>
              <fill>
                <patternFill>
                  <bgColor rgb="FF4F5F69"/>
                </patternFill>
              </fill>
            </x14:dxf>
          </x14:cfRule>
          <x14:cfRule type="containsText" priority="295" operator="containsText" id="{30A3F409-3375-C04B-96F9-B67835A3D38B}">
            <xm:f>NOT(ISERROR(SEARCH("Value Missing",C8)))</xm:f>
            <xm:f>"Value Missing"</xm:f>
            <x14:dxf>
              <font>
                <color theme="1"/>
              </font>
              <fill>
                <patternFill>
                  <bgColor rgb="FFFFBE29"/>
                </patternFill>
              </fill>
            </x14:dxf>
          </x14:cfRule>
          <xm:sqref>C8:C19 C34:C36 C38:C41 C45:C49 C53:C57 C61</xm:sqref>
        </x14:conditionalFormatting>
        <x14:conditionalFormatting xmlns:xm="http://schemas.microsoft.com/office/excel/2006/main">
          <x14:cfRule type="containsText" priority="252" operator="containsText" id="{2E06A456-9CFD-394A-87AD-D2A057EC4C00}">
            <xm:f>NOT(ISERROR(SEARCH("Value Missing",C23)))</xm:f>
            <xm:f>"Value Missing"</xm:f>
            <x14:dxf>
              <font>
                <color theme="1"/>
              </font>
              <fill>
                <patternFill>
                  <bgColor rgb="FFFFBE29"/>
                </patternFill>
              </fill>
            </x14:dxf>
          </x14:cfRule>
          <x14:cfRule type="containsText" priority="253" operator="containsText" id="{04254876-DA6D-6442-90ED-5779B82C483F}">
            <xm:f>NOT(ISERROR(SEARCH("Not Required",C23)))</xm:f>
            <xm:f>"Not Required"</xm:f>
            <x14:dxf>
              <font>
                <color theme="0"/>
              </font>
              <fill>
                <patternFill>
                  <bgColor rgb="FF4F5F69"/>
                </patternFill>
              </fill>
            </x14:dxf>
          </x14:cfRule>
          <xm:sqref>C23:C29</xm:sqref>
        </x14:conditionalFormatting>
        <x14:conditionalFormatting xmlns:xm="http://schemas.microsoft.com/office/excel/2006/main">
          <x14:cfRule type="notContainsText" priority="285" operator="notContains" id="{E2FC6685-011A-7D40-B36E-2F6CD984D011}">
            <xm:f>ISERROR(SEARCH("Value Missing",F38))</xm:f>
            <xm:f>"Value Missing"</xm:f>
            <x14:dxf>
              <font>
                <color theme="1"/>
              </font>
              <fill>
                <patternFill>
                  <bgColor rgb="FFEFFDE3"/>
                </patternFill>
              </fill>
            </x14:dxf>
          </x14:cfRule>
          <xm:sqref>F38:F49 I38:I49 L39:L47 O39:O47 R39:R47 F53:F64 I53:I64 L53:L64 O53:O64 R53:R64 U53:U64 X53:X64 AA53:AA64 AD53:AD64 I120 I124:I135 I139 I141:I144 I255:I262 F255:F263 I323:I334</xm:sqref>
        </x14:conditionalFormatting>
        <x14:conditionalFormatting xmlns:xm="http://schemas.microsoft.com/office/excel/2006/main">
          <x14:cfRule type="containsText" priority="284" operator="containsText" id="{45CAB6F9-A76E-F144-8161-CEFD98D62362}">
            <xm:f>NOT(ISERROR(SEARCH("Not Required",F38)))</xm:f>
            <xm:f>"Not Required"</xm:f>
            <x14:dxf>
              <font>
                <color theme="0"/>
              </font>
              <fill>
                <patternFill>
                  <bgColor rgb="FF506069"/>
                </patternFill>
              </fill>
            </x14:dxf>
          </x14:cfRule>
          <xm:sqref>F38:F49 I38:I49 L39:L47 O39:O47 R39:R47 F53:F64 I53:I64 L53:L64 O53:O64 R53:R64 U53:U64 X53:X64 AA53:AA64 AD53:AD64 I120 I124:I135 I139 I141:I144 I323:I334 I255:I262 F255:F263</xm:sqref>
        </x14:conditionalFormatting>
        <x14:conditionalFormatting xmlns:xm="http://schemas.microsoft.com/office/excel/2006/main">
          <x14:cfRule type="containsText" priority="70" stopIfTrue="1" operator="containsText" id="{5BF1A790-0B4D-5048-9ABD-D5312BB43F39}">
            <xm:f>NOT(ISERROR(SEARCH("Value Missing",F120)))</xm:f>
            <xm:f>"Value Missing"</xm:f>
            <x14:dxf>
              <font>
                <color rgb="FF0E223A"/>
              </font>
              <fill>
                <patternFill>
                  <bgColor rgb="FFFFBE29"/>
                </patternFill>
              </fill>
            </x14:dxf>
          </x14:cfRule>
          <xm:sqref>F120</xm:sqref>
        </x14:conditionalFormatting>
        <x14:conditionalFormatting xmlns:xm="http://schemas.microsoft.com/office/excel/2006/main">
          <x14:cfRule type="containsText" priority="78" stopIfTrue="1" operator="containsText" id="{2025EE07-F0D2-5C4D-ADE3-0DD692DE1F78}">
            <xm:f>NOT(ISERROR(SEARCH("Value Missing",F134)))</xm:f>
            <xm:f>"Value Missing"</xm:f>
            <x14:dxf>
              <font>
                <color rgb="FF0E223A"/>
              </font>
              <fill>
                <patternFill>
                  <bgColor rgb="FFFFBE29"/>
                </patternFill>
              </fill>
            </x14:dxf>
          </x14:cfRule>
          <xm:sqref>F134:F135</xm:sqref>
        </x14:conditionalFormatting>
        <x14:conditionalFormatting xmlns:xm="http://schemas.microsoft.com/office/excel/2006/main">
          <x14:cfRule type="containsText" priority="74" stopIfTrue="1" operator="containsText" id="{2A22471B-5133-3C49-A30A-0F63C483BDB5}">
            <xm:f>NOT(ISERROR(SEARCH("Value Missing",F145)))</xm:f>
            <xm:f>"Value Missing"</xm:f>
            <x14:dxf>
              <font>
                <color rgb="FF0E223A"/>
              </font>
              <fill>
                <patternFill>
                  <bgColor rgb="FFFFBE29"/>
                </patternFill>
              </fill>
            </x14:dxf>
          </x14:cfRule>
          <xm:sqref>F145</xm:sqref>
        </x14:conditionalFormatting>
        <x14:conditionalFormatting xmlns:xm="http://schemas.microsoft.com/office/excel/2006/main">
          <x14:cfRule type="notContainsText" priority="232" operator="notContains" id="{A64DB7C4-5E87-5A48-BE1E-79C5A5200141}">
            <xm:f>ISERROR(SEARCH("Value Missing",F170))</xm:f>
            <xm:f>"Value Missing"</xm:f>
            <x14:dxf>
              <font>
                <color rgb="FF006100"/>
              </font>
              <fill>
                <patternFill>
                  <bgColor rgb="FFC6EFCE"/>
                </patternFill>
              </fill>
            </x14:dxf>
          </x14:cfRule>
          <x14:cfRule type="containsText" priority="231" operator="containsText" id="{90CAD925-3107-4146-B9BB-526E697276DF}">
            <xm:f>NOT(ISERROR(SEARCH("Value Missing",F170)))</xm:f>
            <xm:f>"Value Missing"</xm:f>
            <x14:dxf>
              <font>
                <color rgb="FF9C0006"/>
              </font>
              <fill>
                <patternFill>
                  <bgColor rgb="FFFFC7CE"/>
                </patternFill>
              </fill>
            </x14:dxf>
          </x14:cfRule>
          <x14:cfRule type="notContainsText" priority="230" operator="notContains" id="{60CD5978-8FB8-FF43-85E9-364702C0CAA9}">
            <xm:f>ISERROR(SEARCH("Value Missing",F170))</xm:f>
            <xm:f>"Value Missing"</xm:f>
            <x14:dxf>
              <font>
                <color rgb="FF006100"/>
              </font>
              <fill>
                <patternFill>
                  <bgColor rgb="FFC6EFCE"/>
                </patternFill>
              </fill>
            </x14:dxf>
          </x14:cfRule>
          <x14:cfRule type="containsText" priority="226" stopIfTrue="1" operator="containsText" id="{7D4DEBEB-A173-7F4F-9C79-8ECC19831809}">
            <xm:f>NOT(ISERROR(SEARCH("Value Missing",F170)))</xm:f>
            <xm:f>"Value Missing"</xm:f>
            <x14:dxf>
              <font>
                <color rgb="FF0E223A"/>
              </font>
              <fill>
                <patternFill>
                  <bgColor rgb="FFFFBE29"/>
                </patternFill>
              </fill>
            </x14:dxf>
          </x14:cfRule>
          <x14:cfRule type="containsText" priority="248" operator="containsText" id="{E627FF7E-80A3-9940-8316-1E369D6157AB}">
            <xm:f>NOT(ISERROR(SEARCH("Value Missing",F170)))</xm:f>
            <xm:f>"Value Missing"</xm:f>
            <x14:dxf>
              <font>
                <color rgb="FF9C0006"/>
              </font>
              <fill>
                <patternFill>
                  <bgColor rgb="FFFFC7CE"/>
                </patternFill>
              </fill>
            </x14:dxf>
          </x14:cfRule>
          <x14:cfRule type="notContainsText" priority="235" operator="notContains" id="{B7E4B134-1375-4741-ADC9-3D565C12F2AB}">
            <xm:f>ISERROR(SEARCH("Value Missing",F170))</xm:f>
            <xm:f>"Value Missing"</xm:f>
            <x14:dxf>
              <font>
                <color rgb="FF006100"/>
              </font>
              <fill>
                <patternFill>
                  <bgColor rgb="FFC6EFCE"/>
                </patternFill>
              </fill>
            </x14:dxf>
          </x14:cfRule>
          <x14:cfRule type="containsText" priority="233" operator="containsText" id="{51D9070B-BE64-774E-9D04-DFDE224AE899}">
            <xm:f>NOT(ISERROR(SEARCH("Value Missing",F170)))</xm:f>
            <xm:f>"Value Missing"</xm:f>
            <x14:dxf>
              <font>
                <color rgb="FF9C0006"/>
              </font>
              <fill>
                <patternFill>
                  <bgColor rgb="FFFFC7CE"/>
                </patternFill>
              </fill>
            </x14:dxf>
          </x14:cfRule>
          <x14:cfRule type="containsText" priority="238" stopIfTrue="1" operator="containsText" id="{784E68FA-8023-794C-BD87-0A9D011C4959}">
            <xm:f>NOT(ISERROR(SEARCH("Value Missing",F170)))</xm:f>
            <xm:f>"Value Missing"</xm:f>
            <x14:dxf>
              <font>
                <color rgb="FF0E223A"/>
              </font>
              <fill>
                <patternFill>
                  <bgColor rgb="FFFFBE29"/>
                </patternFill>
              </fill>
            </x14:dxf>
          </x14:cfRule>
          <x14:cfRule type="notContainsText" priority="242" operator="notContains" id="{11FFCF3C-8326-444A-90E8-517EEE7E55A2}">
            <xm:f>ISERROR(SEARCH("Value Missing",F170))</xm:f>
            <xm:f>"Value Missing"</xm:f>
            <x14:dxf>
              <font>
                <color rgb="FF006100"/>
              </font>
              <fill>
                <patternFill>
                  <bgColor rgb="FFC6EFCE"/>
                </patternFill>
              </fill>
            </x14:dxf>
          </x14:cfRule>
          <x14:cfRule type="containsText" priority="243" operator="containsText" id="{C9672E1A-1695-594B-9F42-DB874E6191EC}">
            <xm:f>NOT(ISERROR(SEARCH("Value Missing",F170)))</xm:f>
            <xm:f>"Value Missing"</xm:f>
            <x14:dxf>
              <font>
                <color rgb="FF9C0006"/>
              </font>
              <fill>
                <patternFill>
                  <bgColor rgb="FFFFC7CE"/>
                </patternFill>
              </fill>
            </x14:dxf>
          </x14:cfRule>
          <x14:cfRule type="notContainsText" priority="244" operator="notContains" id="{C6A2A1FE-59E8-BB4C-8B10-B1342F266A20}">
            <xm:f>ISERROR(SEARCH("Value Missing",F170))</xm:f>
            <xm:f>"Value Missing"</xm:f>
            <x14:dxf>
              <font>
                <color rgb="FF006100"/>
              </font>
              <fill>
                <patternFill>
                  <bgColor rgb="FFC6EFCE"/>
                </patternFill>
              </fill>
            </x14:dxf>
          </x14:cfRule>
          <x14:cfRule type="containsText" priority="245" operator="containsText" id="{C16983BC-AF16-2841-9EA9-792057041EFE}">
            <xm:f>NOT(ISERROR(SEARCH("Value Missing",F170)))</xm:f>
            <xm:f>"Value Missing"</xm:f>
            <x14:dxf>
              <font>
                <color rgb="FF9C0006"/>
              </font>
              <fill>
                <patternFill>
                  <bgColor rgb="FFFFC7CE"/>
                </patternFill>
              </fill>
            </x14:dxf>
          </x14:cfRule>
          <x14:cfRule type="notContainsText" priority="247" operator="notContains" id="{5429F24B-9BF7-8141-9CCF-1F7920CF0406}">
            <xm:f>ISERROR(SEARCH("Value Missing",F170))</xm:f>
            <xm:f>"Value Missing"</xm:f>
            <x14:dxf>
              <font>
                <color rgb="FF006100"/>
              </font>
              <fill>
                <patternFill>
                  <bgColor rgb="FFC6EFCE"/>
                </patternFill>
              </fill>
            </x14:dxf>
          </x14:cfRule>
          <x14:cfRule type="containsText" priority="236" operator="containsText" id="{3787AAFD-DADB-D94F-91BA-2E8FECD7C597}">
            <xm:f>NOT(ISERROR(SEARCH("Value Missing",F170)))</xm:f>
            <xm:f>"Value Missing"</xm:f>
            <x14:dxf>
              <font>
                <color rgb="FF9C0006"/>
              </font>
              <fill>
                <patternFill>
                  <bgColor rgb="FFFFC7CE"/>
                </patternFill>
              </fill>
            </x14:dxf>
          </x14:cfRule>
          <xm:sqref>F170</xm:sqref>
        </x14:conditionalFormatting>
        <x14:conditionalFormatting xmlns:xm="http://schemas.microsoft.com/office/excel/2006/main">
          <x14:cfRule type="notContainsText" priority="263" operator="notContains" id="{875F1B01-BDE0-FB4E-ACFA-043A2FD7BB3E}">
            <xm:f>ISERROR(SEARCH("Value Missing",F320))</xm:f>
            <xm:f>"Value Missing"</xm:f>
            <x14:dxf>
              <font>
                <color theme="1"/>
              </font>
              <fill>
                <patternFill>
                  <bgColor rgb="FFEFFDE3"/>
                </patternFill>
              </fill>
            </x14:dxf>
          </x14:cfRule>
          <x14:cfRule type="containsText" priority="262" operator="containsText" id="{28E521F9-4BBC-064B-BD7C-1DBEC7C58D3D}">
            <xm:f>NOT(ISERROR(SEARCH("Not Required",F320)))</xm:f>
            <xm:f>"Not Required"</xm:f>
            <x14:dxf>
              <font>
                <color theme="0"/>
              </font>
              <fill>
                <patternFill>
                  <bgColor rgb="FF506069"/>
                </patternFill>
              </fill>
            </x14:dxf>
          </x14:cfRule>
          <x14:cfRule type="containsText" priority="261" operator="containsText" id="{72CC92B6-7065-824D-B6B6-B08AC16DCD08}">
            <xm:f>NOT(ISERROR(SEARCH("Value Missing",F320)))</xm:f>
            <xm:f>"Value Missing"</xm:f>
            <x14:dxf>
              <font>
                <color theme="1"/>
              </font>
              <fill>
                <patternFill>
                  <bgColor rgb="FFFFBD29"/>
                </patternFill>
              </fill>
            </x14:dxf>
          </x14:cfRule>
          <xm:sqref>F320:F330</xm:sqref>
        </x14:conditionalFormatting>
        <x14:conditionalFormatting xmlns:xm="http://schemas.microsoft.com/office/excel/2006/main">
          <x14:cfRule type="containsText" priority="298" operator="containsText" id="{6FEEEEE0-7416-1E4F-A814-0143DEF4CFF3}">
            <xm:f>NOT(ISERROR(SEARCH("Value Missing",F8)))</xm:f>
            <xm:f>"Value Missing"</xm:f>
            <x14:dxf>
              <font>
                <color theme="1"/>
              </font>
              <fill>
                <patternFill>
                  <bgColor rgb="FFFFBD29"/>
                </patternFill>
              </fill>
            </x14:dxf>
          </x14:cfRule>
          <xm:sqref>I53:I54 I110:I120 I255:I262 F255:F263 F166:F174 AA8:AA14 F8:F19 I8:I19 L8:L19 O8:O19 R8:R19 U8:U19 X8:X19 AD8:AD19 AA16:AA19 F23:F34 I23:I34 L23:L34 O23:O34 R23:R34 U23:U34 X23:X34 AA23:AA34 AD23:AD34 F69:F80 I69:I80 L69:L80 O69:O80 R69:R80 U69:U80 X69:X80 AA69:AA80 AD69:AD80 F85:F96 I85:I96 L85:L96 O85:O96 R85:R96 U85:U96 X85:X96 AA85:AA96 AD85:AD96 F100:F106 I100:I106 L100:L106 O100:O106 R100:R106 U100:U106 X100:X106 AA100:AA106 AD100:AD106 L110:L115 O110:O115 R110:R115 U110:U115 X110:X115 AA110:AA115 AD110:AD115 F110:F119 F124:F133 F139:F144 F149:F162 I149:I162 L149:L162 O149:O162 R149:R162 U149:U162 X149:X162 AA149:AA162 AD149:AD162 I166:I174 L166:L174 O166:O174 R166:R174 U166:U174 X166:X174 AA166:AA174 AD166:AD174 F178:F179 L178:L179 O178:O179 R178:R179 U178:U179 X178:X179 AA178:AA179 AD178:AD179 L183:L198 O183:O198 R183:R198 U183:U198 X183:X198 AA183:AA198 AD183:AD198 F183:F214 I183:I214 L202:L217 O202:O217 R202:R217 U202:U217 X202:X217 AA202:AA217 AD202:AD217 F218:F233 I218:I233 L221:L236 O221:O236 R221:R236 U221:U236 X221:X236 AA221:AA236 AD221:AD236 F237:F252 I237:I252 L239:L245 O239:O245 R239:R245 U239:U245 X239:X245 AA239:AA245 AD239:AD245 F278:F288 I278:I289 F292:F302 I293:I304 F306:F316 I308:I319 F334:F344 I338:I349 F348:F358 I353:I364 F362:F368 I368:I374 F372:F381 I378:I387 F385:F394 I391:I402 F398:F401 F405:F411 I406:I409 I413:I419 F415:F446 I423:I454 F450:F465 I458:I473 F469:F484 I477:I492</xm:sqref>
        </x14:conditionalFormatting>
        <x14:conditionalFormatting xmlns:xm="http://schemas.microsoft.com/office/excel/2006/main">
          <x14:cfRule type="notContainsText" priority="62" operator="notContains" id="{F95AF1BF-1E3B-DB42-8F14-E4A053285F43}">
            <xm:f>ISERROR(SEARCH("Value Missing",I140))</xm:f>
            <xm:f>"Value Missing"</xm:f>
            <x14:dxf>
              <font>
                <color rgb="FF006100"/>
              </font>
              <fill>
                <patternFill>
                  <bgColor rgb="FFC6EFCE"/>
                </patternFill>
              </fill>
            </x14:dxf>
          </x14:cfRule>
          <x14:cfRule type="containsText" priority="63" operator="containsText" id="{384E719D-3162-724D-998F-C2AFEB798E9B}">
            <xm:f>NOT(ISERROR(SEARCH("Value Missing",I140)))</xm:f>
            <xm:f>"Value Missing"</xm:f>
            <x14:dxf>
              <font>
                <color rgb="FF9C0006"/>
              </font>
              <fill>
                <patternFill>
                  <bgColor rgb="FFFFC7CE"/>
                </patternFill>
              </fill>
            </x14:dxf>
          </x14:cfRule>
          <x14:cfRule type="notContainsText" priority="64" operator="notContains" id="{7A9F70AB-ECF5-234E-8681-CE2C9CE3407E}">
            <xm:f>ISERROR(SEARCH("Value Missing",I140))</xm:f>
            <xm:f>"Value Missing"</xm:f>
            <x14:dxf>
              <font>
                <color rgb="FF006100"/>
              </font>
              <fill>
                <patternFill>
                  <bgColor rgb="FFC6EFCE"/>
                </patternFill>
              </fill>
            </x14:dxf>
          </x14:cfRule>
          <x14:cfRule type="containsText" priority="65" operator="containsText" id="{987F56E2-7209-B149-9C87-C9C45C9B4568}">
            <xm:f>NOT(ISERROR(SEARCH("Value Missing",I140)))</xm:f>
            <xm:f>"Value Missing"</xm:f>
            <x14:dxf>
              <font>
                <color rgb="FF9C0006"/>
              </font>
              <fill>
                <patternFill>
                  <bgColor rgb="FFFFC7CE"/>
                </patternFill>
              </fill>
            </x14:dxf>
          </x14:cfRule>
          <x14:cfRule type="notContainsText" priority="67" operator="notContains" id="{21325923-C720-2E46-B08D-2D3513622B6F}">
            <xm:f>ISERROR(SEARCH("Value Missing",I140))</xm:f>
            <xm:f>"Value Missing"</xm:f>
            <x14:dxf>
              <font>
                <color rgb="FF006100"/>
              </font>
              <fill>
                <patternFill>
                  <bgColor rgb="FFC6EFCE"/>
                </patternFill>
              </fill>
            </x14:dxf>
          </x14:cfRule>
          <x14:cfRule type="containsText" priority="68" operator="containsText" id="{AF373FEF-4402-CE4E-A610-DC924B237CAD}">
            <xm:f>NOT(ISERROR(SEARCH("Value Missing",I140)))</xm:f>
            <xm:f>"Value Missing"</xm:f>
            <x14:dxf>
              <font>
                <color rgb="FF9C0006"/>
              </font>
              <fill>
                <patternFill>
                  <bgColor rgb="FFFFC7CE"/>
                </patternFill>
              </fill>
            </x14:dxf>
          </x14:cfRule>
          <x14:cfRule type="containsText" priority="58" stopIfTrue="1" operator="containsText" id="{9759BC04-AE11-A04C-9051-0EE5A6AFA6F6}">
            <xm:f>NOT(ISERROR(SEARCH("Value Missing",I140)))</xm:f>
            <xm:f>"Value Missing"</xm:f>
            <x14:dxf>
              <font>
                <color rgb="FF0E223A"/>
              </font>
              <fill>
                <patternFill>
                  <bgColor rgb="FFFFBE29"/>
                </patternFill>
              </fill>
            </x14:dxf>
          </x14:cfRule>
          <xm:sqref>I140</xm:sqref>
        </x14:conditionalFormatting>
        <x14:conditionalFormatting xmlns:xm="http://schemas.microsoft.com/office/excel/2006/main">
          <x14:cfRule type="containsText" priority="81" operator="containsText" id="{5F832D67-6A2D-A34C-846A-8F4C462BB1CB}">
            <xm:f>NOT(ISERROR(SEARCH("Value Missing",F266)))</xm:f>
            <xm:f>"Value Missing"</xm:f>
            <x14:dxf>
              <font>
                <color theme="1"/>
              </font>
              <fill>
                <patternFill>
                  <bgColor rgb="FFFFBD29"/>
                </patternFill>
              </fill>
            </x14:dxf>
          </x14:cfRule>
          <x14:cfRule type="containsText" priority="82" operator="containsText" id="{8AB44DFE-2B82-3A4F-8965-5EFA08AAFB75}">
            <xm:f>NOT(ISERROR(SEARCH("Not Required",F266)))</xm:f>
            <xm:f>"Not Required"</xm:f>
            <x14:dxf>
              <font>
                <color theme="0"/>
              </font>
              <fill>
                <patternFill>
                  <bgColor rgb="FF506069"/>
                </patternFill>
              </fill>
            </x14:dxf>
          </x14:cfRule>
          <x14:cfRule type="notContainsText" priority="83" operator="notContains" id="{B6806F62-6D54-2F48-9524-C1F1483CA2C6}">
            <xm:f>ISERROR(SEARCH("Value Missing",F266))</xm:f>
            <xm:f>"Value Missing"</xm:f>
            <x14:dxf>
              <font>
                <color theme="1"/>
              </font>
              <fill>
                <patternFill>
                  <bgColor rgb="FFEFFDE3"/>
                </patternFill>
              </fill>
            </x14:dxf>
          </x14:cfRule>
          <xm:sqref>I266:I273 F266:F274</xm:sqref>
        </x14:conditionalFormatting>
        <x14:conditionalFormatting xmlns:xm="http://schemas.microsoft.com/office/excel/2006/main">
          <x14:cfRule type="containsText" priority="223" operator="containsText" id="{69F56B06-F737-F745-92B3-A1BA6CF53FC1}">
            <xm:f>NOT(ISERROR(SEARCH("Not Required",L53)))</xm:f>
            <xm:f>"Not Required"</xm:f>
            <x14:dxf>
              <font>
                <color theme="0"/>
              </font>
              <fill>
                <patternFill>
                  <bgColor rgb="FF506069"/>
                </patternFill>
              </fill>
            </x14:dxf>
          </x14:cfRule>
          <x14:cfRule type="containsText" priority="222" operator="containsText" id="{6224CAFD-AB38-1F46-A927-8B474B6B96C8}">
            <xm:f>NOT(ISERROR(SEARCH("Value Missing",L53)))</xm:f>
            <xm:f>"Value Missing"</xm:f>
            <x14:dxf>
              <font>
                <color theme="1"/>
              </font>
              <fill>
                <patternFill>
                  <bgColor rgb="FFFFBD29"/>
                </patternFill>
              </fill>
            </x14:dxf>
          </x14:cfRule>
          <x14:cfRule type="notContainsText" priority="224" operator="notContains" id="{7870F5D3-3AB6-3A4E-B049-A189076E98D1}">
            <xm:f>ISERROR(SEARCH("Value Missing",L53))</xm:f>
            <xm:f>"Value Missing"</xm:f>
            <x14:dxf>
              <font>
                <color theme="1"/>
              </font>
              <fill>
                <patternFill>
                  <bgColor rgb="FFEFFDE3"/>
                </patternFill>
              </fill>
            </x14:dxf>
          </x14:cfRule>
          <xm:sqref>L53:L56</xm:sqref>
        </x14:conditionalFormatting>
        <x14:conditionalFormatting xmlns:xm="http://schemas.microsoft.com/office/excel/2006/main">
          <x14:cfRule type="containsText" priority="283" operator="containsText" id="{2B265EB1-2EB1-2848-B9E1-F4B52A8E22E2}">
            <xm:f>NOT(ISERROR(SEARCH("Value Missing",F38)))</xm:f>
            <xm:f>"Value Missing"</xm:f>
            <x14:dxf>
              <font>
                <color theme="1"/>
              </font>
              <fill>
                <patternFill>
                  <bgColor rgb="FFFFBD29"/>
                </patternFill>
              </fill>
            </x14:dxf>
          </x14:cfRule>
          <xm:sqref>L53:L64 O53:O64 R53:R64 U53:U64 X53:X64 AA53:AA64 AD53:AD64 F38:F49 I38:I49 L39:L47 O39:O47 R39:R47 F53:F64 I53:I64 I120 I124:I135 I139 I141:I144 I323:I334</xm:sqref>
        </x14:conditionalFormatting>
        <x14:conditionalFormatting xmlns:xm="http://schemas.microsoft.com/office/excel/2006/main">
          <x14:cfRule type="containsText" priority="181" operator="containsText" id="{B4FF0D6C-6C46-394E-BD50-67E1D251040A}">
            <xm:f>NOT(ISERROR(SEARCH("Not Required",O53)))</xm:f>
            <xm:f>"Not Required"</xm:f>
            <x14:dxf>
              <font>
                <color theme="0"/>
              </font>
              <fill>
                <patternFill>
                  <bgColor rgb="FF506069"/>
                </patternFill>
              </fill>
            </x14:dxf>
          </x14:cfRule>
          <x14:cfRule type="notContainsText" priority="182" operator="notContains" id="{E4DF8E44-677B-5044-90B7-70A29E7D9546}">
            <xm:f>ISERROR(SEARCH("Value Missing",O53))</xm:f>
            <xm:f>"Value Missing"</xm:f>
            <x14:dxf>
              <font>
                <color theme="1"/>
              </font>
              <fill>
                <patternFill>
                  <bgColor rgb="FFEFFDE3"/>
                </patternFill>
              </fill>
            </x14:dxf>
          </x14:cfRule>
          <x14:cfRule type="containsText" priority="180" operator="containsText" id="{3484D9B2-8390-8D49-84C4-1BB762F411BD}">
            <xm:f>NOT(ISERROR(SEARCH("Value Missing",O53)))</xm:f>
            <xm:f>"Value Missing"</xm:f>
            <x14:dxf>
              <font>
                <color theme="1"/>
              </font>
              <fill>
                <patternFill>
                  <bgColor rgb="FFFFBD29"/>
                </patternFill>
              </fill>
            </x14:dxf>
          </x14:cfRule>
          <xm:sqref>O53:O56</xm:sqref>
        </x14:conditionalFormatting>
        <x14:conditionalFormatting xmlns:xm="http://schemas.microsoft.com/office/excel/2006/main">
          <x14:cfRule type="notContainsText" priority="146" operator="notContains" id="{F314583A-4DC4-6B46-B96E-2AAA05DE3F83}">
            <xm:f>ISERROR(SEARCH("Value Missing",O56))</xm:f>
            <xm:f>"Value Missing"</xm:f>
            <x14:dxf>
              <font>
                <color theme="1"/>
              </font>
              <fill>
                <patternFill>
                  <bgColor rgb="FFEFFDE3"/>
                </patternFill>
              </fill>
            </x14:dxf>
          </x14:cfRule>
          <x14:cfRule type="containsText" priority="145" operator="containsText" id="{47D8B146-5634-DD49-8B63-DF06CDE5E18A}">
            <xm:f>NOT(ISERROR(SEARCH("Not Required",O56)))</xm:f>
            <xm:f>"Not Required"</xm:f>
            <x14:dxf>
              <font>
                <color theme="0"/>
              </font>
              <fill>
                <patternFill>
                  <bgColor rgb="FF506069"/>
                </patternFill>
              </fill>
            </x14:dxf>
          </x14:cfRule>
          <x14:cfRule type="containsText" priority="144" operator="containsText" id="{BE046617-BB68-A248-B205-0BA04B74BC03}">
            <xm:f>NOT(ISERROR(SEARCH("Value Missing",O56)))</xm:f>
            <xm:f>"Value Missing"</xm:f>
            <x14:dxf>
              <font>
                <color theme="1"/>
              </font>
              <fill>
                <patternFill>
                  <bgColor rgb="FFFFBD29"/>
                </patternFill>
              </fill>
            </x14:dxf>
          </x14:cfRule>
          <xm:sqref>O56</xm:sqref>
        </x14:conditionalFormatting>
        <x14:conditionalFormatting xmlns:xm="http://schemas.microsoft.com/office/excel/2006/main">
          <x14:cfRule type="containsText" priority="175" operator="containsText" id="{73C225FC-2EA3-ED4E-8798-D772148AC61F}">
            <xm:f>NOT(ISERROR(SEARCH("Not Required",R53)))</xm:f>
            <xm:f>"Not Required"</xm:f>
            <x14:dxf>
              <font>
                <color theme="0"/>
              </font>
              <fill>
                <patternFill>
                  <bgColor rgb="FF506069"/>
                </patternFill>
              </fill>
            </x14:dxf>
          </x14:cfRule>
          <x14:cfRule type="containsText" priority="174" operator="containsText" id="{4DB5BF19-7549-2D4D-9F00-53662934B3EA}">
            <xm:f>NOT(ISERROR(SEARCH("Value Missing",R53)))</xm:f>
            <xm:f>"Value Missing"</xm:f>
            <x14:dxf>
              <font>
                <color theme="1"/>
              </font>
              <fill>
                <patternFill>
                  <bgColor rgb="FFFFBD29"/>
                </patternFill>
              </fill>
            </x14:dxf>
          </x14:cfRule>
          <x14:cfRule type="notContainsText" priority="176" operator="notContains" id="{98CD919A-1892-B144-9FD2-E20F738B8462}">
            <xm:f>ISERROR(SEARCH("Value Missing",R53))</xm:f>
            <xm:f>"Value Missing"</xm:f>
            <x14:dxf>
              <font>
                <color theme="1"/>
              </font>
              <fill>
                <patternFill>
                  <bgColor rgb="FFEFFDE3"/>
                </patternFill>
              </fill>
            </x14:dxf>
          </x14:cfRule>
          <xm:sqref>R53:R56</xm:sqref>
        </x14:conditionalFormatting>
        <x14:conditionalFormatting xmlns:xm="http://schemas.microsoft.com/office/excel/2006/main">
          <x14:cfRule type="containsText" priority="142" operator="containsText" id="{675D5EFB-839D-C44D-9960-0B8483B9E49C}">
            <xm:f>NOT(ISERROR(SEARCH("Not Required",R56)))</xm:f>
            <xm:f>"Not Required"</xm:f>
            <x14:dxf>
              <font>
                <color theme="0"/>
              </font>
              <fill>
                <patternFill>
                  <bgColor rgb="FF506069"/>
                </patternFill>
              </fill>
            </x14:dxf>
          </x14:cfRule>
          <x14:cfRule type="notContainsText" priority="143" operator="notContains" id="{6B12F593-4614-044E-B315-C3C241E7ED5A}">
            <xm:f>ISERROR(SEARCH("Value Missing",R56))</xm:f>
            <xm:f>"Value Missing"</xm:f>
            <x14:dxf>
              <font>
                <color theme="1"/>
              </font>
              <fill>
                <patternFill>
                  <bgColor rgb="FFEFFDE3"/>
                </patternFill>
              </fill>
            </x14:dxf>
          </x14:cfRule>
          <x14:cfRule type="containsText" priority="141" operator="containsText" id="{CF58F867-FF0B-1D42-8BDB-FEA6BC35ED7F}">
            <xm:f>NOT(ISERROR(SEARCH("Value Missing",R56)))</xm:f>
            <xm:f>"Value Missing"</xm:f>
            <x14:dxf>
              <font>
                <color theme="1"/>
              </font>
              <fill>
                <patternFill>
                  <bgColor rgb="FFFFBD29"/>
                </patternFill>
              </fill>
            </x14:dxf>
          </x14:cfRule>
          <xm:sqref>R56</xm:sqref>
        </x14:conditionalFormatting>
        <x14:conditionalFormatting xmlns:xm="http://schemas.microsoft.com/office/excel/2006/main">
          <x14:cfRule type="notContainsText" priority="12" operator="notContains" id="{D11A1D73-B207-C841-A84D-918A99DCD697}">
            <xm:f>ISERROR(SEARCH("Value Missing",U39))</xm:f>
            <xm:f>"Value Missing"</xm:f>
            <x14:dxf>
              <font>
                <color theme="1"/>
              </font>
              <fill>
                <patternFill>
                  <bgColor rgb="FFEFFDE3"/>
                </patternFill>
              </fill>
            </x14:dxf>
          </x14:cfRule>
          <x14:cfRule type="containsText" priority="11" operator="containsText" id="{20F2DFD4-A7DF-D947-9DC9-9516120AE4E3}">
            <xm:f>NOT(ISERROR(SEARCH("Not Required",U39)))</xm:f>
            <xm:f>"Not Required"</xm:f>
            <x14:dxf>
              <font>
                <color theme="0"/>
              </font>
              <fill>
                <patternFill>
                  <bgColor rgb="FF506069"/>
                </patternFill>
              </fill>
            </x14:dxf>
          </x14:cfRule>
          <x14:cfRule type="containsText" priority="10" operator="containsText" id="{B79EBB3B-EC11-884C-B779-815769F0BA83}">
            <xm:f>NOT(ISERROR(SEARCH("Value Missing",U39)))</xm:f>
            <xm:f>"Value Missing"</xm:f>
            <x14:dxf>
              <font>
                <color theme="1"/>
              </font>
              <fill>
                <patternFill>
                  <bgColor rgb="FFFFBD29"/>
                </patternFill>
              </fill>
            </x14:dxf>
          </x14:cfRule>
          <xm:sqref>U39:U47</xm:sqref>
        </x14:conditionalFormatting>
        <x14:conditionalFormatting xmlns:xm="http://schemas.microsoft.com/office/excel/2006/main">
          <x14:cfRule type="notContainsText" priority="170" operator="notContains" id="{2563BE9A-6184-354D-B78B-4DF4EB2B9741}">
            <xm:f>ISERROR(SEARCH("Value Missing",U53))</xm:f>
            <xm:f>"Value Missing"</xm:f>
            <x14:dxf>
              <font>
                <color theme="1"/>
              </font>
              <fill>
                <patternFill>
                  <bgColor rgb="FFEFFDE3"/>
                </patternFill>
              </fill>
            </x14:dxf>
          </x14:cfRule>
          <x14:cfRule type="containsText" priority="168" operator="containsText" id="{9017B3EB-7DBE-9745-80C7-2EA0322DBD9D}">
            <xm:f>NOT(ISERROR(SEARCH("Value Missing",U53)))</xm:f>
            <xm:f>"Value Missing"</xm:f>
            <x14:dxf>
              <font>
                <color theme="1"/>
              </font>
              <fill>
                <patternFill>
                  <bgColor rgb="FFFFBD29"/>
                </patternFill>
              </fill>
            </x14:dxf>
          </x14:cfRule>
          <x14:cfRule type="containsText" priority="169" operator="containsText" id="{806AF8E0-6D97-EC41-968B-57478A38AD6C}">
            <xm:f>NOT(ISERROR(SEARCH("Not Required",U53)))</xm:f>
            <xm:f>"Not Required"</xm:f>
            <x14:dxf>
              <font>
                <color theme="0"/>
              </font>
              <fill>
                <patternFill>
                  <bgColor rgb="FF506069"/>
                </patternFill>
              </fill>
            </x14:dxf>
          </x14:cfRule>
          <xm:sqref>U53:U56</xm:sqref>
        </x14:conditionalFormatting>
        <x14:conditionalFormatting xmlns:xm="http://schemas.microsoft.com/office/excel/2006/main">
          <x14:cfRule type="containsText" priority="139" operator="containsText" id="{0A17DF85-0295-4845-B39F-3EB7492CEB3A}">
            <xm:f>NOT(ISERROR(SEARCH("Not Required",U56)))</xm:f>
            <xm:f>"Not Required"</xm:f>
            <x14:dxf>
              <font>
                <color theme="0"/>
              </font>
              <fill>
                <patternFill>
                  <bgColor rgb="FF506069"/>
                </patternFill>
              </fill>
            </x14:dxf>
          </x14:cfRule>
          <x14:cfRule type="notContainsText" priority="140" operator="notContains" id="{7A999857-3F31-DC42-986B-784B462399DB}">
            <xm:f>ISERROR(SEARCH("Value Missing",U56))</xm:f>
            <xm:f>"Value Missing"</xm:f>
            <x14:dxf>
              <font>
                <color theme="1"/>
              </font>
              <fill>
                <patternFill>
                  <bgColor rgb="FFEFFDE3"/>
                </patternFill>
              </fill>
            </x14:dxf>
          </x14:cfRule>
          <x14:cfRule type="containsText" priority="138" operator="containsText" id="{C1B279C3-DA18-8442-B1B8-B06229D29315}">
            <xm:f>NOT(ISERROR(SEARCH("Value Missing",U56)))</xm:f>
            <xm:f>"Value Missing"</xm:f>
            <x14:dxf>
              <font>
                <color theme="1"/>
              </font>
              <fill>
                <patternFill>
                  <bgColor rgb="FFFFBD29"/>
                </patternFill>
              </fill>
            </x14:dxf>
          </x14:cfRule>
          <xm:sqref>U56</xm:sqref>
        </x14:conditionalFormatting>
        <x14:conditionalFormatting xmlns:xm="http://schemas.microsoft.com/office/excel/2006/main">
          <x14:cfRule type="notContainsText" priority="9" operator="notContains" id="{9A552E01-4760-3448-8FD6-6F3234371C4D}">
            <xm:f>ISERROR(SEARCH("Value Missing",X39))</xm:f>
            <xm:f>"Value Missing"</xm:f>
            <x14:dxf>
              <font>
                <color theme="1"/>
              </font>
              <fill>
                <patternFill>
                  <bgColor rgb="FFEFFDE3"/>
                </patternFill>
              </fill>
            </x14:dxf>
          </x14:cfRule>
          <x14:cfRule type="containsText" priority="8" operator="containsText" id="{67C5E1C7-827A-2247-9770-41F1AEFE3765}">
            <xm:f>NOT(ISERROR(SEARCH("Not Required",X39)))</xm:f>
            <xm:f>"Not Required"</xm:f>
            <x14:dxf>
              <font>
                <color theme="0"/>
              </font>
              <fill>
                <patternFill>
                  <bgColor rgb="FF506069"/>
                </patternFill>
              </fill>
            </x14:dxf>
          </x14:cfRule>
          <x14:cfRule type="containsText" priority="7" operator="containsText" id="{7CCE0CF7-BAB2-0344-98D6-21BF6CFCEEEF}">
            <xm:f>NOT(ISERROR(SEARCH("Value Missing",X39)))</xm:f>
            <xm:f>"Value Missing"</xm:f>
            <x14:dxf>
              <font>
                <color theme="1"/>
              </font>
              <fill>
                <patternFill>
                  <bgColor rgb="FFFFBD29"/>
                </patternFill>
              </fill>
            </x14:dxf>
          </x14:cfRule>
          <xm:sqref>X39:X47</xm:sqref>
        </x14:conditionalFormatting>
        <x14:conditionalFormatting xmlns:xm="http://schemas.microsoft.com/office/excel/2006/main">
          <x14:cfRule type="notContainsText" priority="164" operator="notContains" id="{AA6925D0-91F1-8449-983B-B5EE70C7F44D}">
            <xm:f>ISERROR(SEARCH("Value Missing",X53))</xm:f>
            <xm:f>"Value Missing"</xm:f>
            <x14:dxf>
              <font>
                <color theme="1"/>
              </font>
              <fill>
                <patternFill>
                  <bgColor rgb="FFEFFDE3"/>
                </patternFill>
              </fill>
            </x14:dxf>
          </x14:cfRule>
          <x14:cfRule type="containsText" priority="163" operator="containsText" id="{A847CD3B-37FA-4146-AAE3-6DA7692BE6D6}">
            <xm:f>NOT(ISERROR(SEARCH("Not Required",X53)))</xm:f>
            <xm:f>"Not Required"</xm:f>
            <x14:dxf>
              <font>
                <color theme="0"/>
              </font>
              <fill>
                <patternFill>
                  <bgColor rgb="FF506069"/>
                </patternFill>
              </fill>
            </x14:dxf>
          </x14:cfRule>
          <x14:cfRule type="containsText" priority="162" operator="containsText" id="{A798AA75-439F-4A46-AB83-7E4358A88D66}">
            <xm:f>NOT(ISERROR(SEARCH("Value Missing",X53)))</xm:f>
            <xm:f>"Value Missing"</xm:f>
            <x14:dxf>
              <font>
                <color theme="1"/>
              </font>
              <fill>
                <patternFill>
                  <bgColor rgb="FFFFBD29"/>
                </patternFill>
              </fill>
            </x14:dxf>
          </x14:cfRule>
          <xm:sqref>X53:X56</xm:sqref>
        </x14:conditionalFormatting>
        <x14:conditionalFormatting xmlns:xm="http://schemas.microsoft.com/office/excel/2006/main">
          <x14:cfRule type="containsText" priority="136" operator="containsText" id="{6542A7B2-8630-7B40-8349-79CED9462BD1}">
            <xm:f>NOT(ISERROR(SEARCH("Not Required",X56)))</xm:f>
            <xm:f>"Not Required"</xm:f>
            <x14:dxf>
              <font>
                <color theme="0"/>
              </font>
              <fill>
                <patternFill>
                  <bgColor rgb="FF506069"/>
                </patternFill>
              </fill>
            </x14:dxf>
          </x14:cfRule>
          <x14:cfRule type="containsText" priority="135" operator="containsText" id="{D3FD3035-29E9-C741-95F9-7E63301A762E}">
            <xm:f>NOT(ISERROR(SEARCH("Value Missing",X56)))</xm:f>
            <xm:f>"Value Missing"</xm:f>
            <x14:dxf>
              <font>
                <color theme="1"/>
              </font>
              <fill>
                <patternFill>
                  <bgColor rgb="FFFFBD29"/>
                </patternFill>
              </fill>
            </x14:dxf>
          </x14:cfRule>
          <x14:cfRule type="notContainsText" priority="137" operator="notContains" id="{ED8BDAB0-934B-E348-A096-D1CFEC970647}">
            <xm:f>ISERROR(SEARCH("Value Missing",X56))</xm:f>
            <xm:f>"Value Missing"</xm:f>
            <x14:dxf>
              <font>
                <color theme="1"/>
              </font>
              <fill>
                <patternFill>
                  <bgColor rgb="FFEFFDE3"/>
                </patternFill>
              </fill>
            </x14:dxf>
          </x14:cfRule>
          <xm:sqref>X56</xm:sqref>
        </x14:conditionalFormatting>
        <x14:conditionalFormatting xmlns:xm="http://schemas.microsoft.com/office/excel/2006/main">
          <x14:cfRule type="notContainsText" priority="301" operator="notContains" id="{06767BDF-1E13-B344-B0F5-AC2964A2B7BB}">
            <xm:f>ISERROR(SEARCH("Value Missing",F8))</xm:f>
            <xm:f>"Value Missing"</xm:f>
            <x14:dxf>
              <font>
                <color theme="1"/>
              </font>
              <fill>
                <patternFill>
                  <bgColor rgb="FFEFFDE3"/>
                </patternFill>
              </fill>
            </x14:dxf>
          </x14:cfRule>
          <x14:cfRule type="containsText" priority="299" operator="containsText" id="{8BE8EA82-7A72-C646-8E99-CF9839909AD6}">
            <xm:f>NOT(ISERROR(SEARCH("Not Required",F8)))</xm:f>
            <xm:f>"Not Required"</xm:f>
            <x14:dxf>
              <font>
                <color theme="0"/>
              </font>
              <fill>
                <patternFill>
                  <bgColor rgb="FF506069"/>
                </patternFill>
              </fill>
            </x14:dxf>
          </x14:cfRule>
          <xm:sqref>AA8:AA14 F8:F19 I8:I19 L8:L19 O8:O19 R8:R19 U8:U19 X8:X19 AD8:AD19 AA16:AA19 F23:F34 I23:I34 L23:L34 O23:O34 R23:R34 U23:U34 X23:X34 AA23:AA34 AD23:AD34 I53:I54 F69:F80 I69:I80 L69:L80 O69:O80 R69:R80 U69:U80 X69:X80 AA69:AA80 AD69:AD80 F85:F96 I85:I96 L85:L96 O85:O96 R85:R96 U85:U96 X85:X96 AA85:AA96 AD85:AD96 F100:F106 I100:I106 L100:L106 O100:O106 R100:R106 U100:U106 X100:X106 AA100:AA106 AD100:AD106 L110:L115 O110:O115 R110:R115 U110:U115 X110:X115 AA110:AA115 AD110:AD115 F110:F119 I110:I120 F124:F133 F139:F144 F149:F162 I149:I162 L149:L162 O149:O162 R149:R162 U149:U162 X149:X162 AA149:AA162 AD149:AD162 F166:F174 I166:I174 L166:L174 O166:O174 R166:R174 U166:U174 X166:X174 AA166:AA174 AD166:AD174 F178:F179 L178:L179 O178:O179 R178:R179 U178:U179 X178:X179 AA178:AA179 AD178:AD179 L183:L198 O183:O198 R183:R198 U183:U198 X183:X198 AA183:AA198 AD183:AD198 F183:F214 I183:I214 L202:L217 O202:O217 R202:R217 U202:U217 X202:X217 AA202:AA217 AD202:AD217 F218:F233 I218:I233 L221:L236 O221:O236 R221:R236 U221:U236 X221:X236 AA221:AA236 AD221:AD236 F237:F252 I237:I252 L239:L245 O239:O245 R239:R245 U239:U245 X239:X245 AA239:AA245 AD239:AD245 F278:F288 I278:I289 F292:F302 I293:I304 F306:F316 I308:I319 F334:F344 I338:I349 F348:F358 I353:I364 F362:F368 I368:I374 F372:F381 I378:I387 F385:F394 I391:I402 F398:F401 F405:F411 I406:I409 I413:I419 F415:F446 I423:I454 F450:F465 I458:I473 F469:F484 I477:I492</xm:sqref>
        </x14:conditionalFormatting>
        <x14:conditionalFormatting xmlns:xm="http://schemas.microsoft.com/office/excel/2006/main">
          <x14:cfRule type="containsText" priority="4" operator="containsText" id="{C3226025-96A7-174E-B18F-7DE4FD2C4806}">
            <xm:f>NOT(ISERROR(SEARCH("Value Missing",AA39)))</xm:f>
            <xm:f>"Value Missing"</xm:f>
            <x14:dxf>
              <font>
                <color theme="1"/>
              </font>
              <fill>
                <patternFill>
                  <bgColor rgb="FFFFBD29"/>
                </patternFill>
              </fill>
            </x14:dxf>
          </x14:cfRule>
          <x14:cfRule type="containsText" priority="5" operator="containsText" id="{2F7B9298-6F2D-CF46-B59A-DE3D41A821A2}">
            <xm:f>NOT(ISERROR(SEARCH("Not Required",AA39)))</xm:f>
            <xm:f>"Not Required"</xm:f>
            <x14:dxf>
              <font>
                <color theme="0"/>
              </font>
              <fill>
                <patternFill>
                  <bgColor rgb="FF506069"/>
                </patternFill>
              </fill>
            </x14:dxf>
          </x14:cfRule>
          <x14:cfRule type="notContainsText" priority="6" operator="notContains" id="{A3EC2F0D-66A9-364C-97A9-ABB9D8CE96B4}">
            <xm:f>ISERROR(SEARCH("Value Missing",AA39))</xm:f>
            <xm:f>"Value Missing"</xm:f>
            <x14:dxf>
              <font>
                <color theme="1"/>
              </font>
              <fill>
                <patternFill>
                  <bgColor rgb="FFEFFDE3"/>
                </patternFill>
              </fill>
            </x14:dxf>
          </x14:cfRule>
          <xm:sqref>AA39:AA47</xm:sqref>
        </x14:conditionalFormatting>
        <x14:conditionalFormatting xmlns:xm="http://schemas.microsoft.com/office/excel/2006/main">
          <x14:cfRule type="containsText" priority="156" operator="containsText" id="{B46CA4F9-3C6E-9142-9DCB-973E2E3893CE}">
            <xm:f>NOT(ISERROR(SEARCH("Value Missing",AA53)))</xm:f>
            <xm:f>"Value Missing"</xm:f>
            <x14:dxf>
              <font>
                <color theme="1"/>
              </font>
              <fill>
                <patternFill>
                  <bgColor rgb="FFFFBD29"/>
                </patternFill>
              </fill>
            </x14:dxf>
          </x14:cfRule>
          <x14:cfRule type="containsText" priority="157" operator="containsText" id="{3073A76A-73E6-2645-98F0-C7A0F9003A9B}">
            <xm:f>NOT(ISERROR(SEARCH("Not Required",AA53)))</xm:f>
            <xm:f>"Not Required"</xm:f>
            <x14:dxf>
              <font>
                <color theme="0"/>
              </font>
              <fill>
                <patternFill>
                  <bgColor rgb="FF506069"/>
                </patternFill>
              </fill>
            </x14:dxf>
          </x14:cfRule>
          <x14:cfRule type="notContainsText" priority="158" operator="notContains" id="{A9F6D0D6-42C0-8C44-B9E0-4DE4789AED56}">
            <xm:f>ISERROR(SEARCH("Value Missing",AA53))</xm:f>
            <xm:f>"Value Missing"</xm:f>
            <x14:dxf>
              <font>
                <color theme="1"/>
              </font>
              <fill>
                <patternFill>
                  <bgColor rgb="FFEFFDE3"/>
                </patternFill>
              </fill>
            </x14:dxf>
          </x14:cfRule>
          <xm:sqref>AA53:AA56</xm:sqref>
        </x14:conditionalFormatting>
        <x14:conditionalFormatting xmlns:xm="http://schemas.microsoft.com/office/excel/2006/main">
          <x14:cfRule type="notContainsText" priority="134" operator="notContains" id="{7EF64B70-5424-4E41-B8D8-C26C3A9F41BE}">
            <xm:f>ISERROR(SEARCH("Value Missing",AA56))</xm:f>
            <xm:f>"Value Missing"</xm:f>
            <x14:dxf>
              <font>
                <color theme="1"/>
              </font>
              <fill>
                <patternFill>
                  <bgColor rgb="FFEFFDE3"/>
                </patternFill>
              </fill>
            </x14:dxf>
          </x14:cfRule>
          <x14:cfRule type="containsText" priority="132" operator="containsText" id="{B01DAB95-54B5-2A48-9E42-698AE8EAB2B5}">
            <xm:f>NOT(ISERROR(SEARCH("Value Missing",AA56)))</xm:f>
            <xm:f>"Value Missing"</xm:f>
            <x14:dxf>
              <font>
                <color theme="1"/>
              </font>
              <fill>
                <patternFill>
                  <bgColor rgb="FFFFBD29"/>
                </patternFill>
              </fill>
            </x14:dxf>
          </x14:cfRule>
          <x14:cfRule type="containsText" priority="133" operator="containsText" id="{75F873D6-B9D9-3341-8652-F67C103EA278}">
            <xm:f>NOT(ISERROR(SEARCH("Not Required",AA56)))</xm:f>
            <xm:f>"Not Required"</xm:f>
            <x14:dxf>
              <font>
                <color theme="0"/>
              </font>
              <fill>
                <patternFill>
                  <bgColor rgb="FF506069"/>
                </patternFill>
              </fill>
            </x14:dxf>
          </x14:cfRule>
          <xm:sqref>AA56</xm:sqref>
        </x14:conditionalFormatting>
        <x14:conditionalFormatting xmlns:xm="http://schemas.microsoft.com/office/excel/2006/main">
          <x14:cfRule type="containsText" priority="1" operator="containsText" id="{2AC29FE5-D98A-2143-A3B7-B8F397FE8DD4}">
            <xm:f>NOT(ISERROR(SEARCH("Value Missing",AD39)))</xm:f>
            <xm:f>"Value Missing"</xm:f>
            <x14:dxf>
              <font>
                <color theme="1"/>
              </font>
              <fill>
                <patternFill>
                  <bgColor rgb="FFFFBD29"/>
                </patternFill>
              </fill>
            </x14:dxf>
          </x14:cfRule>
          <x14:cfRule type="containsText" priority="2" operator="containsText" id="{353681F6-113B-A245-BAE3-7878FC3CF345}">
            <xm:f>NOT(ISERROR(SEARCH("Not Required",AD39)))</xm:f>
            <xm:f>"Not Required"</xm:f>
            <x14:dxf>
              <font>
                <color theme="0"/>
              </font>
              <fill>
                <patternFill>
                  <bgColor rgb="FF506069"/>
                </patternFill>
              </fill>
            </x14:dxf>
          </x14:cfRule>
          <x14:cfRule type="notContainsText" priority="3" operator="notContains" id="{D515E712-91F5-FC40-B227-DD5FE835B161}">
            <xm:f>ISERROR(SEARCH("Value Missing",AD39))</xm:f>
            <xm:f>"Value Missing"</xm:f>
            <x14:dxf>
              <font>
                <color theme="1"/>
              </font>
              <fill>
                <patternFill>
                  <bgColor rgb="FFEFFDE3"/>
                </patternFill>
              </fill>
            </x14:dxf>
          </x14:cfRule>
          <xm:sqref>AD39:AD47</xm:sqref>
        </x14:conditionalFormatting>
        <x14:conditionalFormatting xmlns:xm="http://schemas.microsoft.com/office/excel/2006/main">
          <x14:cfRule type="containsText" priority="150" operator="containsText" id="{905D31CE-3E0A-864C-9F1B-D63656711729}">
            <xm:f>NOT(ISERROR(SEARCH("Value Missing",AD53)))</xm:f>
            <xm:f>"Value Missing"</xm:f>
            <x14:dxf>
              <font>
                <color theme="1"/>
              </font>
              <fill>
                <patternFill>
                  <bgColor rgb="FFFFBD29"/>
                </patternFill>
              </fill>
            </x14:dxf>
          </x14:cfRule>
          <x14:cfRule type="containsText" priority="151" operator="containsText" id="{3CAFDB47-63D3-8A49-874F-B7F36B085F1D}">
            <xm:f>NOT(ISERROR(SEARCH("Not Required",AD53)))</xm:f>
            <xm:f>"Not Required"</xm:f>
            <x14:dxf>
              <font>
                <color theme="0"/>
              </font>
              <fill>
                <patternFill>
                  <bgColor rgb="FF506069"/>
                </patternFill>
              </fill>
            </x14:dxf>
          </x14:cfRule>
          <x14:cfRule type="notContainsText" priority="152" operator="notContains" id="{6B88948E-0E39-3548-A8DD-6AF259181EC7}">
            <xm:f>ISERROR(SEARCH("Value Missing",AD53))</xm:f>
            <xm:f>"Value Missing"</xm:f>
            <x14:dxf>
              <font>
                <color theme="1"/>
              </font>
              <fill>
                <patternFill>
                  <bgColor rgb="FFEFFDE3"/>
                </patternFill>
              </fill>
            </x14:dxf>
          </x14:cfRule>
          <xm:sqref>AD53:AD56</xm:sqref>
        </x14:conditionalFormatting>
        <x14:conditionalFormatting xmlns:xm="http://schemas.microsoft.com/office/excel/2006/main">
          <x14:cfRule type="notContainsText" priority="131" operator="notContains" id="{7DFC07FF-0C18-784A-844A-D8E074C7A5AA}">
            <xm:f>ISERROR(SEARCH("Value Missing",AD56))</xm:f>
            <xm:f>"Value Missing"</xm:f>
            <x14:dxf>
              <font>
                <color theme="1"/>
              </font>
              <fill>
                <patternFill>
                  <bgColor rgb="FFEFFDE3"/>
                </patternFill>
              </fill>
            </x14:dxf>
          </x14:cfRule>
          <x14:cfRule type="containsText" priority="130" operator="containsText" id="{157796BB-CFBB-3B4D-A417-32FFDAA88E68}">
            <xm:f>NOT(ISERROR(SEARCH("Not Required",AD56)))</xm:f>
            <xm:f>"Not Required"</xm:f>
            <x14:dxf>
              <font>
                <color theme="0"/>
              </font>
              <fill>
                <patternFill>
                  <bgColor rgb="FF506069"/>
                </patternFill>
              </fill>
            </x14:dxf>
          </x14:cfRule>
          <x14:cfRule type="containsText" priority="129" operator="containsText" id="{CB44C791-709B-FE4B-BC8E-877B39027780}">
            <xm:f>NOT(ISERROR(SEARCH("Value Missing",AD56)))</xm:f>
            <xm:f>"Value Missing"</xm:f>
            <x14:dxf>
              <font>
                <color theme="1"/>
              </font>
              <fill>
                <patternFill>
                  <bgColor rgb="FFFFBD29"/>
                </patternFill>
              </fill>
            </x14:dxf>
          </x14:cfRule>
          <xm:sqref>AD56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80877-68F0-1C4B-B1D2-916A0B669497}">
  <sheetPr codeName="Sheet5"/>
  <dimension ref="A1:AF365"/>
  <sheetViews>
    <sheetView showGridLines="0" topLeftCell="B1" zoomScaleNormal="100" workbookViewId="0">
      <pane ySplit="4" topLeftCell="A5" activePane="bottomLeft" state="frozen"/>
      <selection pane="bottomLeft" activeCell="F54" sqref="F54"/>
    </sheetView>
  </sheetViews>
  <sheetFormatPr defaultColWidth="11" defaultRowHeight="20.05" customHeight="1" x14ac:dyDescent="0.35"/>
  <cols>
    <col min="1" max="1" width="2.85546875" style="8" customWidth="1"/>
    <col min="2" max="2" width="57" style="8" customWidth="1"/>
    <col min="3" max="3" width="44.85546875" style="8" bestFit="1" customWidth="1"/>
    <col min="4" max="4" width="2.85546875" style="8" customWidth="1"/>
    <col min="5" max="5" width="73.640625" style="8" bestFit="1" customWidth="1"/>
    <col min="6" max="6" width="45.35546875" style="8" bestFit="1" customWidth="1"/>
    <col min="7" max="7" width="2.85546875" style="8" customWidth="1"/>
    <col min="8" max="8" width="58.35546875" style="8" bestFit="1" customWidth="1"/>
    <col min="9" max="9" width="41.85546875" style="8" bestFit="1" customWidth="1"/>
    <col min="10" max="10" width="2.85546875" style="8" customWidth="1"/>
    <col min="11" max="11" width="57.140625" style="8" bestFit="1" customWidth="1"/>
    <col min="12" max="12" width="73.85546875" style="8" bestFit="1" customWidth="1"/>
    <col min="13" max="13" width="2.85546875" style="8" customWidth="1"/>
    <col min="14" max="14" width="73.85546875" style="8" bestFit="1" customWidth="1"/>
    <col min="15" max="15" width="50.85546875" style="8" customWidth="1"/>
    <col min="16" max="16" width="2.85546875" style="8" customWidth="1"/>
    <col min="17" max="17" width="71.85546875" style="8" bestFit="1" customWidth="1"/>
    <col min="18" max="18" width="57.640625" style="8" bestFit="1" customWidth="1"/>
    <col min="19" max="19" width="2.85546875" style="8" customWidth="1"/>
    <col min="20" max="20" width="85.35546875" style="8" bestFit="1" customWidth="1"/>
    <col min="21" max="21" width="72.85546875" style="8" bestFit="1" customWidth="1"/>
    <col min="22" max="22" width="2.85546875" style="8" customWidth="1"/>
    <col min="23" max="23" width="69" style="8" bestFit="1" customWidth="1"/>
    <col min="24" max="24" width="59.35546875" style="8" bestFit="1" customWidth="1"/>
    <col min="25" max="25" width="2.85546875" style="8" customWidth="1"/>
    <col min="26" max="26" width="55.85546875" style="8" bestFit="1" customWidth="1"/>
    <col min="27" max="27" width="49.640625" style="8" bestFit="1" customWidth="1"/>
    <col min="28" max="28" width="2.85546875" style="8" customWidth="1"/>
    <col min="29" max="29" width="49.640625" style="8" bestFit="1" customWidth="1"/>
    <col min="30" max="31" width="19.140625" style="8" bestFit="1" customWidth="1"/>
    <col min="32" max="32" width="2.85546875" style="8" customWidth="1"/>
    <col min="33" max="33" width="45.85546875" style="8" bestFit="1" customWidth="1"/>
    <col min="34" max="34" width="49.640625" style="8" bestFit="1" customWidth="1"/>
    <col min="35" max="36" width="20.640625" style="8" bestFit="1" customWidth="1"/>
    <col min="37" max="44" width="11" style="8" customWidth="1"/>
    <col min="45" max="16384" width="11" style="8"/>
  </cols>
  <sheetData>
    <row r="1" spans="1:31" s="2" customFormat="1" ht="16" customHeight="1" x14ac:dyDescent="0.35">
      <c r="A1" s="1"/>
      <c r="B1" s="1"/>
      <c r="C1" s="1"/>
      <c r="D1" s="1"/>
      <c r="E1" s="1"/>
      <c r="F1" s="1"/>
      <c r="G1" s="1"/>
      <c r="H1" s="8"/>
      <c r="I1" s="8"/>
      <c r="J1" s="1"/>
      <c r="K1" s="1"/>
      <c r="L1" s="1"/>
      <c r="M1" s="1"/>
      <c r="N1" s="1"/>
      <c r="O1" s="1"/>
      <c r="P1" s="1"/>
    </row>
    <row r="2" spans="1:31" s="2" customFormat="1" ht="54" customHeight="1" x14ac:dyDescent="0.35">
      <c r="H2" s="8"/>
      <c r="I2" s="8"/>
      <c r="Q2" s="595"/>
      <c r="R2" s="596"/>
      <c r="S2" s="388"/>
      <c r="T2" s="388"/>
      <c r="U2" s="388"/>
      <c r="V2" s="590"/>
      <c r="W2" s="590"/>
      <c r="X2" s="590"/>
      <c r="Y2" s="590"/>
      <c r="Z2" s="591"/>
    </row>
    <row r="3" spans="1:31" s="2" customFormat="1" ht="20.05" customHeight="1" x14ac:dyDescent="0.35">
      <c r="H3" s="8"/>
      <c r="I3" s="8"/>
      <c r="Q3" s="592" t="s">
        <v>1256</v>
      </c>
      <c r="R3" s="592"/>
      <c r="S3" s="592"/>
      <c r="T3" s="592"/>
      <c r="U3" s="592"/>
      <c r="V3" s="592"/>
      <c r="W3" s="592"/>
      <c r="X3" s="593"/>
      <c r="Y3" s="593"/>
      <c r="Z3" s="593"/>
    </row>
    <row r="4" spans="1:31" s="2" customFormat="1" ht="15" x14ac:dyDescent="0.35">
      <c r="H4" s="8"/>
      <c r="I4" s="8"/>
      <c r="V4" s="10"/>
      <c r="W4" s="3"/>
    </row>
    <row r="5" spans="1:31" s="2" customFormat="1" ht="15" x14ac:dyDescent="0.35">
      <c r="H5" s="8"/>
      <c r="I5" s="8"/>
      <c r="V5" s="10"/>
      <c r="W5" s="3"/>
    </row>
    <row r="6" spans="1:31" s="2" customFormat="1" ht="20.05" customHeight="1" x14ac:dyDescent="0.45">
      <c r="B6" s="391" t="s">
        <v>1602</v>
      </c>
      <c r="C6" s="391"/>
      <c r="E6" s="183" t="s">
        <v>1603</v>
      </c>
      <c r="F6" s="183"/>
      <c r="H6" s="391" t="s">
        <v>1604</v>
      </c>
      <c r="I6" s="391"/>
      <c r="K6" s="594" t="s">
        <v>1605</v>
      </c>
      <c r="L6" s="594"/>
      <c r="N6" s="387" t="s">
        <v>1606</v>
      </c>
      <c r="O6" s="387"/>
      <c r="Q6" s="584" t="s">
        <v>1607</v>
      </c>
      <c r="R6" s="585"/>
      <c r="T6" s="579" t="s">
        <v>1608</v>
      </c>
      <c r="U6" s="581"/>
      <c r="V6" s="10"/>
      <c r="W6" s="594" t="s">
        <v>1609</v>
      </c>
      <c r="X6" s="594"/>
      <c r="Z6" s="384" t="s">
        <v>1610</v>
      </c>
      <c r="AA6" s="389"/>
      <c r="AC6" s="579" t="s">
        <v>1611</v>
      </c>
      <c r="AD6" s="580"/>
      <c r="AE6" s="581"/>
    </row>
    <row r="7" spans="1:31" s="2" customFormat="1" ht="20.05" customHeight="1" x14ac:dyDescent="0.45">
      <c r="B7" s="4" t="s">
        <v>1612</v>
      </c>
      <c r="C7" s="337" t="str">
        <f>IF(ISBLANK(mgmt_vcf_installer_location_chosen),"Value Missing",mgmt_vcf_installer_location_chosen)</f>
        <v>Deployed on one of the hosts in the management domain</v>
      </c>
      <c r="E7" s="4" t="s">
        <v>1613</v>
      </c>
      <c r="F7" s="337">
        <v>1</v>
      </c>
      <c r="H7" s="336" t="s">
        <v>261</v>
      </c>
      <c r="I7" s="184" t="s">
        <v>19</v>
      </c>
      <c r="K7" s="166" t="s">
        <v>261</v>
      </c>
      <c r="L7" s="167" t="s">
        <v>19</v>
      </c>
      <c r="N7" s="166" t="s">
        <v>261</v>
      </c>
      <c r="O7" s="167" t="s">
        <v>19</v>
      </c>
      <c r="Q7" s="184" t="s">
        <v>261</v>
      </c>
      <c r="R7" s="184" t="s">
        <v>19</v>
      </c>
      <c r="T7" s="166" t="s">
        <v>261</v>
      </c>
      <c r="U7" s="167" t="s">
        <v>19</v>
      </c>
      <c r="W7" s="166" t="s">
        <v>261</v>
      </c>
      <c r="X7" s="167" t="s">
        <v>19</v>
      </c>
      <c r="Z7" s="166" t="s">
        <v>261</v>
      </c>
      <c r="AA7" s="167" t="s">
        <v>19</v>
      </c>
      <c r="AC7" s="166" t="s">
        <v>261</v>
      </c>
      <c r="AD7" s="167" t="s">
        <v>1269</v>
      </c>
      <c r="AE7" s="167" t="s">
        <v>1573</v>
      </c>
    </row>
    <row r="8" spans="1:31" s="2" customFormat="1" ht="20.05" customHeight="1" x14ac:dyDescent="0.45">
      <c r="B8" s="4" t="s">
        <v>1614</v>
      </c>
      <c r="C8" s="337" t="str">
        <f>CONCATENATE(this_instance,"-ins01.",sample_child_dns_zone)</f>
        <v>sfo-ins01.sfo.rainpole.io</v>
      </c>
      <c r="E8" s="4" t="s">
        <v>1615</v>
      </c>
      <c r="F8" s="337" t="str">
        <f>wld_compute_hosts_per_rack_chosen</f>
        <v>Exclude</v>
      </c>
      <c r="H8" s="4" t="s">
        <v>1616</v>
      </c>
      <c r="I8" s="337" t="s">
        <v>1617</v>
      </c>
      <c r="K8" s="4" t="s">
        <v>1618</v>
      </c>
      <c r="L8" s="337" t="str">
        <f>IF(ISBLANK(input_ca_administrator_username),"Value Missing",input_ca_administrator_username)</f>
        <v>Value Missing</v>
      </c>
      <c r="N8" s="4" t="s">
        <v>1619</v>
      </c>
      <c r="O8" s="337" t="str">
        <f>IF(ISBLANK(input_mgmt_sddc_domain),"Value Missing",input_mgmt_sddc_domain)</f>
        <v>Value Missing</v>
      </c>
      <c r="Q8" s="17" t="s">
        <v>1620</v>
      </c>
      <c r="R8" s="337" t="str">
        <f>IF(ISBLANK(input_xreg_vrslcm_ip),"Value Missing",input_xreg_vrslcm_ip)</f>
        <v>Value Missing</v>
      </c>
      <c r="T8" s="361" t="s">
        <v>1617</v>
      </c>
      <c r="U8" s="337" t="str">
        <f>IF(mgmt_consolidated_result="Included",mgmt_sddc_domain,wld_sddc_domain)</f>
        <v>Value Missing</v>
      </c>
      <c r="W8" s="4" t="s">
        <v>1621</v>
      </c>
      <c r="X8" s="337"/>
      <c r="Z8" s="4" t="s">
        <v>1622</v>
      </c>
      <c r="AA8" s="337"/>
      <c r="AC8" s="4" t="s">
        <v>1623</v>
      </c>
      <c r="AD8" s="337" t="str">
        <f>'Value Reference Tables - MR'!F9</f>
        <v>Value Missing</v>
      </c>
      <c r="AE8" s="337" t="str">
        <f>'Value Reference Tables - MR'!F279</f>
        <v>Value Missing</v>
      </c>
    </row>
    <row r="9" spans="1:31" s="2" customFormat="1" ht="20.05" customHeight="1" x14ac:dyDescent="0.45">
      <c r="B9" s="4" t="s">
        <v>1624</v>
      </c>
      <c r="C9" s="337" t="s">
        <v>1625</v>
      </c>
      <c r="E9" s="4" t="s">
        <v>1626</v>
      </c>
      <c r="F9" s="337">
        <f>IF(vcf_granular_option_chosen="Create Cluster",PRODUCT(cluster_compute_hosts_per_rack_chosen,wld_multi_rack_count_chosen),PRODUCT(wld_compute_hosts_per_rack,wld_multi_rack_count_chosen))</f>
        <v>0</v>
      </c>
      <c r="H9" s="4" t="s">
        <v>1627</v>
      </c>
      <c r="I9" s="337" t="str">
        <f>IF(ISBLANK(input_cluster_domain_name),"Value Missing",input_cluster_domain_name)</f>
        <v>Value Missing</v>
      </c>
      <c r="K9" s="4" t="s">
        <v>1628</v>
      </c>
      <c r="L9" s="337"/>
      <c r="N9" s="4" t="s">
        <v>1629</v>
      </c>
      <c r="O9" s="337"/>
      <c r="T9" s="361" t="s">
        <v>1630</v>
      </c>
      <c r="U9" s="337" t="str">
        <f>IF(mgmt_consolidated_result="Included",mgmt_vc_fqdn,wld_vc_fqdn)</f>
        <v>Value Missing</v>
      </c>
      <c r="W9" s="4" t="s">
        <v>1631</v>
      </c>
      <c r="X9" s="337"/>
      <c r="Z9" s="4" t="s">
        <v>1632</v>
      </c>
      <c r="AA9" s="337"/>
      <c r="AC9" s="4" t="s">
        <v>1633</v>
      </c>
      <c r="AD9" s="337"/>
      <c r="AE9" s="337"/>
    </row>
    <row r="10" spans="1:31" s="2" customFormat="1" ht="20.05" customHeight="1" x14ac:dyDescent="0.45">
      <c r="B10" s="337" t="s">
        <v>1634</v>
      </c>
      <c r="C10" s="337" t="str">
        <f>CONCATENATE(this_instance,".rainpole.io")</f>
        <v>sfo.rainpole.io</v>
      </c>
      <c r="E10" s="112" t="str">
        <f>IF(OR(wld_domain_chosen="Deploy Workload Domain with a Multi-Rack Layer 3 Cluster",cluster_chosen="Deploy a Multi-Rack Layer 3 Cluster",),"Include","Exclude")</f>
        <v>Exclude</v>
      </c>
      <c r="F10" s="112"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IF(AND(wld_domain_chosen&lt;&gt;"Deploy Workload Domain with a Multi-Rack Layer 3 Cluster",cluster_chosen&lt;&gt;"Deploy a Multi-Rack Layer 3 Cluster"),"Excluded",
IF(AND(wld_multi_rack_count_chosen="Exclude",wld_compute_hosts_per_rack_chosen="Exclude",cluster_compute_hosts_per_rack_chosen="Exclude"),"Excluded",
IF(OR(wld_principal_storage_chosen="vSAN-ESA",wld_principal_storage_chosen="vSAN-OSA",wld_principal_storage_chosen="vSAN Compute Cluster"),
IF(wld_multirack_calc="Include","Included","Excluded"),"Excluded")))))</f>
        <v>Excluded</v>
      </c>
      <c r="H10" s="4" t="s">
        <v>763</v>
      </c>
      <c r="I10" s="337" t="str">
        <f>cluster_principal_storage_chosen</f>
        <v>vSAN-ESA</v>
      </c>
      <c r="N10" s="4" t="s">
        <v>1635</v>
      </c>
      <c r="O10" s="337" t="str">
        <f>IF(ISBLANK('Configure Management Domain'!D50),"Value Missing",'Configure Management Domain'!D50)</f>
        <v>Value Missing</v>
      </c>
      <c r="Q10" s="584" t="s">
        <v>1636</v>
      </c>
      <c r="R10" s="585"/>
      <c r="T10" s="361" t="s">
        <v>1637</v>
      </c>
      <c r="U10" s="337" t="str">
        <f>IF(mgmt_consolidated_result="Included",mgmt_datacenter,wld_datacenter)</f>
        <v>Value Missing</v>
      </c>
      <c r="X10" s="3"/>
      <c r="Z10" s="4" t="s">
        <v>1638</v>
      </c>
      <c r="AA10" s="337"/>
      <c r="AC10" s="4" t="s">
        <v>1639</v>
      </c>
      <c r="AD10" s="337"/>
      <c r="AE10" s="337"/>
    </row>
    <row r="11" spans="1:31" s="2" customFormat="1" ht="20.05" customHeight="1" x14ac:dyDescent="0.45">
      <c r="B11" s="2" t="s">
        <v>1640</v>
      </c>
      <c r="C11" s="2" t="str">
        <f t="array" aca="1" ref="C11" ca="1">INDIRECT("'Version History'!B8")</f>
        <v>v1.9.0.008</v>
      </c>
      <c r="H11" s="532" t="s">
        <v>213</v>
      </c>
      <c r="I11" s="534"/>
      <c r="K11" s="384" t="s">
        <v>1641</v>
      </c>
      <c r="L11" s="389"/>
      <c r="N11" s="4" t="s">
        <v>784</v>
      </c>
      <c r="O11" s="337" t="str">
        <f>'Management Domain Sizing'!D32</f>
        <v>Medium</v>
      </c>
      <c r="Q11" s="184" t="s">
        <v>261</v>
      </c>
      <c r="R11" s="184" t="s">
        <v>19</v>
      </c>
      <c r="T11" s="361" t="s">
        <v>1642</v>
      </c>
      <c r="U11" s="337" t="str">
        <f>IF(mgmt_consolidated_result="Included",mgmt_cl01_cluster,wld_cl01_cluster)</f>
        <v>Value Missing</v>
      </c>
      <c r="W11" s="579" t="s">
        <v>1643</v>
      </c>
      <c r="X11" s="580"/>
      <c r="Z11" s="4" t="s">
        <v>1644</v>
      </c>
      <c r="AA11" s="337"/>
    </row>
    <row r="12" spans="1:31" s="2" customFormat="1" ht="20.05" customHeight="1" x14ac:dyDescent="0.45">
      <c r="B12" s="391" t="s">
        <v>1645</v>
      </c>
      <c r="C12" s="391"/>
      <c r="E12" s="391" t="s">
        <v>1646</v>
      </c>
      <c r="F12" s="391"/>
      <c r="H12" s="4" t="s">
        <v>85</v>
      </c>
      <c r="I12" s="337" t="str">
        <f>IF(ISBLANK(input_cluster_az1_mgmt_vlan),"Value Missing",input_cluster_az1_mgmt_vlan)</f>
        <v>Value Missing</v>
      </c>
      <c r="K12" s="166" t="s">
        <v>261</v>
      </c>
      <c r="L12" s="167" t="s">
        <v>19</v>
      </c>
      <c r="N12" s="4" t="s">
        <v>1647</v>
      </c>
      <c r="O12" s="337" t="str">
        <f>'Management Domain Sizing'!F32</f>
        <v>Default</v>
      </c>
      <c r="Q12" s="17" t="s">
        <v>1620</v>
      </c>
      <c r="R12" s="337" t="str">
        <f>IF(xreg_vrslcm_fqdn="Value Missing",xreg_vrslcm_fqdn,LEFT(xreg_vrslcm_fqdn,FIND(".",xreg_vrslcm_fqdn)-1))</f>
        <v>Value Missing</v>
      </c>
      <c r="T12" s="361" t="s">
        <v>1648</v>
      </c>
      <c r="U12" s="337" t="str">
        <f>IF(mgmt_consolidated_result="Included",mgmt_cl01_vds01_name,wld_cl01_vds01_name)</f>
        <v>Value Missing</v>
      </c>
      <c r="W12" s="166" t="s">
        <v>261</v>
      </c>
      <c r="X12" s="167" t="s">
        <v>19</v>
      </c>
      <c r="Z12" s="4" t="s">
        <v>1649</v>
      </c>
      <c r="AA12" s="337"/>
      <c r="AC12" s="384" t="s">
        <v>1650</v>
      </c>
      <c r="AD12" s="389"/>
      <c r="AE12" s="389"/>
    </row>
    <row r="13" spans="1:31" s="2" customFormat="1" ht="20.05" customHeight="1" x14ac:dyDescent="0.45">
      <c r="B13" s="336" t="s">
        <v>261</v>
      </c>
      <c r="C13" s="184" t="s">
        <v>19</v>
      </c>
      <c r="E13" s="336" t="s">
        <v>261</v>
      </c>
      <c r="F13" s="184" t="s">
        <v>19</v>
      </c>
      <c r="H13" s="4" t="s">
        <v>187</v>
      </c>
      <c r="I13" s="337" t="str">
        <f>IF(ISBLANK(input_cluster_az1_mgmt_gateway_ip),"Value Missing",input_cluster_az1_mgmt_gateway_ip)</f>
        <v>Value Missing</v>
      </c>
      <c r="K13" s="4" t="s">
        <v>1651</v>
      </c>
      <c r="L13" s="337" t="str">
        <f>IF(ISBLANK(input_esxi_root_password),"Value Missing",input_esxi_root_password)</f>
        <v>Value Missing</v>
      </c>
      <c r="N13" s="4" t="s">
        <v>1652</v>
      </c>
      <c r="O13" s="337" t="str">
        <f>IF(ISBLANK(mgmt_ceip_status_chosen),"Value Missing",mgmt_ceip_status_chosen)</f>
        <v>Selected</v>
      </c>
      <c r="T13" s="4" t="s">
        <v>1653</v>
      </c>
      <c r="U13" s="337" t="str">
        <f>IF(mgmt_consolidated_result="Included",mgmt_cl01_vsan_datastore,wld_cl01_vsan_datastore)</f>
        <v>Value Missing</v>
      </c>
      <c r="W13" s="4" t="s">
        <v>1654</v>
      </c>
      <c r="X13" s="337"/>
      <c r="Z13" s="4" t="s">
        <v>1655</v>
      </c>
      <c r="AA13" s="337"/>
      <c r="AC13" s="166" t="s">
        <v>261</v>
      </c>
      <c r="AD13" s="167" t="s">
        <v>1269</v>
      </c>
      <c r="AE13" s="167" t="s">
        <v>1573</v>
      </c>
    </row>
    <row r="14" spans="1:31" s="2" customFormat="1" ht="20.05" customHeight="1" x14ac:dyDescent="0.45">
      <c r="B14" s="4" t="s">
        <v>1656</v>
      </c>
      <c r="C14" s="337" t="str">
        <f>IF(ISBLANK(input_vcf_installer_ip),"Value Missing",input_vcf_installer_ip)</f>
        <v>Value Missing</v>
      </c>
      <c r="E14" s="4" t="s">
        <v>1657</v>
      </c>
      <c r="F14" s="337" t="str">
        <f>IF(ISBLANK(input_wld_vc_ip),"Value Missing",input_wld_vc_ip)</f>
        <v>Value Missing</v>
      </c>
      <c r="H14" s="4" t="s">
        <v>188</v>
      </c>
      <c r="I14" s="337" t="str">
        <f>IF(ISBLANK(input_cluster_az1_mgmt_cidr),"Value Missing",input_cluster_az1_mgmt_cidr)</f>
        <v>Value Missing</v>
      </c>
      <c r="K14" s="17" t="s">
        <v>1658</v>
      </c>
      <c r="L14" s="337" t="str">
        <f>IF(ISBLANK(input_administrator_vsphere_local_password),"Value Missing",input_administrator_vsphere_local_password)</f>
        <v>Value Missing</v>
      </c>
      <c r="N14" s="4" t="s">
        <v>1659</v>
      </c>
      <c r="O14" s="337" t="str">
        <f>'Management Domain Sizing'!I32</f>
        <v>Medium</v>
      </c>
      <c r="Q14" s="584" t="s">
        <v>1660</v>
      </c>
      <c r="R14" s="585"/>
      <c r="T14" s="361" t="s">
        <v>1661</v>
      </c>
      <c r="U14" s="337" t="str">
        <f>IF(mgmt_consolidated_result="Included",mgmt_nsxt_vip_fqdn,wld_nsxt_vip_fqdn)</f>
        <v>Value Missing</v>
      </c>
      <c r="W14" s="4" t="s">
        <v>1662</v>
      </c>
      <c r="X14" s="337"/>
      <c r="Z14" s="4" t="s">
        <v>1663</v>
      </c>
      <c r="AA14" s="337"/>
    </row>
    <row r="15" spans="1:31" s="2" customFormat="1" ht="20.05" customHeight="1" x14ac:dyDescent="0.45">
      <c r="B15" s="4" t="s">
        <v>1664</v>
      </c>
      <c r="C15" s="337" t="str">
        <f>IF(ISBLANK('Deploy Management Domain'!L322),"Value Missing",'Deploy Management Domain'!L322)</f>
        <v>Value Missing</v>
      </c>
      <c r="E15" s="4" t="s">
        <v>1665</v>
      </c>
      <c r="F15" s="337" t="str">
        <f>IF(ISBLANK('Deploy Workload Domain'!D182),"Value Missing",'Deploy Workload Domain'!D182)</f>
        <v>Value Missing</v>
      </c>
      <c r="H15" s="4" t="s">
        <v>160</v>
      </c>
      <c r="I15" s="337" t="str">
        <f>IF(ISBLANK(input_cluster_az1_mgmt_mtu),"Value Missing",input_cluster_az1_mgmt_mtu)</f>
        <v>Value Missing</v>
      </c>
      <c r="K15" s="17" t="s">
        <v>1666</v>
      </c>
      <c r="L15" s="337" t="str">
        <f>IF(ISBLANK(input_vcenter_root_password),"Value Missing",input_vcenter_root_password)</f>
        <v>Value Missing</v>
      </c>
      <c r="N15" s="4" t="s">
        <v>1667</v>
      </c>
      <c r="O15" s="337" t="str">
        <f>IF(ISBLANK('Configure Management Domain'!D95),"Value Missing",'Configure Management Domain'!D95)</f>
        <v>Value Missing</v>
      </c>
      <c r="Q15" s="184" t="s">
        <v>261</v>
      </c>
      <c r="R15" s="184" t="s">
        <v>19</v>
      </c>
      <c r="T15" s="4" t="s">
        <v>1668</v>
      </c>
      <c r="U15" s="337"/>
      <c r="V15" s="3"/>
      <c r="Z15" s="4" t="s">
        <v>1669</v>
      </c>
      <c r="AA15" s="337"/>
      <c r="AC15" s="384" t="s">
        <v>1670</v>
      </c>
      <c r="AD15" s="389"/>
      <c r="AE15" s="389"/>
    </row>
    <row r="16" spans="1:31" s="2" customFormat="1" ht="20.05" customHeight="1" x14ac:dyDescent="0.45">
      <c r="B16" s="4" t="s">
        <v>1657</v>
      </c>
      <c r="C16" s="337" t="str">
        <f>IF(ISBLANK('Deploy Management Domain'!L323),"Value Missing",'Deploy Management Domain'!L323)</f>
        <v>Value Missing</v>
      </c>
      <c r="E16" s="4" t="s">
        <v>1671</v>
      </c>
      <c r="F16" s="337" t="str">
        <f>IF(ISBLANK('Deploy Workload Domain'!D176),"Value Missing",'Deploy Workload Domain'!D176)</f>
        <v>Value Missing</v>
      </c>
      <c r="H16" s="532" t="s">
        <v>1672</v>
      </c>
      <c r="I16" s="534"/>
      <c r="K16" s="17" t="s">
        <v>1673</v>
      </c>
      <c r="L16" s="337" t="str">
        <f>IF(ISBLANK(input_nsxt_lm_root_password),"Value Missing",input_nsxt_lm_root_password)</f>
        <v>Value Missing</v>
      </c>
      <c r="N16" s="4" t="s">
        <v>1674</v>
      </c>
      <c r="O16" s="337" t="str">
        <f>'Management Domain Sizing'!L32</f>
        <v>Excluded</v>
      </c>
      <c r="Q16" s="17" t="s">
        <v>1620</v>
      </c>
      <c r="R16" s="337" t="str">
        <f>IF(ISBLANK(input_xreg_vrslcm_fqdn),"Value Missing",input_xreg_vrslcm_fqdn)</f>
        <v>Value Missing</v>
      </c>
      <c r="T16" s="4" t="s">
        <v>1675</v>
      </c>
      <c r="U16" s="337" t="str">
        <f>IF(mgmt_consolidated_result="Included",mgmt_tier0_name,wld_tier0_name)</f>
        <v>Value Missing</v>
      </c>
      <c r="V16" s="3"/>
      <c r="W16" s="384" t="s">
        <v>1676</v>
      </c>
      <c r="X16" s="389"/>
      <c r="Z16" s="4" t="s">
        <v>1677</v>
      </c>
      <c r="AA16" s="337"/>
      <c r="AC16" s="166" t="s">
        <v>261</v>
      </c>
      <c r="AD16" s="167" t="s">
        <v>1269</v>
      </c>
      <c r="AE16" s="167" t="s">
        <v>1573</v>
      </c>
    </row>
    <row r="17" spans="2:31" s="2" customFormat="1" ht="20.05" customHeight="1" x14ac:dyDescent="0.45">
      <c r="B17" s="4" t="s">
        <v>1665</v>
      </c>
      <c r="C17" s="337" t="str">
        <f>IF(ISBLANK('Deploy Management Domain'!L325),"Value Missing",'Deploy Management Domain'!L325)</f>
        <v>Value Missing</v>
      </c>
      <c r="E17" s="4" t="s">
        <v>1678</v>
      </c>
      <c r="F17" s="337" t="str">
        <f>IF(ISBLANK('Deploy Workload Domain'!D178),"Value Missing",'Deploy Workload Domain'!D178)</f>
        <v>Value Missing</v>
      </c>
      <c r="H17" s="4" t="s">
        <v>85</v>
      </c>
      <c r="I17" s="337" t="str">
        <f>IF(ISBLANK(input_cluster_az1_vmotion_vlan),"Value Missing",input_cluster_az1_vmotion_vlan)</f>
        <v>Value Missing</v>
      </c>
      <c r="K17" s="17" t="s">
        <v>1679</v>
      </c>
      <c r="L17" s="337" t="str">
        <f>IF(ISBLANK(input_nsxt_lm_admin_password),"Value Missing",input_nsxt_lm_admin_password)</f>
        <v>Value Missing</v>
      </c>
      <c r="N17" s="4" t="s">
        <v>1680</v>
      </c>
      <c r="O17" s="337" t="str">
        <f>IF(ISBLANK('Configure Management Domain'!D153),"Value Missing",'Configure Management Domain'!D153)</f>
        <v>Value Missing</v>
      </c>
      <c r="T17" s="4" t="s">
        <v>1681</v>
      </c>
      <c r="U17" s="337" t="str">
        <f>IF(mgmt_consolidated_result="Included",CONCATENATE("overlay-tz-",mgmt_nsxt_hostname),CONCATENATE("overlay-tz-",wld_nsxt_hostname))</f>
        <v>overlay-tz-Value Missing</v>
      </c>
      <c r="V17" s="3"/>
      <c r="W17" s="166" t="s">
        <v>261</v>
      </c>
      <c r="X17" s="167" t="s">
        <v>19</v>
      </c>
      <c r="Z17" s="17" t="s">
        <v>1682</v>
      </c>
      <c r="AA17" s="337"/>
      <c r="AC17" s="4" t="s">
        <v>1623</v>
      </c>
      <c r="AD17" s="337" t="str">
        <f>'Value Reference Tables - MR'!F24</f>
        <v>Value Missing</v>
      </c>
      <c r="AE17" s="337" t="str">
        <f>'Value Reference Tables - MR'!F293</f>
        <v>Value Missing</v>
      </c>
    </row>
    <row r="18" spans="2:31" s="2" customFormat="1" ht="20.05" customHeight="1" x14ac:dyDescent="0.45">
      <c r="B18" s="4" t="s">
        <v>1671</v>
      </c>
      <c r="C18" s="337" t="str">
        <f>IF(ISBLANK('Deploy Management Domain'!L326),"Value Missing",'Deploy Management Domain'!L326)</f>
        <v>Value Missing</v>
      </c>
      <c r="E18" s="4" t="s">
        <v>1683</v>
      </c>
      <c r="F18" s="337" t="str">
        <f>IF(ISBLANK('Deploy Workload Domain'!D180),"Value Missing",'Deploy Workload Domain'!D180)</f>
        <v>Value Missing</v>
      </c>
      <c r="H18" s="4" t="s">
        <v>160</v>
      </c>
      <c r="I18" s="337" t="str">
        <f>IF(ISBLANK(input_cluster_az1_vmotion_mtu),"Value Missing",input_cluster_az1_vmotion_mtu)</f>
        <v>Value Missing</v>
      </c>
      <c r="K18" s="17" t="s">
        <v>1684</v>
      </c>
      <c r="L18" s="337" t="str">
        <f>IF(ISBLANK(input_nsxt_lm_audit_password),"Value Missing",input_nsxt_lm_audit_password)</f>
        <v>Value Missing</v>
      </c>
      <c r="N18" s="4" t="s">
        <v>1685</v>
      </c>
      <c r="O18" s="337" t="str">
        <f>IF(ISBLANK('Value Reference Tables'!U212),"Value Missing",'Value Reference Tables'!U212)</f>
        <v>Value Missing</v>
      </c>
      <c r="Q18" s="387" t="s">
        <v>1686</v>
      </c>
      <c r="R18" s="389"/>
      <c r="T18" s="4" t="s">
        <v>1687</v>
      </c>
      <c r="U18" s="337" t="str">
        <f>IF(ISBLANK('Private AI Ready Infrastructure'!D19),"Value Missing",'Private AI Ready Infrastructure'!D19)</f>
        <v>Value Missing</v>
      </c>
      <c r="W18" s="4" t="s">
        <v>1621</v>
      </c>
      <c r="X18" s="337"/>
      <c r="Z18" s="22" t="s">
        <v>1688</v>
      </c>
      <c r="AA18" s="337"/>
    </row>
    <row r="19" spans="2:31" s="2" customFormat="1" ht="20.05" customHeight="1" x14ac:dyDescent="0.45">
      <c r="B19" s="4" t="s">
        <v>1678</v>
      </c>
      <c r="C19" s="337" t="str">
        <f>IF(ISBLANK('Deploy Management Domain'!L327),"Value Missing",'Deploy Management Domain'!L327)</f>
        <v>Value Missing</v>
      </c>
      <c r="E19" s="4" t="s">
        <v>1689</v>
      </c>
      <c r="F19" s="337" t="str">
        <f>IF(ISBLANK('Configure Workload Domain'!D442),"Value Missing",'Configure Workload Domain'!D442)</f>
        <v>Value Missing</v>
      </c>
      <c r="H19" s="4" t="s">
        <v>252</v>
      </c>
      <c r="I19" s="337" t="str">
        <f>IF(ISBLANK(input_cluster_az1_vmotion_network),"Value Missing",input_cluster_az1_vmotion_network)</f>
        <v>Value Missing</v>
      </c>
      <c r="K19" s="17" t="s">
        <v>1690</v>
      </c>
      <c r="L19" s="337" t="str">
        <f>IF(ISBLANK(input_mgmt_nsxt_en_root_password),"Value Missing",input_mgmt_nsxt_en_root_password)</f>
        <v>Value Missing</v>
      </c>
      <c r="N19" s="4" t="s">
        <v>1691</v>
      </c>
      <c r="O19" s="337" t="str">
        <f>IF(ISBLANK(input_mgmt_nsxt_global_mgr_vmca_signed_thumbprint),"Value Missing",input_mgmt_nsxt_global_mgr_vmca_signed_thumbprint)</f>
        <v>Value Missing</v>
      </c>
      <c r="Q19" s="166" t="s">
        <v>261</v>
      </c>
      <c r="R19" s="167" t="s">
        <v>19</v>
      </c>
      <c r="T19" s="4" t="s">
        <v>1692</v>
      </c>
      <c r="U19" s="337" t="str">
        <f>IF(ISBLANK(input_k8s_ip_prefixlist),"Value Missing",input_k8s_ip_prefixlist)</f>
        <v>Value Missing</v>
      </c>
      <c r="W19" s="4" t="s">
        <v>1631</v>
      </c>
      <c r="X19" s="337"/>
      <c r="Z19" s="22" t="s">
        <v>1693</v>
      </c>
      <c r="AA19" s="337"/>
      <c r="AC19" s="384" t="s">
        <v>1694</v>
      </c>
      <c r="AD19" s="389"/>
      <c r="AE19" s="389"/>
    </row>
    <row r="20" spans="2:31" s="2" customFormat="1" ht="20.05" customHeight="1" x14ac:dyDescent="0.45">
      <c r="B20" s="4" t="s">
        <v>1683</v>
      </c>
      <c r="C20" s="337" t="str">
        <f>IF(ISBLANK('Deploy Management Domain'!L328),"Value Missing",'Deploy Management Domain'!L328)</f>
        <v>Value Missing</v>
      </c>
      <c r="E20" s="4" t="s">
        <v>1695</v>
      </c>
      <c r="F20" s="337" t="str">
        <f>IF(ISBLANK('Configure Workload Domain'!D371),"Value Missing",'Configure Workload Domain'!D371)</f>
        <v>Value Missing</v>
      </c>
      <c r="H20" s="4" t="s">
        <v>285</v>
      </c>
      <c r="I20" s="337" t="str">
        <f>IF(ISBLANK(input_cluster_az1_vmotion_mask),"Value Missing",input_cluster_az1_vmotion_mask)</f>
        <v>Value Missing</v>
      </c>
      <c r="K20" s="17" t="s">
        <v>1696</v>
      </c>
      <c r="L20" s="337" t="str">
        <f>IF(ISBLANK(input_mgmt_nsxt_en_admin_password),"Value Missing",input_mgmt_nsxt_en_admin_password)</f>
        <v>Value Missing</v>
      </c>
      <c r="N20" s="4" t="s">
        <v>1697</v>
      </c>
      <c r="O20" s="337" t="str">
        <f>IF(ISBLANK(input_mgmt_nsxt_global_mgr_cluster_id),"Value Missing",input_mgmt_nsxt_global_mgr_cluster_id)</f>
        <v>Value Missing</v>
      </c>
      <c r="Q20" s="4"/>
      <c r="R20" s="337"/>
      <c r="T20" s="17" t="s">
        <v>1698</v>
      </c>
      <c r="U20" s="337" t="str">
        <f>IF(ISBLANK(input_k8s_ip_routemap),"Value Missing",input_k8s_ip_routemap)</f>
        <v>Value Missing</v>
      </c>
      <c r="V20" s="3"/>
      <c r="Z20" s="22" t="s">
        <v>1699</v>
      </c>
      <c r="AA20" s="337"/>
      <c r="AC20" s="166" t="s">
        <v>261</v>
      </c>
      <c r="AD20" s="167" t="s">
        <v>1269</v>
      </c>
      <c r="AE20" s="167" t="s">
        <v>1573</v>
      </c>
    </row>
    <row r="21" spans="2:31" s="2" customFormat="1" ht="20.05" customHeight="1" x14ac:dyDescent="0.45">
      <c r="B21" s="4" t="s">
        <v>1689</v>
      </c>
      <c r="C21" s="337" t="str">
        <f>IF(ISBLANK('Configure Management Domain'!D475),"Value Missing",'Configure Management Domain'!D475)</f>
        <v>Value Missing</v>
      </c>
      <c r="E21" s="4" t="s">
        <v>1700</v>
      </c>
      <c r="F21" s="337" t="str">
        <f>IF(ISBLANK('Configure Workload Domain'!D388),"Value Missing",'Configure Workload Domain'!D388)</f>
        <v>Value Missing</v>
      </c>
      <c r="H21" s="4" t="s">
        <v>460</v>
      </c>
      <c r="I21" s="337" t="str">
        <f>IF(OR(cluster_az1_vmotion_network="Value Missing",cluster_az1_vmotion_mask="Value Missing"),"Value Missing",(CONCATENATE(cluster_az1_vmotion_network,"/",VLOOKUP(cluster_az1_vmotion_mask,table_mask_to_cidr,2,FALSE))))</f>
        <v>Value Missing</v>
      </c>
      <c r="K21" s="17" t="s">
        <v>1701</v>
      </c>
      <c r="L21" s="337" t="str">
        <f>IF(ISBLANK(input_nsxt_gm_root_password),"Value Missing",input_nsxt_gm_root_password)</f>
        <v>Value Missing</v>
      </c>
      <c r="N21" s="4" t="s">
        <v>1702</v>
      </c>
      <c r="O21" s="337" t="str">
        <f>IF(ISBLANK('Configure Management Domain'!D469),"Value Missing",'Configure Management Domain'!D469)</f>
        <v>Value Missing</v>
      </c>
      <c r="Q21" s="4"/>
      <c r="R21" s="337"/>
      <c r="T21" s="4" t="s">
        <v>88</v>
      </c>
      <c r="U21" s="337" t="str">
        <f>IF(mgmt_consolidated_result="Included",mgmt_ec_name,wld_ec_name)</f>
        <v>Value Missing</v>
      </c>
      <c r="V21" s="3"/>
      <c r="W21" s="384" t="s">
        <v>1703</v>
      </c>
      <c r="X21" s="389"/>
      <c r="Z21" s="22" t="s">
        <v>1704</v>
      </c>
      <c r="AA21" s="337"/>
      <c r="AC21" s="4" t="s">
        <v>1623</v>
      </c>
      <c r="AD21" s="337" t="str">
        <f>'Value Reference Tables - MR'!F86</f>
        <v>Value Missing</v>
      </c>
      <c r="AE21" s="337" t="str">
        <f>'Value Reference Tables - MR'!F335</f>
        <v>Value Missing</v>
      </c>
    </row>
    <row r="22" spans="2:31" s="2" customFormat="1" ht="20.05" customHeight="1" x14ac:dyDescent="0.45">
      <c r="B22" s="4" t="s">
        <v>1695</v>
      </c>
      <c r="C22" s="337" t="str">
        <f>IF(ISBLANK('Configure Management Domain'!D410),"Value Missing",'Configure Management Domain'!D410)</f>
        <v>Value Missing</v>
      </c>
      <c r="E22" s="4" t="s">
        <v>1705</v>
      </c>
      <c r="F22" s="337" t="str">
        <f>IF(ISBLANK('Configure Workload Domain'!D405),"Value Missing",'Configure Workload Domain'!D405)</f>
        <v>Value Missing</v>
      </c>
      <c r="H22" s="4" t="s">
        <v>187</v>
      </c>
      <c r="I22" s="337" t="str">
        <f>IF(ISBLANK(input_cluster_az1_vmotion_gateway_ip),"Value Missing",input_cluster_az1_vmotion_gateway_ip)</f>
        <v>Value Missing</v>
      </c>
      <c r="K22" s="17" t="s">
        <v>1706</v>
      </c>
      <c r="L22" s="337" t="str">
        <f>IF(ISBLANK(input_nsxt_gm_admin_password),"Value Missing",input_nsxt_gm_admin_password)</f>
        <v>Value Missing</v>
      </c>
      <c r="N22" s="4" t="s">
        <v>1707</v>
      </c>
      <c r="O22" s="337" t="str">
        <f>IF(ISBLANK('Configure Management Domain'!D481),"Value Missing",'Configure Management Domain'!D481)</f>
        <v>Value Missing</v>
      </c>
      <c r="Q22" s="4"/>
      <c r="R22" s="337"/>
      <c r="T22" s="17" t="s">
        <v>1708</v>
      </c>
      <c r="U22" s="337">
        <v>28</v>
      </c>
      <c r="V22" s="3"/>
      <c r="W22" s="166" t="s">
        <v>261</v>
      </c>
      <c r="X22" s="167" t="s">
        <v>19</v>
      </c>
      <c r="Z22" s="22" t="s">
        <v>1709</v>
      </c>
      <c r="AA22" s="337"/>
    </row>
    <row r="23" spans="2:31" s="2" customFormat="1" ht="20.05" customHeight="1" x14ac:dyDescent="0.45">
      <c r="B23" s="4" t="s">
        <v>1700</v>
      </c>
      <c r="C23" s="337" t="str">
        <f>IF(ISBLANK('Configure Management Domain'!D427),"Value Missing",'Configure Management Domain'!D427)</f>
        <v>Value Missing</v>
      </c>
      <c r="E23" s="4" t="s">
        <v>1710</v>
      </c>
      <c r="F23" s="337" t="str">
        <f>IF(ISBLANK('Configure Workload Domain'!D159),"Value Missing",'Configure Workload Domain'!D159)</f>
        <v>Value Missing</v>
      </c>
      <c r="H23" s="17" t="s">
        <v>255</v>
      </c>
      <c r="I23" s="337" t="str">
        <f>IF(ISBLANK(input_cluster_az1_vmotion_pool_start_ip),"Value Missing",input_cluster_az1_vmotion_pool_start_ip)</f>
        <v>Value Missing</v>
      </c>
      <c r="K23" s="17" t="s">
        <v>1711</v>
      </c>
      <c r="L23" s="337" t="str">
        <f>IF(ISBLANK(input_nsxt_gm_audit_password),"Value Missing",input_nsxt_gm_audit_password)</f>
        <v>Value Missing</v>
      </c>
      <c r="N23" s="4" t="s">
        <v>1712</v>
      </c>
      <c r="O23" s="337" t="str">
        <f>IF(ISBLANK('Configure Management Domain'!D498),"Value Missing",'Configure Management Domain'!D498)</f>
        <v>Value Missing</v>
      </c>
      <c r="Q23" s="4"/>
      <c r="R23" s="337"/>
      <c r="T23" s="17" t="s">
        <v>1713</v>
      </c>
      <c r="U23" s="337">
        <v>32</v>
      </c>
      <c r="V23" s="3"/>
      <c r="W23" s="4" t="s">
        <v>1621</v>
      </c>
      <c r="X23" s="337"/>
      <c r="Z23" s="22" t="s">
        <v>1714</v>
      </c>
      <c r="AA23" s="337"/>
      <c r="AC23" s="384" t="s">
        <v>1715</v>
      </c>
      <c r="AD23" s="389"/>
      <c r="AE23" s="389"/>
    </row>
    <row r="24" spans="2:31" s="2" customFormat="1" ht="20.05" customHeight="1" x14ac:dyDescent="0.45">
      <c r="B24" s="4" t="s">
        <v>1705</v>
      </c>
      <c r="C24" s="337" t="str">
        <f>IF(ISBLANK('Configure Management Domain'!D444),"Value Missing",'Configure Management Domain'!D444)</f>
        <v>Value Missing</v>
      </c>
      <c r="E24" s="4" t="s">
        <v>1716</v>
      </c>
      <c r="F24" s="337" t="str">
        <f>IF(ISBLANK(input_wld_avilb_mgra_ip),"Value Missing",input_wld_avilb_mgra_ip)</f>
        <v>Value Missing</v>
      </c>
      <c r="H24" s="17" t="s">
        <v>256</v>
      </c>
      <c r="I24" s="337" t="str">
        <f>IF(ISBLANK(input_cluster_az1_vmotion_pool_end_ip),"Value Missing",input_cluster_az1_vmotion_pool_end_ip)</f>
        <v>Value Missing</v>
      </c>
      <c r="K24" s="17" t="s">
        <v>1701</v>
      </c>
      <c r="L24" s="337" t="str">
        <f>IF(ISBLANK(input_wld_nsxt_gm_root_password),"Value Missing",input_wld_nsxt_gm_root_password)</f>
        <v>Value Missing</v>
      </c>
      <c r="N24" s="4" t="s">
        <v>1717</v>
      </c>
      <c r="O24" s="337" t="str">
        <f>IF(ISBLANK('Configure Management Domain'!D512),"Value Missing",'Configure Management Domain'!D512)</f>
        <v>Value Missing</v>
      </c>
      <c r="Q24" s="4"/>
      <c r="R24" s="337" t="str">
        <f>IF(ISBLANK('Private AI Ready Infrastructure'!D72),"Value Missing",'Private AI Ready Infrastructure'!D72)</f>
        <v>Value Missing</v>
      </c>
      <c r="T24" s="4" t="s">
        <v>1718</v>
      </c>
      <c r="U24" s="337" t="str">
        <f>IF(ISBLANK(input_k8s_vcenter_category),"Value Missing",input_k8s_vcenter_category)</f>
        <v>Value Missing</v>
      </c>
      <c r="V24" s="3"/>
      <c r="W24" s="4" t="s">
        <v>1631</v>
      </c>
      <c r="X24" s="337"/>
      <c r="Z24" s="22" t="s">
        <v>1719</v>
      </c>
      <c r="AA24" s="337"/>
      <c r="AC24" s="166" t="s">
        <v>261</v>
      </c>
      <c r="AD24" s="167" t="s">
        <v>1269</v>
      </c>
      <c r="AE24" s="167" t="s">
        <v>1573</v>
      </c>
    </row>
    <row r="25" spans="2:31" s="2" customFormat="1" ht="20.05" customHeight="1" x14ac:dyDescent="0.45">
      <c r="B25" s="4" t="s">
        <v>1710</v>
      </c>
      <c r="C25" s="337" t="str">
        <f>IF(ISBLANK('Configure Management Domain'!D216),"Value Missing",'Configure Management Domain'!D216)</f>
        <v>Value Missing</v>
      </c>
      <c r="E25" s="4" t="s">
        <v>1720</v>
      </c>
      <c r="F25" s="337" t="str">
        <f>IF(ISBLANK(input_wld_avilb_mgrb_ip),"Value Missing",input_wld_avilb_mgrb_ip)</f>
        <v>Value Missing</v>
      </c>
      <c r="H25" s="532" t="s">
        <v>265</v>
      </c>
      <c r="I25" s="534"/>
      <c r="K25" s="17" t="s">
        <v>1706</v>
      </c>
      <c r="L25" s="337" t="str">
        <f>IF(ISBLANK(input_wld_nsxt_gm_admin_password),"Value Missing",input_wld_nsxt_gm_admin_password)</f>
        <v>Value Missing</v>
      </c>
      <c r="N25" s="4" t="s">
        <v>1721</v>
      </c>
      <c r="O25" s="337" t="str">
        <f>IF(ISBLANK('Configure Management Domain'!D510),"Value Missing",'Configure Management Domain'!D510)</f>
        <v>Value Missing</v>
      </c>
      <c r="Q25" s="4"/>
      <c r="R25" s="337" t="str">
        <f>IF(ISBLANK('Private AI Ready Infrastructure'!D71),"Value Missing",'Private AI Ready Infrastructure'!D71)</f>
        <v>Value Missing</v>
      </c>
      <c r="T25" s="4" t="s">
        <v>1722</v>
      </c>
      <c r="U25" s="337" t="str">
        <f>IF(ISBLANK(input_k8s_vcenter_tag),"Value Missing",input_k8s_vcenter_tag)</f>
        <v>Value Missing</v>
      </c>
      <c r="V25" s="3"/>
      <c r="Z25" s="22" t="s">
        <v>1723</v>
      </c>
      <c r="AA25" s="337"/>
      <c r="AC25" s="4" t="s">
        <v>1623</v>
      </c>
      <c r="AD25" s="337" t="str">
        <f>'Value Reference Tables - MR'!F70</f>
        <v>Value Missing</v>
      </c>
      <c r="AE25" s="337" t="str">
        <f>'Value Reference Tables - MR'!F349</f>
        <v>Value Missing</v>
      </c>
    </row>
    <row r="26" spans="2:31" s="2" customFormat="1" ht="20.05" customHeight="1" x14ac:dyDescent="0.45">
      <c r="B26" s="4" t="s">
        <v>201</v>
      </c>
      <c r="C26" s="337" t="str">
        <f>IF(ISBLANK(input_mgmt_avilb_mgra_ip),"Value Missing",input_mgmt_avilb_mgra_ip)</f>
        <v>Value Missing</v>
      </c>
      <c r="E26" s="4" t="s">
        <v>1724</v>
      </c>
      <c r="F26" s="337" t="str">
        <f>IF(ISBLANK(input_wld_avilb_mgrc_ip),"Value Missing",input_wld_avilb_mgrc_ip)</f>
        <v>Value Missing</v>
      </c>
      <c r="H26" s="4" t="s">
        <v>85</v>
      </c>
      <c r="I26" s="337" t="str">
        <f>IF(ISBLANK(input_cluster_az1_principal_storage_vlan),"Value Missing",input_cluster_az1_principal_storage_vlan)</f>
        <v>Value Missing</v>
      </c>
      <c r="K26" s="17" t="s">
        <v>1711</v>
      </c>
      <c r="L26" s="337" t="str">
        <f>IF(ISBLANK(input_wld_nsxt_gm_audit_password),"Value Missing",input_wld_nsxt_gm_audit_password)</f>
        <v>Value Missing</v>
      </c>
      <c r="N26" s="4" t="s">
        <v>1725</v>
      </c>
      <c r="O26" s="337" t="str">
        <f>IF(ISBLANK('Configure Management Domain'!D501),"Value Missing",'Configure Management Domain'!D501)</f>
        <v>Value Missing</v>
      </c>
      <c r="Q26" s="6"/>
      <c r="R26" s="6"/>
      <c r="T26" s="4" t="s">
        <v>1726</v>
      </c>
      <c r="U26" s="337" t="str">
        <f>IF(ISBLANK(input_k8s_vcenter_storage_policy),"Value Missing",input_k8s_vcenter_storage_policy)</f>
        <v>Value Missing</v>
      </c>
      <c r="V26" s="3"/>
      <c r="W26" s="384" t="s">
        <v>1727</v>
      </c>
      <c r="X26" s="389"/>
      <c r="Z26" s="22" t="s">
        <v>1728</v>
      </c>
      <c r="AA26" s="337"/>
    </row>
    <row r="27" spans="2:31" s="2" customFormat="1" ht="20.05" customHeight="1" x14ac:dyDescent="0.45">
      <c r="B27" s="4" t="s">
        <v>203</v>
      </c>
      <c r="C27" s="337" t="str">
        <f>IF(ISBLANK(input_mgmt_avilb_mgrb_ip),"Value Missing",input_mgmt_avilb_mgrb_ip)</f>
        <v>Value Missing</v>
      </c>
      <c r="H27" s="4" t="s">
        <v>160</v>
      </c>
      <c r="I27" s="337" t="str">
        <f>IF(ISBLANK(input_cluster_az1_principal_storage_mtu),"Value Missing",input_cluster_az1_principal_storage_mtu)</f>
        <v>Value Missing</v>
      </c>
      <c r="K27" s="17" t="s">
        <v>1729</v>
      </c>
      <c r="L27" s="337" t="str">
        <f>IF(ISBLANK(input_sddc_mgr_root_password),"Value Missing",input_sddc_mgr_root_password)</f>
        <v>Value Missing</v>
      </c>
      <c r="N27" s="4" t="s">
        <v>1730</v>
      </c>
      <c r="O27" s="337" t="str">
        <f>IF(ISBLANK('Configure Management Domain'!D522),"Value Missing",'Configure Management Domain'!D522)</f>
        <v>Value Missing</v>
      </c>
      <c r="Q27" s="579" t="s">
        <v>1731</v>
      </c>
      <c r="R27" s="580"/>
      <c r="T27" s="4" t="s">
        <v>1732</v>
      </c>
      <c r="U27" s="337" t="str">
        <f>IF(ISBLANK(input_k8s_vcenter_content_library),"Value Missing",input_k8s_vcenter_content_library)</f>
        <v>Value Missing</v>
      </c>
      <c r="W27" s="166" t="s">
        <v>261</v>
      </c>
      <c r="X27" s="167" t="s">
        <v>19</v>
      </c>
      <c r="Z27" s="22" t="s">
        <v>1733</v>
      </c>
      <c r="AA27" s="337"/>
      <c r="AC27" s="384" t="s">
        <v>1734</v>
      </c>
      <c r="AD27" s="389"/>
      <c r="AE27" s="389"/>
    </row>
    <row r="28" spans="2:31" s="2" customFormat="1" ht="20.05" customHeight="1" x14ac:dyDescent="0.45">
      <c r="B28" s="4" t="s">
        <v>205</v>
      </c>
      <c r="C28" s="337" t="str">
        <f>IF(ISBLANK(input_mgmt_avilb_mgrc_ip),"Value Missing",input_mgmt_avilb_mgrc_ip)</f>
        <v>Value Missing</v>
      </c>
      <c r="E28" s="582" t="s">
        <v>1735</v>
      </c>
      <c r="F28" s="583"/>
      <c r="H28" s="4" t="s">
        <v>252</v>
      </c>
      <c r="I28" s="337" t="str">
        <f>IF(ISBLANK(input_cluster_az1_principal_storage_network),"Value Missing",input_cluster_az1_principal_storage_network)</f>
        <v>Value Missing</v>
      </c>
      <c r="K28" s="17" t="s">
        <v>1736</v>
      </c>
      <c r="L28" s="337" t="str">
        <f>IF(ISBLANK(input_sddc_mgr_vcf_password),"Value Missing",input_sddc_mgr_vcf_password)</f>
        <v>Value Missing</v>
      </c>
      <c r="N28" s="4" t="s">
        <v>1737</v>
      </c>
      <c r="O28" s="337"/>
      <c r="Q28" s="361" t="s">
        <v>1738</v>
      </c>
      <c r="R28" s="337"/>
      <c r="T28" s="4" t="s">
        <v>1739</v>
      </c>
      <c r="U28" s="337" t="s">
        <v>581</v>
      </c>
      <c r="W28" s="4" t="s">
        <v>1740</v>
      </c>
      <c r="X28" s="337" t="str">
        <f>IF(ISBLANK('Private AI Ready Infrastructure'!D19),"Value Missing",'Private AI Ready Infrastructure'!D19)</f>
        <v>Value Missing</v>
      </c>
      <c r="Z28" s="22" t="s">
        <v>1741</v>
      </c>
      <c r="AA28" s="337" t="s">
        <v>269</v>
      </c>
      <c r="AC28" s="166" t="s">
        <v>261</v>
      </c>
      <c r="AD28" s="167" t="s">
        <v>1269</v>
      </c>
      <c r="AE28" s="167" t="s">
        <v>1573</v>
      </c>
    </row>
    <row r="29" spans="2:31" s="2" customFormat="1" ht="20.05" customHeight="1" x14ac:dyDescent="0.45">
      <c r="B29" s="4" t="s">
        <v>1742</v>
      </c>
      <c r="C29" s="337" t="str">
        <f>IF(ISBLANK(input_flt_vidb_vip_ip),"Value Missing",input_flt_vidb_vip_ip)</f>
        <v>Value Missing</v>
      </c>
      <c r="E29" s="336" t="s">
        <v>261</v>
      </c>
      <c r="F29" s="184" t="s">
        <v>19</v>
      </c>
      <c r="H29" s="4" t="s">
        <v>285</v>
      </c>
      <c r="I29" s="337" t="str">
        <f>IF(ISBLANK(input_cluster_az1_principal_storage_mask),"Value Missing",input_cluster_az1_principal_storage_mask)</f>
        <v>Value Missing</v>
      </c>
      <c r="K29" s="17" t="s">
        <v>1743</v>
      </c>
      <c r="L29" s="337" t="str">
        <f>IF(ISBLANK(input_sddc_mgr_admin_local_password),"Value Missing",input_sddc_mgr_admin_local_password)</f>
        <v>Value Missing</v>
      </c>
      <c r="N29" s="4" t="s">
        <v>1744</v>
      </c>
      <c r="O29" s="337"/>
      <c r="Q29" s="6"/>
      <c r="R29" s="6"/>
      <c r="T29" s="4" t="s">
        <v>1745</v>
      </c>
      <c r="U29" s="337" t="s">
        <v>1746</v>
      </c>
      <c r="V29" s="3"/>
      <c r="Z29" s="4" t="s">
        <v>1747</v>
      </c>
      <c r="AA29" s="337"/>
      <c r="AC29" s="4" t="s">
        <v>1623</v>
      </c>
      <c r="AD29" s="337" t="str">
        <f>'Value Reference Tables - MR'!I9</f>
        <v>Value Missing</v>
      </c>
      <c r="AE29" s="337" t="str">
        <f>'Value Reference Tables - MR'!I279</f>
        <v>Value Missing</v>
      </c>
    </row>
    <row r="30" spans="2:31" s="2" customFormat="1" ht="20.05" customHeight="1" x14ac:dyDescent="0.45">
      <c r="B30" s="4" t="s">
        <v>1748</v>
      </c>
      <c r="C30" s="337" t="str">
        <f>IF(ISBLANK(input_flt_vidb_nodea_ip),"Value Missing",input_flt_vidb_nodea_ip)</f>
        <v>Value Missing</v>
      </c>
      <c r="E30" s="4" t="s">
        <v>1657</v>
      </c>
      <c r="F30" s="337" t="str">
        <f>IF(wld_vc_fqdn="Value Missing",wld_vc_fqdn,LEFT(wld_vc_fqdn,FIND(".",wld_vc_fqdn)-1))</f>
        <v>Value Missing</v>
      </c>
      <c r="H30" s="4" t="s">
        <v>460</v>
      </c>
      <c r="I30" s="337" t="str">
        <f>IF(OR(cluster_az1_principal_storage_network="Value Missing",cluster_az1_principal_storage_mask="Value Missing"),"Value Missing",(CONCATENATE(cluster_az1_principal_storage_network,"/",VLOOKUP(cluster_az1_principal_storage_mask,table_mask_to_cidr,2,FALSE))))</f>
        <v>Value Missing</v>
      </c>
      <c r="K30" s="17" t="s">
        <v>1749</v>
      </c>
      <c r="L30" s="337" t="str">
        <f>IF(ISBLANK(input_svc_my_vmware_password),"Value Missing",input_svc_my_vmware_password)</f>
        <v>Value Missing</v>
      </c>
      <c r="N30" s="4" t="s">
        <v>1750</v>
      </c>
      <c r="O30" s="337" t="str">
        <f>IF(ISBLANK(input_mgmt_avilb_cluster_name),"Value Missing",input_mgmt_avilb_cluster_name)</f>
        <v>Value Missing</v>
      </c>
      <c r="Q30" s="579" t="s">
        <v>1751</v>
      </c>
      <c r="R30" s="580"/>
      <c r="T30" s="4" t="s">
        <v>1752</v>
      </c>
      <c r="U30" s="337">
        <v>5</v>
      </c>
      <c r="V30" s="3"/>
      <c r="W30" s="384" t="s">
        <v>1753</v>
      </c>
      <c r="X30" s="389"/>
      <c r="Z30" s="4" t="s">
        <v>1754</v>
      </c>
      <c r="AA30" s="337" t="s">
        <v>1755</v>
      </c>
    </row>
    <row r="31" spans="2:31" s="2" customFormat="1" ht="20.05" customHeight="1" x14ac:dyDescent="0.45">
      <c r="B31" s="4" t="s">
        <v>1756</v>
      </c>
      <c r="C31" s="337" t="str">
        <f>IF(ISBLANK(input_flt_vidb_nodeb_ip),"Value Missing",input_flt_vidb_nodeb_ip)</f>
        <v>Value Missing</v>
      </c>
      <c r="E31" s="4" t="s">
        <v>1665</v>
      </c>
      <c r="F31" s="337" t="str">
        <f>IF(wld_nsxt_vip_fqdn="Value Missing",wld_nsxt_vip_fqdn,LEFT(wld_nsxt_vip_fqdn,FIND(".",wld_nsxt_vip_fqdn)-1))</f>
        <v>Value Missing</v>
      </c>
      <c r="H31" s="4" t="s">
        <v>187</v>
      </c>
      <c r="I31" s="337" t="str">
        <f>IF(ISBLANK(input_cluster_az1_principal_storage_gateway_ip),"Value Missing",input_cluster_az1_principal_storage_gateway_ip)</f>
        <v>Value Missing</v>
      </c>
      <c r="K31" s="17" t="s">
        <v>1618</v>
      </c>
      <c r="L31" s="337" t="str">
        <f>IF(ISBLANK(input_ca_administrator_password),"Value Missing",input_ca_administrator_password)</f>
        <v>Value Missing</v>
      </c>
      <c r="N31" s="4" t="s">
        <v>1757</v>
      </c>
      <c r="O31" s="337" t="str">
        <f>IF(ISBLANK(input_mgmt_avilb_cluster_version),"Value Missing",input_mgmt_avilb_cluster_version)</f>
        <v>Value Missing</v>
      </c>
      <c r="Q31" s="361" t="s">
        <v>1758</v>
      </c>
      <c r="R31" s="337"/>
      <c r="T31" s="361" t="s">
        <v>1759</v>
      </c>
      <c r="U31" s="337"/>
      <c r="V31" s="3"/>
      <c r="W31" s="166" t="s">
        <v>261</v>
      </c>
      <c r="X31" s="167" t="s">
        <v>19</v>
      </c>
      <c r="Z31" s="4" t="s">
        <v>1760</v>
      </c>
      <c r="AA31" s="337"/>
      <c r="AC31" s="384" t="s">
        <v>1761</v>
      </c>
      <c r="AD31" s="389"/>
      <c r="AE31" s="389"/>
    </row>
    <row r="32" spans="2:31" s="2" customFormat="1" ht="20.05" customHeight="1" x14ac:dyDescent="0.45">
      <c r="B32" s="4" t="s">
        <v>1762</v>
      </c>
      <c r="C32" s="337" t="str">
        <f>IF(ISBLANK(input_flt_vidb_nodec_ip),"Value Missing",input_flt_vidb_nodec_ip)</f>
        <v>Value Missing</v>
      </c>
      <c r="E32" s="4" t="s">
        <v>1671</v>
      </c>
      <c r="F32" s="337" t="str">
        <f>IF(wld_nsxt_mgra_fqdn="Value Missing",wld_nsxt_mgra_fqdn,LEFT(wld_nsxt_mgra_fqdn,FIND(".",wld_nsxt_mgra_fqdn)-1))</f>
        <v>Value Missing</v>
      </c>
      <c r="H32" s="17" t="s">
        <v>255</v>
      </c>
      <c r="I32" s="337" t="str">
        <f>IF(ISBLANK(input_cluster_az1_principal_storage_pool_start_ip),"Value Missing",input_cluster_az1_principal_storage_pool_start_ip)</f>
        <v>Value Missing</v>
      </c>
      <c r="K32" s="17" t="s">
        <v>1763</v>
      </c>
      <c r="L32" s="337" t="str">
        <f>IF(ISBLANK(input_avilb_root_password),"Value Missing",input_avilb_root_password)</f>
        <v>Value Missing</v>
      </c>
      <c r="N32" s="4" t="s">
        <v>175</v>
      </c>
      <c r="O32" s="337" t="str">
        <f>IF(ISBLANK(input_mgmt_vpc_ext_ip_blocks),"Value Missing",input_mgmt_vpc_ext_ip_blocks)</f>
        <v>Value Missing</v>
      </c>
      <c r="Q32" s="6"/>
      <c r="R32" s="6"/>
      <c r="T32" s="361" t="s">
        <v>1764</v>
      </c>
      <c r="U32" s="337"/>
      <c r="V32" s="3"/>
      <c r="W32" s="4" t="s">
        <v>280</v>
      </c>
      <c r="X32" s="337" t="str">
        <f>IF(ISBLANK(input_mgmt_witnessaz_mgmt_vlan),"Value Missing",input_mgmt_witnessaz_mgmt_vlan)</f>
        <v>Value Missing</v>
      </c>
      <c r="Z32" s="4" t="s">
        <v>1765</v>
      </c>
      <c r="AA32" s="337"/>
      <c r="AC32" s="166" t="s">
        <v>261</v>
      </c>
      <c r="AD32" s="167" t="s">
        <v>1269</v>
      </c>
      <c r="AE32" s="167" t="s">
        <v>1573</v>
      </c>
    </row>
    <row r="33" spans="2:31" s="2" customFormat="1" ht="20.05" customHeight="1" x14ac:dyDescent="0.45">
      <c r="B33" s="4" t="s">
        <v>1766</v>
      </c>
      <c r="C33" s="337" t="str">
        <f>IF(ISBLANK(input_flt_vidb_noded_ip),"Value Missing",input_flt_vidb_noded_ip)</f>
        <v>Value Missing</v>
      </c>
      <c r="E33" s="4" t="s">
        <v>1678</v>
      </c>
      <c r="F33" s="337" t="str">
        <f>IF(wld_nsxt_mgrb_fqdn="Value Missing",wld_nsxt_mgrb_fqdn,LEFT(wld_nsxt_mgrb_fqdn,FIND(".",wld_nsxt_mgrb_fqdn)-1))</f>
        <v>Value Missing</v>
      </c>
      <c r="H33" s="17" t="s">
        <v>256</v>
      </c>
      <c r="I33" s="337" t="str">
        <f>IF(ISBLANK(input_cluster_az1_principal_storage_pool_end_ip),"Value Missing",input_cluster_az1_principal_storage_pool_end_ip)</f>
        <v>Value Missing</v>
      </c>
      <c r="K33" s="17" t="s">
        <v>1767</v>
      </c>
      <c r="L33" s="337" t="str">
        <f>IF(ISBLANK(input_svc_vcf_bck_password),"Value Missing",input_svc_vcf_bck_password)</f>
        <v>Value Missing</v>
      </c>
      <c r="N33" s="4" t="s">
        <v>178</v>
      </c>
      <c r="O33" s="337" t="str">
        <f>IF(ISBLANK(input_mgmt_vpc_transit_gateway_ip_blocks),"Value Missing",input_mgmt_vpc_transit_gateway_ip_blocks)</f>
        <v>Value Missing</v>
      </c>
      <c r="Q33" s="579" t="s">
        <v>1768</v>
      </c>
      <c r="R33" s="580"/>
      <c r="T33" s="361" t="s">
        <v>1769</v>
      </c>
      <c r="U33" s="337" t="str">
        <f>IF(mgmt_consolidated_result="Included",CONCATENATE(mgmt_cl01_cluster,".",child_dns_zone),CONCATENATE(wld_cl01_cluster,".",child_dns_zone))</f>
        <v>Value Missing.Value Missing</v>
      </c>
      <c r="V33" s="3"/>
      <c r="AC33" s="4" t="s">
        <v>1623</v>
      </c>
      <c r="AD33" s="337" t="s">
        <v>1770</v>
      </c>
      <c r="AE33" s="337" t="str">
        <f>wld_cl01_az1_vm_pg</f>
        <v>VM Network</v>
      </c>
    </row>
    <row r="34" spans="2:31" s="2" customFormat="1" ht="20.05" customHeight="1" x14ac:dyDescent="0.45">
      <c r="E34" s="4" t="s">
        <v>1683</v>
      </c>
      <c r="F34" s="337" t="str">
        <f>IF(wld_nsxt_mgrc_fqdn="Value Missing",wld_nsxt_mgrc_fqdn,LEFT(wld_nsxt_mgrc_fqdn,FIND(".",wld_nsxt_mgrc_fqdn)-1))</f>
        <v>Value Missing</v>
      </c>
      <c r="H34" s="532" t="s">
        <v>1771</v>
      </c>
      <c r="I34" s="534"/>
      <c r="K34" s="17" t="s">
        <v>1772</v>
      </c>
      <c r="L34" s="337" t="str">
        <f t="array" ref="L34">IF(ISBLANK(input_mgmt_witness_root_password),"Value Missing",input_mgmt_witness_root_password)</f>
        <v>Value Missing</v>
      </c>
      <c r="N34" s="4" t="s">
        <v>1773</v>
      </c>
      <c r="O34" s="337" t="str">
        <f>IF(ISBLANK(input_mgmt_sddc_domain),"Value Missing",CONCATENATE(input_mgmt_sddc_domain,"-fd-mgmt"))</f>
        <v>Value Missing</v>
      </c>
      <c r="Q34" s="361" t="s">
        <v>1774</v>
      </c>
      <c r="R34" s="337"/>
      <c r="T34" s="361" t="s">
        <v>1775</v>
      </c>
      <c r="U34" s="337" t="str">
        <f>IF(ISBLANK(input_k8s_kubectl_path),"Value Missing",input_k8s_kubectl_path)</f>
        <v>Value Missing</v>
      </c>
      <c r="V34" s="3"/>
      <c r="W34" s="384" t="s">
        <v>1776</v>
      </c>
      <c r="X34" s="389"/>
      <c r="Z34" s="579" t="s">
        <v>1777</v>
      </c>
      <c r="AA34" s="580"/>
    </row>
    <row r="35" spans="2:31" s="2" customFormat="1" ht="20.05" customHeight="1" x14ac:dyDescent="0.45">
      <c r="B35" s="587" t="s">
        <v>1778</v>
      </c>
      <c r="C35" s="587"/>
      <c r="E35" s="4" t="s">
        <v>1689</v>
      </c>
      <c r="F35" s="337" t="str">
        <f>IF(wld_nsxt_gm_vip_fqdn="Value Missing",wld_nsxt_gm_vip_fqdn,LEFT(wld_nsxt_gm_vip_fqdn,FIND(".",wld_nsxt_gm_vip_fqdn)-1))</f>
        <v>Value Missing</v>
      </c>
      <c r="H35" s="4" t="s">
        <v>85</v>
      </c>
      <c r="I35" s="337" t="str">
        <f>IF(ISBLANK(input_cluster_az1_secondary_storage_vlan),"Value Missing",input_cluster_az1_secondary_storage_vlan)</f>
        <v>Value Missing</v>
      </c>
      <c r="K35" s="17" t="s">
        <v>1779</v>
      </c>
      <c r="L35" s="337" t="str">
        <f>IF(ISBLANK(input_wld_witness_root_password),"Value Missing",input_wld_witness_root_password)</f>
        <v>Value Missing</v>
      </c>
      <c r="N35" s="4" t="s">
        <v>1780</v>
      </c>
      <c r="O35" s="337" t="str">
        <f>IF(ISBLANK(input_mgmt_sddc_domain),"Value Missing",CONCATENATE(input_mgmt_sddc_domain,"-fd-nsx"))</f>
        <v>Value Missing</v>
      </c>
      <c r="Q35" s="6"/>
      <c r="R35" s="6"/>
      <c r="T35" s="361" t="s">
        <v>1781</v>
      </c>
      <c r="U35" s="337"/>
      <c r="V35" s="3"/>
      <c r="W35" s="166" t="s">
        <v>261</v>
      </c>
      <c r="X35" s="167" t="s">
        <v>19</v>
      </c>
      <c r="Z35" s="166" t="s">
        <v>261</v>
      </c>
      <c r="AA35" s="167" t="s">
        <v>19</v>
      </c>
      <c r="AC35" s="384" t="s">
        <v>1782</v>
      </c>
      <c r="AD35" s="389"/>
      <c r="AE35" s="389"/>
    </row>
    <row r="36" spans="2:31" s="2" customFormat="1" ht="20.05" customHeight="1" x14ac:dyDescent="0.45">
      <c r="B36" s="336" t="s">
        <v>261</v>
      </c>
      <c r="C36" s="336" t="s">
        <v>19</v>
      </c>
      <c r="E36" s="4" t="s">
        <v>1695</v>
      </c>
      <c r="F36" s="337" t="str">
        <f>IF(wld_nsxt_global_mgra_fqdn="Value Missing",wld_nsxt_global_mgra_fqdn,LEFT(wld_nsxt_global_mgra_fqdn,FIND(".",wld_nsxt_global_mgra_fqdn)-1))</f>
        <v>Value Missing</v>
      </c>
      <c r="H36" s="4" t="s">
        <v>160</v>
      </c>
      <c r="I36" s="337" t="str">
        <f>IF(ISBLANK(input_cluster_az1_secondary_storage_mtu),"Value Missing",input_cluster_az1_secondary_storage_mtu)</f>
        <v>Value Missing</v>
      </c>
      <c r="K36" s="4" t="s">
        <v>1628</v>
      </c>
      <c r="L36" s="337"/>
      <c r="N36" s="4" t="s">
        <v>1783</v>
      </c>
      <c r="O36" s="337" t="str">
        <f>IF(ISBLANK(input_mgmt_sddc_domain),"Value Missing",CONCATENATE(input_mgmt_sddc_domain,"-fd-edge"))</f>
        <v>Value Missing</v>
      </c>
      <c r="Q36" s="584" t="s">
        <v>1784</v>
      </c>
      <c r="R36" s="585"/>
      <c r="T36" s="361" t="s">
        <v>1785</v>
      </c>
      <c r="U36" s="337"/>
      <c r="V36" s="3"/>
      <c r="W36" s="4" t="s">
        <v>280</v>
      </c>
      <c r="X36" s="337" t="str">
        <f>IF(ISBLANK(input_mgmt_witness_mgmt_pg),"Value Missing",input_mgmt_witness_mgmt_pg)</f>
        <v>Value Missing</v>
      </c>
      <c r="Z36" s="4" t="s">
        <v>1786</v>
      </c>
      <c r="AA36" s="337" t="str">
        <f>IF(ISBLANK(input_mgmt_az1_mgmt_cidr),"Value Missing",VLOOKUP(INT(RIGHT(input_mgmt_az1_mgmt_cidr,LEN(input_mgmt_az1_mgmt_cidr)-FIND("/",input_mgmt_az1_mgmt_cidr))),table_cidr_to_mask,2,FALSE))</f>
        <v>Value Missing</v>
      </c>
      <c r="AC36" s="166" t="s">
        <v>261</v>
      </c>
      <c r="AD36" s="167" t="s">
        <v>1269</v>
      </c>
      <c r="AE36" s="167" t="s">
        <v>1573</v>
      </c>
    </row>
    <row r="37" spans="2:31" s="2" customFormat="1" ht="20.05" customHeight="1" x14ac:dyDescent="0.45">
      <c r="B37" s="4" t="s">
        <v>1656</v>
      </c>
      <c r="C37" s="337" t="str">
        <f>IF(vcf_installer_fqdn="Value Missing",vcf_installer_fqdn,LEFT(vcf_installer_fqdn,FIND(".",vcf_installer_fqdn)-1))</f>
        <v>Value Missing</v>
      </c>
      <c r="E37" s="4" t="s">
        <v>1700</v>
      </c>
      <c r="F37" s="337" t="str">
        <f>IF(wld_nsxt_global_mgrb_fqdn="Value Missing",wld_nsxt_global_mgrb_fqdn,LEFT(wld_nsxt_global_mgrb_fqdn,FIND(".",wld_nsxt_global_mgrb_fqdn)-1))</f>
        <v>Value Missing</v>
      </c>
      <c r="H37" s="4" t="s">
        <v>252</v>
      </c>
      <c r="I37" s="337" t="str">
        <f>IF(ISBLANK(input_cluster_az1_secondary_storage_network),"Value Missing",input_cluster_az1_secondary_storage_network)</f>
        <v>Value Missing</v>
      </c>
      <c r="K37" s="4" t="s">
        <v>1787</v>
      </c>
      <c r="L37" s="337" t="str">
        <f>IF(ISBLANK(input_mgmt_internet_proxy_email),"Value Missing",input_mgmt_internet_proxy_email)</f>
        <v>Value Missing</v>
      </c>
      <c r="N37" s="4" t="s">
        <v>47</v>
      </c>
      <c r="O37" s="337" t="str">
        <f>IF(ISBLANK('Configure Management Domain'!D45),"Value Missing",'Configure Management Domain'!D45)</f>
        <v>Value Missing</v>
      </c>
      <c r="Q37" s="184" t="s">
        <v>261</v>
      </c>
      <c r="R37" s="184" t="s">
        <v>19</v>
      </c>
      <c r="T37" s="361" t="s">
        <v>1788</v>
      </c>
      <c r="U37" s="337"/>
      <c r="V37" s="3"/>
      <c r="Z37" s="4" t="s">
        <v>1789</v>
      </c>
      <c r="AA37" s="337" t="str">
        <f>IF(ISBLANK(input_wld_witnessaz_mgmt_cidr),"Value Missing",VLOOKUP(INT(RIGHT(input_wld_witnessaz_mgmt_cidr,LEN(input_wld_witnessaz_mgmt_cidr)-FIND("/",input_wld_witnessaz_mgmt_cidr))),table_cidr_to_mask,2,FALSE))</f>
        <v>Value Missing</v>
      </c>
      <c r="AC37" s="4" t="s">
        <v>1623</v>
      </c>
      <c r="AD37" s="337" t="str">
        <f>'Value Reference Tables - MR'!I24</f>
        <v>Value Missing</v>
      </c>
      <c r="AE37" s="337" t="str">
        <f>'Value Reference Tables - MR'!I294</f>
        <v>Value Missing</v>
      </c>
    </row>
    <row r="38" spans="2:31" s="2" customFormat="1" ht="20.05" customHeight="1" x14ac:dyDescent="0.45">
      <c r="B38" s="4" t="s">
        <v>1664</v>
      </c>
      <c r="C38" s="337" t="str">
        <f>IF(sddc_mgr_fqdn="Value Missing",sddc_mgr_fqdn,LEFT(sddc_mgr_fqdn,FIND(".",sddc_mgr_fqdn)-1))</f>
        <v>Value Missing</v>
      </c>
      <c r="E38" s="4" t="s">
        <v>1705</v>
      </c>
      <c r="F38" s="337" t="str">
        <f>IF(wld_nsxt_global_mgrc_fqdn="Value Missing",wld_nsxt_global_mgrc_fqdn,LEFT(wld_nsxt_global_mgrc_fqdn,FIND(".",wld_nsxt_global_mgrc_fqdn)-1))</f>
        <v>Value Missing</v>
      </c>
      <c r="H38" s="4" t="s">
        <v>285</v>
      </c>
      <c r="I38" s="337" t="str">
        <f>IF(ISBLANK(input_cluster_az1_secondary_storage_mask),"Value Missing",input_cluster_az1_secondary_storage_mask)</f>
        <v>Value Missing</v>
      </c>
      <c r="K38" s="4" t="s">
        <v>1790</v>
      </c>
      <c r="L38" s="337" t="str">
        <f>IF(ISBLANK(input_mgmt_internet_proxy_password),"Value Missing",input_mgmt_internet_proxy_password)</f>
        <v>Value Missing</v>
      </c>
      <c r="N38" s="4" t="s">
        <v>62</v>
      </c>
      <c r="O38" s="337" t="str">
        <f>IF(ISBLANK('Configure Management Domain'!D61),"Value Missing",'Configure Management Domain'!D61)</f>
        <v>Value Missing</v>
      </c>
      <c r="Q38" s="17" t="s">
        <v>1791</v>
      </c>
      <c r="R38" s="337" t="str">
        <f>IF(ISBLANK('Deploy Management Domain'!L315),"Value Missing",'Deploy Management Domain'!L315)</f>
        <v>Value Missing</v>
      </c>
      <c r="T38" s="361" t="s">
        <v>1792</v>
      </c>
      <c r="U38" s="337" t="str">
        <f>IF(ISBLANK(input_k8s_vm_class),"Value Missing",input_k8s_vm_class)</f>
        <v>Value Missing</v>
      </c>
      <c r="V38" s="3"/>
      <c r="W38" s="384" t="s">
        <v>1793</v>
      </c>
      <c r="X38" s="389"/>
      <c r="Z38" s="4" t="s">
        <v>1794</v>
      </c>
      <c r="AA38" s="337" t="str">
        <f>IF(ISBLANK(input_mgmt_az1_uplink01_cidr),"Value Missing",VLOOKUP(INT(RIGHT(input_mgmt_az1_uplink01_cidr,LEN(input_mgmt_az1_uplink01_cidr)-FIND("/",input_mgmt_az1_uplink01_cidr))),table_cidr_to_mask,2,FALSE))</f>
        <v>Value Missing</v>
      </c>
      <c r="AC38" s="4" t="s">
        <v>1280</v>
      </c>
    </row>
    <row r="39" spans="2:31" s="2" customFormat="1" ht="20.05" customHeight="1" x14ac:dyDescent="0.45">
      <c r="B39" s="4" t="s">
        <v>1657</v>
      </c>
      <c r="C39" s="337" t="str">
        <f>IF(mgmt_vc_fqdn="Value Missing",mgmt_vc_fqdn,LEFT(mgmt_vc_fqdn,FIND(".",mgmt_vc_fqdn)-1))</f>
        <v>Value Missing</v>
      </c>
      <c r="E39" s="4" t="s">
        <v>1710</v>
      </c>
      <c r="F39" s="337" t="str">
        <f>IF(wld_avilb_fqdn="Value Missing",wld_avilb_fqdn,LEFT(wld_avilb_fqdn,FIND(".",wld_avilb_fqdn)-1))</f>
        <v>Value Missing</v>
      </c>
      <c r="H39" s="4" t="s">
        <v>460</v>
      </c>
      <c r="I39" s="337" t="str">
        <f>IF(OR(cluster_az1_secondary_storage_network="Value Missing",cluster_az1_secondary_storage_mask="Value Missing"),"Value Missing",(CONCATENATE(cluster_az1_secondary_storage_network,"/",VLOOKUP(cluster_az1_secondary_storage_mask,table_mask_to_cidr,2,FALSE))))</f>
        <v>Value Missing</v>
      </c>
      <c r="K39" s="4" t="s">
        <v>1795</v>
      </c>
      <c r="L39" s="337" t="str">
        <f>IF(ISBLANK(input_xreg_vrops_collector_root_password),"Value Missing",input_xreg_vrops_collector_root_password)</f>
        <v>Value Missing</v>
      </c>
      <c r="N39" s="4" t="s">
        <v>56</v>
      </c>
      <c r="O39" s="337" t="str">
        <f>IF(ISBLANK('Configure Management Domain'!D58),"Value Missing",'Configure Management Domain'!D58)</f>
        <v>Value Missing</v>
      </c>
      <c r="Q39" s="17" t="s">
        <v>1796</v>
      </c>
      <c r="R39" s="337" t="str">
        <f>IF(ISBLANK('Deploy Management Domain'!L80),"Value Missing",'Deploy Management Domain'!L80)</f>
        <v>Value Missing</v>
      </c>
      <c r="T39" s="361" t="s">
        <v>608</v>
      </c>
      <c r="U39" s="337" t="str">
        <f>CONCATENATE(IF(ISBLANK(input_region_dns1_ip),"Value Missing",region_dns1_ip),",",IF(ISBLANK(input_region_dns2_ip),"Value Missing",region_dns2_ip))</f>
        <v>Value Missing,Value Missing</v>
      </c>
      <c r="W39" s="166" t="s">
        <v>261</v>
      </c>
      <c r="X39" s="167" t="s">
        <v>19</v>
      </c>
      <c r="Z39" s="4" t="s">
        <v>1797</v>
      </c>
      <c r="AA39" s="337" t="str">
        <f>IF(ISBLANK(input_mgmt_az1_uplink02_cidr),"Value Missing",VLOOKUP(INT(RIGHT(input_mgmt_az1_uplink02_cidr,LEN(input_mgmt_az1_uplink02_cidr)-FIND("/",input_mgmt_az1_uplink02_cidr))),table_cidr_to_mask,2,FALSE))</f>
        <v>Value Missing</v>
      </c>
    </row>
    <row r="40" spans="2:31" s="2" customFormat="1" ht="20.05" customHeight="1" x14ac:dyDescent="0.45">
      <c r="B40" s="4" t="s">
        <v>1665</v>
      </c>
      <c r="C40" s="337" t="str">
        <f>IF(mgmt_nsxt_vip_fqdn="Value Missing",mgmt_nsxt_vip_fqdn,LEFT(mgmt_nsxt_vip_fqdn,FIND(".",mgmt_nsxt_vip_fqdn)-1))</f>
        <v>Value Missing</v>
      </c>
      <c r="H40" s="4" t="s">
        <v>187</v>
      </c>
      <c r="I40" s="337" t="str">
        <f>IF(ISBLANK(input_cluster_az1_secondary_storage_gateway_ip),"Value Missing",input_cluster_az1_secondary_storage_gateway_ip)</f>
        <v>Value Missing</v>
      </c>
      <c r="K40" s="4" t="s">
        <v>1798</v>
      </c>
      <c r="L40" s="337" t="str">
        <f>IF(ISBLANK(input_wld_esx_root_username),"Value Missing",input_wld_esx_root_username)</f>
        <v>Value Missing</v>
      </c>
      <c r="N40" s="4" t="s">
        <v>70</v>
      </c>
      <c r="O40" s="337" t="str">
        <f>IF(ISBLANK('Configure Management Domain'!D65),"Value Missing",'Configure Management Domain'!D65)</f>
        <v>Value Missing</v>
      </c>
      <c r="Q40" s="17" t="s">
        <v>1799</v>
      </c>
      <c r="R40" s="337" t="str">
        <f>IF(ISBLANK('Deploy Management Domain'!L81),"Value Missing",'Deploy Management Domain'!L81)</f>
        <v>Value Missing</v>
      </c>
      <c r="T40" s="361" t="s">
        <v>299</v>
      </c>
      <c r="U40" s="337" t="str">
        <f>IF(AND((NOT(ISBLANK(region_ntp2_server))),(region_ntp2_server &lt;&gt; "n/a"),(region_ntp2_server &lt;&gt; "")),CONCATENATE(region_ntp1_server,",",region_ntp2_server),region_ntp1_server)</f>
        <v>Value Missing,Value Missing</v>
      </c>
      <c r="W40" s="4" t="s">
        <v>280</v>
      </c>
      <c r="X40" s="337" t="str">
        <f>IF(ISBLANK(input_mgmt_witnessaz_mgmt_cidr),"Value Missing",input_mgmt_witnessaz_mgmt_cidr)</f>
        <v>Value Missing</v>
      </c>
      <c r="Z40" s="4" t="s">
        <v>1800</v>
      </c>
      <c r="AA40" s="337"/>
      <c r="AC40" s="384" t="s">
        <v>1801</v>
      </c>
      <c r="AD40" s="389"/>
      <c r="AE40" s="389"/>
    </row>
    <row r="41" spans="2:31" s="2" customFormat="1" ht="20.05" customHeight="1" x14ac:dyDescent="0.45">
      <c r="B41" s="4" t="s">
        <v>1671</v>
      </c>
      <c r="C41" s="337" t="str">
        <f>IF(mgmt_nsxt_mgra_fqdn="Value Missing",mgmt_nsxt_mgra_fqdn,LEFT(mgmt_nsxt_mgra_fqdn,FIND(".",mgmt_nsxt_mgra_fqdn)-1))</f>
        <v>Value Missing</v>
      </c>
      <c r="E41" s="582" t="s">
        <v>1802</v>
      </c>
      <c r="F41" s="586"/>
      <c r="H41" s="17" t="s">
        <v>255</v>
      </c>
      <c r="I41" s="337" t="str">
        <f>IF(ISBLANK(input_cluster_az1_secondary_storage_pool_start_ip),"Value Missing",input_cluster_az1_secondary_storage_pool_start_ip)</f>
        <v>Value Missing</v>
      </c>
      <c r="N41" s="4" t="s">
        <v>1747</v>
      </c>
      <c r="O41" s="337" t="str">
        <f>IF(ISBLANK(input_ca_email_address),"Value Missing",input_ca_email_address)</f>
        <v>Value Missing</v>
      </c>
      <c r="Q41" s="17" t="s">
        <v>1803</v>
      </c>
      <c r="R41" s="337" t="str">
        <f>IF(ISBLANK('Deploy Management Domain'!L82),"Value Missing",'Deploy Management Domain'!L82)</f>
        <v>Value Missing</v>
      </c>
      <c r="V41" s="3"/>
      <c r="Z41" s="4" t="s">
        <v>1804</v>
      </c>
      <c r="AA41" s="337"/>
      <c r="AC41" s="166" t="s">
        <v>261</v>
      </c>
      <c r="AD41" s="167" t="s">
        <v>1269</v>
      </c>
      <c r="AE41" s="167" t="s">
        <v>1573</v>
      </c>
    </row>
    <row r="42" spans="2:31" s="2" customFormat="1" ht="20.05" customHeight="1" x14ac:dyDescent="0.45">
      <c r="B42" s="4" t="s">
        <v>1678</v>
      </c>
      <c r="C42" s="337" t="str">
        <f>IF(mgmt_nsxt_mgrb_fqdn="Value Missing",mgmt_nsxt_mgrb_fqdn,LEFT(mgmt_nsxt_mgrb_fqdn,FIND(".",mgmt_nsxt_mgrb_fqdn)-1))</f>
        <v>Value Missing</v>
      </c>
      <c r="E42" s="336" t="s">
        <v>261</v>
      </c>
      <c r="F42" s="184" t="s">
        <v>19</v>
      </c>
      <c r="H42" s="17" t="s">
        <v>256</v>
      </c>
      <c r="I42" s="337" t="str">
        <f>IF(ISBLANK(input_cluster_az1_secondary_storage_pool_end_ip),"Value Missing",input_cluster_az1_secondary_storage_pool_end_ip)</f>
        <v>Value Missing</v>
      </c>
      <c r="K42" s="387" t="s">
        <v>1805</v>
      </c>
      <c r="L42" s="387"/>
      <c r="N42" s="4" t="s">
        <v>66</v>
      </c>
      <c r="O42" s="337" t="str">
        <f>IF(ISBLANK('Configure Management Domain'!D63),"Value Missing",'Configure Management Domain'!D63)</f>
        <v>Value Missing</v>
      </c>
      <c r="Q42" s="17" t="s">
        <v>1806</v>
      </c>
      <c r="R42" s="337" t="str">
        <f>IF(ISBLANK('Deploy Management Domain'!L83),"Value Missing",'Deploy Management Domain'!L83)</f>
        <v>Value Missing</v>
      </c>
      <c r="T42" s="579" t="s">
        <v>1807</v>
      </c>
      <c r="U42" s="581"/>
      <c r="V42" s="3"/>
      <c r="W42" s="384" t="s">
        <v>1808</v>
      </c>
      <c r="X42" s="389"/>
      <c r="Z42" s="4" t="s">
        <v>1809</v>
      </c>
      <c r="AA42" s="337" t="str">
        <f>IF(ISBLANK(input_wld_az1_mgmt_cidr),"Value Missing",VLOOKUP(INT(RIGHT(input_wld_az1_mgmt_cidr,LEN(input_wld_az1_mgmt_cidr)-FIND("/",input_wld_az1_mgmt_cidr))),table_cidr_to_mask,2,FALSE))</f>
        <v>Value Missing</v>
      </c>
      <c r="AC42" s="4" t="s">
        <v>1623</v>
      </c>
      <c r="AD42" s="337" t="str">
        <f>'Value Reference Tables - MR'!I86</f>
        <v>Value Missing</v>
      </c>
      <c r="AE42" s="337" t="str">
        <f>'Value Reference Tables - MR'!I339</f>
        <v>Value Missing</v>
      </c>
    </row>
    <row r="43" spans="2:31" s="2" customFormat="1" ht="20.05" customHeight="1" x14ac:dyDescent="0.45">
      <c r="B43" s="4" t="s">
        <v>1683</v>
      </c>
      <c r="C43" s="337" t="str">
        <f>IF(mgmt_nsxt_mgrc_fqdn="Value Missing",mgmt_nsxt_mgrc_fqdn,LEFT(mgmt_nsxt_mgrc_fqdn,FIND(".",mgmt_nsxt_mgrc_fqdn)-1))</f>
        <v>Value Missing</v>
      </c>
      <c r="E43" s="4" t="s">
        <v>1657</v>
      </c>
      <c r="F43" s="337" t="str">
        <f>IF(ISBLANK(input_wld_vc_fqdn),"Value Missing",input_wld_vc_fqdn)</f>
        <v>Value Missing</v>
      </c>
      <c r="H43" s="532" t="s">
        <v>805</v>
      </c>
      <c r="I43" s="534"/>
      <c r="K43" s="166" t="s">
        <v>261</v>
      </c>
      <c r="L43" s="167" t="s">
        <v>19</v>
      </c>
      <c r="N43" s="4" t="s">
        <v>58</v>
      </c>
      <c r="O43" s="337" t="str">
        <f>IF(ISBLANK('Configure Management Domain'!D60),"Value Missing",'Configure Management Domain'!D60)</f>
        <v>Value Missing</v>
      </c>
      <c r="Q43" s="17" t="s">
        <v>629</v>
      </c>
      <c r="R43" s="337" t="str">
        <f>xreg_vra_k8s_cluster_cidr_chosen</f>
        <v>198.18.0.0/15</v>
      </c>
      <c r="T43" s="166" t="s">
        <v>261</v>
      </c>
      <c r="U43" s="167" t="s">
        <v>19</v>
      </c>
      <c r="V43" s="3"/>
      <c r="W43" s="166" t="s">
        <v>261</v>
      </c>
      <c r="X43" s="167" t="s">
        <v>19</v>
      </c>
      <c r="Z43" s="4" t="s">
        <v>1810</v>
      </c>
      <c r="AA43" s="337" t="str">
        <f>IF(ISBLANK(input_wld_witnessaz_mgmt_cidr),"Value Missing",VLOOKUP(INT(RIGHT(input_wld_witnessaz_mgmt_cidr,LEN(input_wld_witnessaz_mgmt_cidr)-FIND("/",input_wld_witnessaz_mgmt_cidr))),table_cidr_to_mask,2,FALSE))</f>
        <v>Value Missing</v>
      </c>
      <c r="AC43" s="4" t="s">
        <v>1280</v>
      </c>
      <c r="AE43" s="337" t="str">
        <f>IF(input_wld_az2_host_overlay_gateway_ip="DHCP","",IF(ISBLANK('Configure Workload Domain'!D217),"Value Missing",'Configure Workload Domain'!D217))</f>
        <v>Value Missing</v>
      </c>
    </row>
    <row r="44" spans="2:31" s="2" customFormat="1" ht="20.05" customHeight="1" x14ac:dyDescent="0.45">
      <c r="B44" s="4" t="s">
        <v>1689</v>
      </c>
      <c r="C44" s="337" t="str">
        <f>IF(mgmt_nsxt_gm_vip_fqdn="Value Missing",mgmt_nsxt_gm_vip_fqdn,LEFT(mgmt_nsxt_gm_vip_fqdn,FIND(".",mgmt_nsxt_gm_vip_fqdn)-1))</f>
        <v>Value Missing</v>
      </c>
      <c r="E44" s="4" t="s">
        <v>1665</v>
      </c>
      <c r="F44" s="337" t="str">
        <f>IF(ISBLANK(input_wld_nsxt_vip_fqdn),"Value Missing",input_wld_nsxt_vip_fqdn)</f>
        <v>Value Missing</v>
      </c>
      <c r="H44" s="4" t="s">
        <v>85</v>
      </c>
      <c r="I44" s="337" t="str">
        <f>IF(ISBLANK(input_cluster_az1_storage_cluster_vlan),"Value Missing",input_cluster_az1_storage_cluster_vlan)</f>
        <v>Value Missing</v>
      </c>
      <c r="K44" s="4" t="s">
        <v>1811</v>
      </c>
      <c r="L44" s="337" t="str">
        <f>IF(ISBLANK(input_region_ntp1_server),"Value Missing",input_region_ntp1_server)</f>
        <v>Value Missing</v>
      </c>
      <c r="N44" s="4" t="s">
        <v>1812</v>
      </c>
      <c r="O44" s="337" t="str">
        <f>IF(ISBLANK('Configure Management Domain'!D59),"Value Missing",'Configure Management Domain'!D59)</f>
        <v>Value Missing</v>
      </c>
      <c r="T44" s="361" t="s">
        <v>1813</v>
      </c>
      <c r="U44" s="337" t="str">
        <f>IF(ISBLANK(input_air_license),"Value Missing",input_air_license)</f>
        <v>Value Missing</v>
      </c>
      <c r="V44" s="3"/>
      <c r="W44" s="4" t="s">
        <v>280</v>
      </c>
      <c r="X44" s="337" t="str">
        <f>IF(ISBLANK(input_mgmt_witnessaz_mgmt_gateway_ip),"Value Missing",input_mgmt_witnessaz_mgmt_gateway_ip)</f>
        <v>Value Missing</v>
      </c>
      <c r="Z44" s="4" t="s">
        <v>1814</v>
      </c>
      <c r="AA44" s="337"/>
    </row>
    <row r="45" spans="2:31" s="2" customFormat="1" ht="20.05" customHeight="1" x14ac:dyDescent="0.45">
      <c r="B45" s="4" t="s">
        <v>1695</v>
      </c>
      <c r="C45" s="337" t="str">
        <f>IF(mgmt_nsxt_global_mgra_fqdn="Value Missing",mgmt_nsxt_global_mgra_fqdn,LEFT(mgmt_nsxt_global_mgra_fqdn,FIND(".",mgmt_nsxt_global_mgra_fqdn)-1))</f>
        <v>Value Missing</v>
      </c>
      <c r="E45" s="4" t="s">
        <v>1671</v>
      </c>
      <c r="F45" s="337" t="str">
        <f>IF(ISBLANK(input_wld_nsxt_mgra_fqdn),"Value Missing",input_wld_nsxt_mgra_fqdn)</f>
        <v>Value Missing</v>
      </c>
      <c r="H45" s="4" t="s">
        <v>160</v>
      </c>
      <c r="I45" s="337" t="str">
        <f>IF(ISBLANK(input_cluster_az1_storage_cluster_mtu),"Value Missing",input_cluster_az1_storage_cluster_mtu)</f>
        <v>Value Missing</v>
      </c>
      <c r="K45" s="4" t="s">
        <v>1815</v>
      </c>
      <c r="L45" s="337" t="str">
        <f>IF(ISBLANK(input_region_ntp2_server),"Value Missing",input_region_ntp2_server)</f>
        <v>Value Missing</v>
      </c>
      <c r="N45" s="4" t="s">
        <v>64</v>
      </c>
      <c r="O45" s="337" t="str">
        <f>IF(ISBLANK('Configure Management Domain'!D62),"Value Missing",'Configure Management Domain'!D62)</f>
        <v>Value Missing</v>
      </c>
      <c r="T45" s="4" t="s">
        <v>1816</v>
      </c>
      <c r="U45" s="337" t="str">
        <f>IF(ISBLANK(input_air_GPU_VM_class),"Value Missing",input_air_GPU_VM_class)</f>
        <v>Value Missing</v>
      </c>
      <c r="V45" s="3"/>
      <c r="Z45" s="4" t="s">
        <v>1817</v>
      </c>
      <c r="AA45" s="337"/>
      <c r="AC45" s="384" t="s">
        <v>1818</v>
      </c>
      <c r="AD45" s="389"/>
      <c r="AE45" s="389"/>
    </row>
    <row r="46" spans="2:31" s="2" customFormat="1" ht="20.05" customHeight="1" x14ac:dyDescent="0.45">
      <c r="B46" s="4" t="s">
        <v>1700</v>
      </c>
      <c r="C46" s="337" t="str">
        <f>IF(mgmt_nsxt_global_mgrb_fqdn="Value Missing",mgmt_nsxt_global_mgrb_fqdn,LEFT(mgmt_nsxt_global_mgrb_fqdn,FIND(".",mgmt_nsxt_global_mgrb_fqdn)-1))</f>
        <v>Value Missing</v>
      </c>
      <c r="E46" s="4" t="s">
        <v>1678</v>
      </c>
      <c r="F46" s="337" t="str">
        <f>IF(ISBLANK(input_wld_nsxt_mgrb_fqdn),"Value Missing",input_wld_nsxt_mgrb_fqdn)</f>
        <v>Value Missing</v>
      </c>
      <c r="H46" s="4" t="s">
        <v>252</v>
      </c>
      <c r="I46" s="337" t="str">
        <f>IF(ISBLANK(input_cluster_az1_storage_cluster_network),"Value Missing",input_cluster_az1_storage_cluster_network)</f>
        <v>Value Missing</v>
      </c>
      <c r="K46" s="4" t="s">
        <v>1819</v>
      </c>
      <c r="L46" s="337"/>
      <c r="N46" s="4" t="s">
        <v>24</v>
      </c>
      <c r="O46" s="337" t="str">
        <f>IF(ISBLANK('Configure Management Domain'!D22),"Value Missing",'Configure Management Domain'!D22)</f>
        <v>Value Missing</v>
      </c>
      <c r="Q46" s="584" t="s">
        <v>1820</v>
      </c>
      <c r="R46" s="585"/>
      <c r="T46" s="17" t="s">
        <v>1821</v>
      </c>
      <c r="U46" s="337" t="str">
        <f>IF(ISBLANK(input_air_GPU_operator_namespace),"Value Missing",input_air_GPU_operator_namespace)</f>
        <v>Value Missing</v>
      </c>
      <c r="V46" s="3"/>
      <c r="W46" s="384" t="s">
        <v>1822</v>
      </c>
      <c r="X46" s="389"/>
      <c r="Z46" s="4" t="s">
        <v>1823</v>
      </c>
      <c r="AA46" s="337" t="str">
        <f>IF(ISBLANK(input_wld_az1_uplink01_cidr),"Value Missing",VLOOKUP(INT(RIGHT(input_wld_az1_uplink01_cidr,LEN(input_wld_az1_uplink01_cidr)-FIND("/",input_wld_az1_uplink01_cidr))),table_cidr_to_mask,2,FALSE))</f>
        <v>Value Missing</v>
      </c>
      <c r="AC46" s="166" t="s">
        <v>261</v>
      </c>
      <c r="AD46" s="167" t="s">
        <v>1269</v>
      </c>
      <c r="AE46" s="167" t="s">
        <v>1573</v>
      </c>
    </row>
    <row r="47" spans="2:31" s="2" customFormat="1" ht="20.05" customHeight="1" x14ac:dyDescent="0.45">
      <c r="B47" s="4" t="s">
        <v>1705</v>
      </c>
      <c r="C47" s="337" t="str">
        <f>IF(mgmt_nsxt_global_mgrc_fqdn="Value Missing",mgmt_nsxt_global_mgrc_fqdn,LEFT(mgmt_nsxt_global_mgrc_fqdn,FIND(".",mgmt_nsxt_global_mgrc_fqdn)-1))</f>
        <v>Value Missing</v>
      </c>
      <c r="E47" s="4" t="s">
        <v>1683</v>
      </c>
      <c r="F47" s="337" t="str">
        <f>IF(ISBLANK(input_wld_nsxt_mgrc_fqdn),"Value Missing",input_wld_nsxt_mgrc_fqdn)</f>
        <v>Value Missing</v>
      </c>
      <c r="H47" s="4" t="s">
        <v>285</v>
      </c>
      <c r="I47" s="337" t="str">
        <f>IF(ISBLANK(input_cluster_az1_storage_cluster_mask),"Value Missing",input_cluster_az1_storage_cluster_mask)</f>
        <v>Value Missing</v>
      </c>
      <c r="K47" s="4" t="s">
        <v>1824</v>
      </c>
      <c r="L47" s="337" t="str">
        <f>IF(ISBLANK(input_xregion_ntp1_server),"Value Missing",input_xregion_ntp1_server)</f>
        <v>Value Missing</v>
      </c>
      <c r="N47" s="4" t="s">
        <v>1279</v>
      </c>
      <c r="O47" s="337" t="str">
        <f>IF(ISBLANK('Configure Management Domain'!D23),"Value Missing",'Configure Management Domain'!D23)</f>
        <v>Value Missing</v>
      </c>
      <c r="Q47" s="184" t="s">
        <v>261</v>
      </c>
      <c r="R47" s="184" t="s">
        <v>19</v>
      </c>
      <c r="T47" s="4" t="s">
        <v>1825</v>
      </c>
      <c r="U47" s="337" t="str">
        <f>IF(ISBLANK(input_air_GPU_network_operator_namespace),"Value Missing",input_air_GPU_network_operator_namespace)</f>
        <v>Value Missing</v>
      </c>
      <c r="V47" s="3"/>
      <c r="W47" s="166" t="s">
        <v>261</v>
      </c>
      <c r="X47" s="167" t="s">
        <v>19</v>
      </c>
      <c r="Z47" s="4" t="s">
        <v>1826</v>
      </c>
      <c r="AA47" s="337" t="str">
        <f>IF(ISBLANK(input_wld_az1_uplink02_cidr),"Value Missing",VLOOKUP(INT(RIGHT(input_wld_az1_uplink02_cidr,LEN(input_wld_az1_uplink02_cidr)-FIND("/",input_wld_az1_uplink02_cidr))),table_cidr_to_mask,2,FALSE))</f>
        <v>Value Missing</v>
      </c>
      <c r="AC47" s="4" t="s">
        <v>1623</v>
      </c>
      <c r="AD47" s="337" t="str">
        <f>'Value Reference Tables - MR'!I70</f>
        <v>Value Missing</v>
      </c>
      <c r="AE47" s="337" t="str">
        <f>'Value Reference Tables - MR'!I354</f>
        <v>Value Missing</v>
      </c>
    </row>
    <row r="48" spans="2:31" s="2" customFormat="1" ht="20.05" customHeight="1" x14ac:dyDescent="0.45">
      <c r="B48" s="4" t="s">
        <v>1710</v>
      </c>
      <c r="C48" s="337" t="str">
        <f>IF(mgmt_avilb_fqdn="Value Missing",mgmt_avilb_fqdn,LEFT(mgmt_avilb_fqdn,FIND(".",mgmt_avilb_fqdn)-1))</f>
        <v>Value Missing</v>
      </c>
      <c r="E48" s="4" t="s">
        <v>1689</v>
      </c>
      <c r="F48" s="337" t="str">
        <f>IF(ISBLANK(input_wld_nsxt_gm_vip_fqdn),"Value Missing",input_wld_nsxt_gm_vip_fqdn)</f>
        <v>Value Missing</v>
      </c>
      <c r="H48" s="4" t="s">
        <v>460</v>
      </c>
      <c r="I48" s="337" t="str">
        <f>IF(OR(cluster_az1_storage_cluster_network="Value Missing",cluster_az1_storage_cluster_mask="Value Missing"),"Value Missing",(CONCATENATE(cluster_az1_storage_cluster_network,"/",VLOOKUP(cluster_az1_storage_cluster_mask,table_mask_to_cidr,2,FALSE))))</f>
        <v>Value Missing</v>
      </c>
      <c r="K48" s="4" t="s">
        <v>1827</v>
      </c>
      <c r="L48" s="337" t="str">
        <f>IF(AND((OR((spr_chosen="Management Only"),(spr_chosen="Management &amp; VI Workload"))),(ISBLANK(input_xregion_ntp2_server))),"Value Missing",IF(ISBLANK(input_xregion_ntp2_server),"",input_xregion_ntp2_server))</f>
        <v/>
      </c>
      <c r="N48" s="4" t="s">
        <v>1828</v>
      </c>
      <c r="O48" s="337" t="str">
        <f>IF(ISBLANK('Configure Management Domain'!D24),"Value Missing",'Configure Management Domain'!D24)</f>
        <v>Value Missing</v>
      </c>
      <c r="Q48" s="17" t="s">
        <v>1791</v>
      </c>
      <c r="R48" s="337" t="str">
        <f>IF(xreg_vra_virtual_fqdn="Value Missing",xreg_vra_virtual_fqdn,LEFT(xreg_vra_virtual_fqdn,FIND(".",xreg_vra_virtual_fqdn)-1))</f>
        <v>Value Missing</v>
      </c>
      <c r="V48" s="3"/>
      <c r="W48" s="4" t="s">
        <v>280</v>
      </c>
      <c r="X48" s="337" t="str">
        <f>IF(ISBLANK(input_mgmt_witnessaz_mgmt_mtu),"Value Missing",input_mgmt_witnessaz_mgmt_mtu)</f>
        <v>Value Missing</v>
      </c>
      <c r="Z48" s="4" t="s">
        <v>1740</v>
      </c>
      <c r="AA48" s="337"/>
    </row>
    <row r="49" spans="2:27" s="2" customFormat="1" ht="20.05" customHeight="1" x14ac:dyDescent="0.45">
      <c r="B49" s="4" t="s">
        <v>1829</v>
      </c>
      <c r="C49" s="337" t="str">
        <f>IF(flt_vidb_vip_fqdn="Value Missing",flt_vidb_vip_fqdn,LEFT(flt_vidb_vip_fqdn,FIND(".",flt_vidb_vip_fqdn)-1))</f>
        <v>Value Missing</v>
      </c>
      <c r="E49" s="4" t="s">
        <v>1695</v>
      </c>
      <c r="F49" s="337" t="str">
        <f>IF(ISBLANK(input_wld_nsxt_global_mgra_fqdn),"Value Missing",input_wld_nsxt_global_mgra_fqdn)</f>
        <v>Value Missing</v>
      </c>
      <c r="H49" s="4" t="s">
        <v>187</v>
      </c>
      <c r="I49" s="337" t="str">
        <f>IF(ISBLANK(input_cluster_az1_storage_cluster_gateway_ip),"Value Missing",input_cluster_az1_storage_cluster_gateway_ip)</f>
        <v>Value Missing</v>
      </c>
      <c r="K49" s="4" t="s">
        <v>1830</v>
      </c>
      <c r="L49" s="337" t="str">
        <f>IF(ISBLANK('Configure Management Domain'!D326),"Value Missing",'Configure Management Domain'!D326)</f>
        <v>Value Missing</v>
      </c>
      <c r="N49" s="4" t="s">
        <v>31</v>
      </c>
      <c r="O49" s="337" t="str">
        <f>IF(ISBLANK('Configure Management Domain'!D26),"Value Missing",'Configure Management Domain'!D26)</f>
        <v>Value Missing</v>
      </c>
      <c r="V49" s="3"/>
      <c r="Z49" s="4" t="s">
        <v>1831</v>
      </c>
      <c r="AA49" s="337"/>
    </row>
    <row r="50" spans="2:27" s="2" customFormat="1" ht="20.05" customHeight="1" x14ac:dyDescent="0.45">
      <c r="E50" s="4" t="s">
        <v>1700</v>
      </c>
      <c r="F50" s="337" t="str">
        <f t="array" ref="F50">IF(ISBLANK(input_wld_nsxt_global_mgrb_fqdn),"Value Missing",input_wld_nsxt_global_mgrb_fqdn)</f>
        <v>Value Missing</v>
      </c>
      <c r="H50" s="17" t="s">
        <v>255</v>
      </c>
      <c r="I50" s="337" t="str">
        <f>IF(ISBLANK(input_cluster_az1_storage_cluster_pool_start_ip),"Value Missing",input_cluster_az1_storage_cluster_pool_start_ip)</f>
        <v>Value Missing</v>
      </c>
      <c r="K50" s="4" t="s">
        <v>1830</v>
      </c>
      <c r="L50" s="337" t="str">
        <f>IF(ISBLANK('Configure Management Domain'!D327),"Value Missing",'Configure Management Domain'!D327)</f>
        <v>Value Missing</v>
      </c>
      <c r="N50" s="4" t="s">
        <v>1832</v>
      </c>
      <c r="O50" s="337" t="str">
        <f>IF(ISBLANK('Configure Management Domain'!D27),"Value Missing",'Configure Management Domain'!D27)</f>
        <v>Value Missing</v>
      </c>
      <c r="Q50" s="584" t="s">
        <v>1833</v>
      </c>
      <c r="R50" s="585"/>
      <c r="T50" s="579" t="s">
        <v>1834</v>
      </c>
      <c r="U50" s="581"/>
      <c r="V50" s="3"/>
      <c r="W50" s="384" t="s">
        <v>1835</v>
      </c>
      <c r="X50" s="389"/>
      <c r="Z50" s="4" t="s">
        <v>1836</v>
      </c>
      <c r="AA50" s="337" t="str">
        <f>IF(ISBLANK(input_wld_az1_vrms_cidr),"Value Missing",VLOOKUP(INT(RIGHT(input_wld_az1_vrms_cidr,LEN(input_wld_az1_vrms_cidr)-FIND("/",input_wld_az1_vrms_cidr))),table_cidr_to_mask,2,FALSE))</f>
        <v>Value Missing</v>
      </c>
    </row>
    <row r="51" spans="2:27" s="2" customFormat="1" ht="20.05" customHeight="1" x14ac:dyDescent="0.45">
      <c r="B51" s="385" t="s">
        <v>1837</v>
      </c>
      <c r="C51" s="386"/>
      <c r="E51" s="4" t="s">
        <v>1705</v>
      </c>
      <c r="F51" s="337" t="str">
        <f>IF(ISBLANK(input_wld_nsxt_global_mgrc_fqdn),"Value Missing",input_wld_nsxt_global_mgrc_fqdn)</f>
        <v>Value Missing</v>
      </c>
      <c r="H51" s="17" t="s">
        <v>256</v>
      </c>
      <c r="I51" s="337" t="str">
        <f>IF(ISBLANK(input_cluster_az1_storage_cluster_pool_end_ip),"Value Missing",input_cluster_az1_storage_cluster_pool_end_ip)</f>
        <v>Value Missing</v>
      </c>
      <c r="K51" s="4" t="s">
        <v>1838</v>
      </c>
      <c r="L51" s="337" t="str">
        <f>IF(ISBLANK(input_region_dns1_ip),"Value Missing",input_region_dns1_ip)</f>
        <v>Value Missing</v>
      </c>
      <c r="N51" s="4" t="s">
        <v>35</v>
      </c>
      <c r="O51" s="337" t="str">
        <f>IF(ISBLANK('Configure Management Domain'!D28),"Value Missing",'Configure Management Domain'!D28)</f>
        <v>Value Missing</v>
      </c>
      <c r="Q51" s="184" t="s">
        <v>261</v>
      </c>
      <c r="R51" s="184" t="s">
        <v>19</v>
      </c>
      <c r="T51" s="166" t="s">
        <v>261</v>
      </c>
      <c r="U51" s="167" t="s">
        <v>19</v>
      </c>
      <c r="W51" s="166" t="s">
        <v>261</v>
      </c>
      <c r="X51" s="167" t="s">
        <v>19</v>
      </c>
      <c r="Z51" s="4" t="s">
        <v>1839</v>
      </c>
    </row>
    <row r="52" spans="2:27" s="2" customFormat="1" ht="20.05" customHeight="1" x14ac:dyDescent="0.45">
      <c r="B52" s="336" t="s">
        <v>261</v>
      </c>
      <c r="C52" s="336" t="s">
        <v>19</v>
      </c>
      <c r="E52" s="4" t="s">
        <v>1840</v>
      </c>
      <c r="F52" s="337" t="str">
        <f>IF(ISBLANK(input_wld_az1_en1_fqdn),"Value Missing",input_wld_az1_en1_fqdn)</f>
        <v>Value Missing</v>
      </c>
      <c r="H52" s="532" t="s">
        <v>1841</v>
      </c>
      <c r="I52" s="534"/>
      <c r="K52" s="4" t="s">
        <v>1842</v>
      </c>
      <c r="L52" s="337" t="str">
        <f>IF(ISBLANK(input_region_dns2_ip),"Value Missing",input_region_dns2_ip)</f>
        <v>Value Missing</v>
      </c>
      <c r="N52" s="17" t="s">
        <v>1843</v>
      </c>
      <c r="O52" s="337" t="s">
        <v>1844</v>
      </c>
      <c r="Q52" s="17" t="s">
        <v>1791</v>
      </c>
      <c r="R52" s="337" t="str">
        <f>IF(ISBLANK(input_xreg_vra_virtual_fqdn),"Value Missing",input_xreg_vra_virtual_fqdn)</f>
        <v>Value Missing</v>
      </c>
      <c r="T52" s="4" t="s">
        <v>1845</v>
      </c>
      <c r="U52" s="337" t="str">
        <f>IF(ISBLANK(input_mgmt_srm_recovery_sddc_manager_fqdn),"Value Missing",input_mgmt_srm_recovery_sddc_manager_fqdn)</f>
        <v>Value Missing</v>
      </c>
      <c r="W52" s="4" t="s">
        <v>280</v>
      </c>
      <c r="X52" s="337" t="str">
        <f>IF(ISBLANK(input_wld_witnessaz_mgmt_vlan),"Value Missing",input_wld_witnessaz_mgmt_vlan)</f>
        <v>Value Missing</v>
      </c>
      <c r="Z52" s="4" t="s">
        <v>1846</v>
      </c>
    </row>
    <row r="53" spans="2:27" s="2" customFormat="1" ht="20.05" customHeight="1" x14ac:dyDescent="0.45">
      <c r="B53" s="4" t="s">
        <v>1656</v>
      </c>
      <c r="C53" s="337" t="str">
        <f>IF(ISBLANK(input_vcf_installer_fqdn),"Value Missing",input_vcf_installer_fqdn)</f>
        <v>Value Missing</v>
      </c>
      <c r="E53" s="4" t="s">
        <v>1847</v>
      </c>
      <c r="F53" s="337" t="str">
        <f>IF(ISBLANK(input_wld_az1_en2_fqdn),"Value Missing",input_wld_az1_en2_fqdn)</f>
        <v>Value Missing</v>
      </c>
      <c r="H53" s="17" t="s">
        <v>215</v>
      </c>
      <c r="I53" s="337" t="str">
        <f>IF(ISBLANK(input_cluster_az1_host1_mgmt_ip),"Value Missing",input_cluster_az1_host1_mgmt_ip)</f>
        <v>Value Missing</v>
      </c>
      <c r="K53" s="4" t="s">
        <v>1848</v>
      </c>
      <c r="L53" s="337" t="str">
        <f>IF(ISBLANK(Arkham!C13),"Value Missing",Arkham!C13)</f>
        <v>Value Missing</v>
      </c>
      <c r="N53" s="17" t="s">
        <v>1849</v>
      </c>
      <c r="O53" s="337" t="str">
        <f>CONCATENATE(mgmt_cl01_cluster,"_primary-az-vmgroup")</f>
        <v>Value Missing_primary-az-vmgroup</v>
      </c>
      <c r="T53" s="4" t="s">
        <v>1850</v>
      </c>
      <c r="U53" s="337" t="str">
        <f>IF(ISBLANK(input_mgmt_srm_recovery_sddc_manager_username),"Value Missing",input_mgmt_srm_recovery_sddc_manager_username)</f>
        <v>Value Missing</v>
      </c>
      <c r="V53" s="3"/>
      <c r="Z53" s="4" t="s">
        <v>1851</v>
      </c>
    </row>
    <row r="54" spans="2:27" s="2" customFormat="1" ht="20.05" customHeight="1" x14ac:dyDescent="0.45">
      <c r="B54" s="4" t="s">
        <v>1664</v>
      </c>
      <c r="C54" s="337" t="str">
        <f>IF(ISBLANK(input_sddc_mgr_fqdn),"Value Missing",input_sddc_mgr_fqdn)</f>
        <v>Value Missing</v>
      </c>
      <c r="E54" s="4" t="s">
        <v>1710</v>
      </c>
      <c r="F54" s="337" t="str">
        <f>IF(ISBLANK(input_wld_avilb_fqdn),"Value Missing",input_wld_avilb_fqdn)</f>
        <v>Value Missing</v>
      </c>
      <c r="H54" s="17" t="s">
        <v>217</v>
      </c>
      <c r="I54" s="337" t="str">
        <f>IF(ISBLANK(input_cluster_az1_host2_mgmt_ip),"Value Missing",input_cluster_az1_host2_mgmt_ip)</f>
        <v>Value Missing</v>
      </c>
      <c r="K54" s="4" t="s">
        <v>1852</v>
      </c>
      <c r="L54" s="337" t="str">
        <f>IF(ISBLANK(Arkham!C14),"Value Missing",Arkham!C14)</f>
        <v>Value Missing</v>
      </c>
      <c r="N54" s="4" t="s">
        <v>1853</v>
      </c>
      <c r="O54" s="337" t="str">
        <f>IF(ISBLANK(mgmt_internet_proxy_type_chosen),"Value Missing",mgmt_internet_proxy_type_chosen)</f>
        <v>HTTPS</v>
      </c>
      <c r="Q54" s="387" t="s">
        <v>1854</v>
      </c>
      <c r="R54" s="389"/>
      <c r="T54" s="4" t="s">
        <v>1855</v>
      </c>
      <c r="U54" s="337" t="str">
        <f>IF(ISBLANK(input_mgmt_srm_recovery_sddc_manager_password),"Value Missing",input_mgmt_srm_recovery_sddc_manager_password)</f>
        <v>Value Missing</v>
      </c>
      <c r="V54" s="3"/>
      <c r="W54" s="387" t="s">
        <v>1856</v>
      </c>
      <c r="X54" s="387"/>
      <c r="Z54" s="4" t="s">
        <v>1857</v>
      </c>
    </row>
    <row r="55" spans="2:27" s="2" customFormat="1" ht="20.05" customHeight="1" x14ac:dyDescent="0.45">
      <c r="B55" s="4" t="s">
        <v>1657</v>
      </c>
      <c r="C55" s="337" t="str">
        <f>IF(ISBLANK(input_mgmt_vc_fqdn),"Value Missing",input_mgmt_vc_fqdn)</f>
        <v>Value Missing</v>
      </c>
      <c r="H55" s="17" t="s">
        <v>219</v>
      </c>
      <c r="I55" s="337" t="str">
        <f>IF(ISBLANK(input_cluster_az1_host3_mgmt_ip),"Value Missing",input_cluster_az1_host3_mgmt_ip)</f>
        <v>Value Missing</v>
      </c>
      <c r="K55" s="4" t="s">
        <v>1858</v>
      </c>
      <c r="L55" s="337" t="str">
        <f>IF(ISBLANK('Configure Management Domain'!D324),"Value Missing",'Configure Management Domain'!D324)</f>
        <v>Value Missing</v>
      </c>
      <c r="N55" s="4" t="s">
        <v>1282</v>
      </c>
      <c r="O55" s="337" t="str">
        <f>IF(ISBLANK(input_mgmt_internet_proxy_address),"Value Missing",input_mgmt_internet_proxy_address)</f>
        <v>Value Missing</v>
      </c>
      <c r="Q55" s="166" t="s">
        <v>261</v>
      </c>
      <c r="R55" s="167" t="s">
        <v>19</v>
      </c>
      <c r="T55" s="4" t="s">
        <v>1859</v>
      </c>
      <c r="U55" s="337" t="s">
        <v>538</v>
      </c>
      <c r="V55" s="3"/>
      <c r="W55" s="166" t="s">
        <v>261</v>
      </c>
      <c r="X55" s="167" t="s">
        <v>19</v>
      </c>
    </row>
    <row r="56" spans="2:27" s="2" customFormat="1" ht="20.05" customHeight="1" x14ac:dyDescent="0.45">
      <c r="B56" s="4" t="s">
        <v>1665</v>
      </c>
      <c r="C56" s="337" t="str">
        <f>IF(ISBLANK(input_mgmt_nsxt_vip_fqdn),"Value Missing",input_mgmt_nsxt_vip_fqdn)</f>
        <v>Value Missing</v>
      </c>
      <c r="E56" s="385" t="s">
        <v>1860</v>
      </c>
      <c r="F56" s="386"/>
      <c r="H56" s="17" t="s">
        <v>221</v>
      </c>
      <c r="I56" s="337" t="str">
        <f>IF(ISBLANK(input_cluster_az1_host4_mgmt_ip),"Value Missing",input_cluster_az1_host4_mgmt_ip)</f>
        <v>Value Missing</v>
      </c>
      <c r="K56" s="4" t="s">
        <v>1861</v>
      </c>
      <c r="L56" s="337" t="str">
        <f>IF(ISBLANK('Configure Management Domain'!D325),"Value Missing",'Configure Management Domain'!D325)</f>
        <v>Value Missing</v>
      </c>
      <c r="N56" s="4" t="s">
        <v>1862</v>
      </c>
      <c r="O56" s="337" t="str">
        <f>IF(ISBLANK(input_mgmt_internet_proxy_port),"Value Missing",input_mgmt_internet_proxy_port)</f>
        <v>Value Missing</v>
      </c>
      <c r="Q56" s="17" t="s">
        <v>1863</v>
      </c>
      <c r="R56" s="337"/>
      <c r="T56" s="4" t="s">
        <v>1864</v>
      </c>
      <c r="U56" s="337" t="s">
        <v>538</v>
      </c>
      <c r="V56" s="3"/>
      <c r="W56" s="4" t="s">
        <v>280</v>
      </c>
      <c r="X56" s="337" t="str">
        <f>IF(ISBLANK('Configure Workload Domain'!D271),"Value Missing",'Configure Workload Domain'!D271)</f>
        <v>Value Missing</v>
      </c>
      <c r="Z56" s="579" t="s">
        <v>1267</v>
      </c>
      <c r="AA56" s="581"/>
    </row>
    <row r="57" spans="2:27" s="2" customFormat="1" ht="20.05" customHeight="1" x14ac:dyDescent="0.45">
      <c r="B57" s="4" t="s">
        <v>1671</v>
      </c>
      <c r="C57" s="337" t="str">
        <f>IF(ISBLANK(input_mgmt_nsxt_mgra_fqdn),"Value Missing",input_mgmt_nsxt_mgra_fqdn)</f>
        <v>Value Missing</v>
      </c>
      <c r="E57" s="336" t="s">
        <v>261</v>
      </c>
      <c r="F57" s="184" t="s">
        <v>19</v>
      </c>
      <c r="H57" s="17" t="s">
        <v>223</v>
      </c>
      <c r="I57" s="337" t="str">
        <f>IF(ISBLANK(input_cluster_az1_host5_mgmt_ip),"Value Missing",input_cluster_az1_host5_mgmt_ip)</f>
        <v>Value Missing</v>
      </c>
      <c r="K57" s="4" t="s">
        <v>1865</v>
      </c>
      <c r="L57" s="337" t="str">
        <f>IF(ISBLANK(Arkham!C15),"Value Missing",Arkham!C15)</f>
        <v>Value Missing</v>
      </c>
      <c r="N57" s="4" t="s">
        <v>1286</v>
      </c>
      <c r="O57" s="337" t="str">
        <f>mgmt_internet_proxy_auth_chosen</f>
        <v>Unselected</v>
      </c>
      <c r="Q57" s="17" t="s">
        <v>1866</v>
      </c>
      <c r="R57" s="337"/>
      <c r="T57" s="4" t="s">
        <v>1867</v>
      </c>
      <c r="U57" s="337" t="str">
        <f>IF(ISBLANK(input_xreg_vrops_vrms_sso_username),"Value Missing",input_xreg_vrops_vrms_sso_username)</f>
        <v>Value Missing</v>
      </c>
      <c r="V57" s="3"/>
      <c r="Z57" s="166" t="s">
        <v>261</v>
      </c>
      <c r="AA57" s="167" t="s">
        <v>19</v>
      </c>
    </row>
    <row r="58" spans="2:27" s="2" customFormat="1" ht="20.05" customHeight="1" x14ac:dyDescent="0.45">
      <c r="B58" s="4" t="s">
        <v>1678</v>
      </c>
      <c r="C58" s="337" t="str">
        <f>IF(ISBLANK(input_mgmt_nsxt_mgrb_fqdn),"Value Missing",input_mgmt_nsxt_mgrb_fqdn)</f>
        <v>Value Missing</v>
      </c>
      <c r="E58" s="361" t="s">
        <v>1657</v>
      </c>
      <c r="F58" s="337" t="str">
        <f>(CONCATENATE('Value Reference Tables'!F106,".",(IF(ISBLANK(Arkham!C$11),"Value Missing",Arkham!C$11))))</f>
        <v>Value Missing.Value Missing</v>
      </c>
      <c r="H58" s="17" t="s">
        <v>225</v>
      </c>
      <c r="I58" s="337" t="str">
        <f>IF(ISBLANK(input_cluster_az1_host6_mgmt_ip),"Value Missing",input_cluster_az1_host6_mgmt_ip)</f>
        <v>Value Missing</v>
      </c>
      <c r="K58" s="4" t="s">
        <v>1868</v>
      </c>
      <c r="L58" s="337" t="str">
        <f>IF(ISBLANK('Configure Management Domain'!D33),"Value Missing",'Configure Management Domain'!D33)</f>
        <v>Value Missing</v>
      </c>
      <c r="N58" s="4" t="s">
        <v>1869</v>
      </c>
      <c r="O58" s="337" t="str">
        <f>IF(ISBLANK(input_mgmt_offline_depot_fqdn),"Value Missing",input_mgmt_offline_depot_fqdn)</f>
        <v>Value Missing</v>
      </c>
      <c r="Q58" s="17" t="s">
        <v>1870</v>
      </c>
      <c r="R58" s="337"/>
      <c r="T58" s="4" t="s">
        <v>1871</v>
      </c>
      <c r="U58" s="337" t="str">
        <f>IF(ISBLANK(input_xreg_vrops_vrms_sso_password),"Value Missing",input_xreg_vrops_vrms_sso_password)</f>
        <v>Value Missing</v>
      </c>
      <c r="V58" s="3"/>
      <c r="W58" s="387" t="s">
        <v>1872</v>
      </c>
      <c r="X58" s="387"/>
      <c r="Z58" s="4"/>
    </row>
    <row r="59" spans="2:27" s="2" customFormat="1" ht="20.05" customHeight="1" x14ac:dyDescent="0.45">
      <c r="B59" s="4" t="s">
        <v>1683</v>
      </c>
      <c r="C59" s="337" t="str">
        <f>IF(ISBLANK(input_mgmt_nsxt_mgrc_fqdn),"Value Missing",input_mgmt_nsxt_mgrc_fqdn)</f>
        <v>Value Missing</v>
      </c>
      <c r="E59" s="361" t="s">
        <v>278</v>
      </c>
      <c r="F59" s="337" t="str">
        <f>IF(ISBLANK(input_wld_witness_fqdn),"Value Missing",input_wld_witness_fqdn)</f>
        <v>Value Missing</v>
      </c>
      <c r="H59" s="17" t="s">
        <v>227</v>
      </c>
      <c r="I59" s="337" t="str">
        <f>IF(ISBLANK(input_cluster_az1_host7_mgmt_ip),"Value Missing",input_cluster_az1_host7_mgmt_ip)</f>
        <v>Value Missing</v>
      </c>
      <c r="K59" s="4" t="s">
        <v>1873</v>
      </c>
      <c r="L59" s="337" t="str">
        <f>IF(ISBLANK('Configure Management Domain'!D67),"Value Missing",'Configure Management Domain'!D67)</f>
        <v>Value Missing</v>
      </c>
      <c r="N59" s="4" t="s">
        <v>1874</v>
      </c>
      <c r="O59" s="337" t="str">
        <f t="array" ref="O59">IF(ISBLANK(input_mgmt_offline_depot_port),"Value Missing",input_mgmt_offline_depot_port)</f>
        <v>Value Missing</v>
      </c>
      <c r="Q59" s="17" t="s">
        <v>1875</v>
      </c>
      <c r="R59" s="337"/>
      <c r="T59" s="4" t="s">
        <v>1876</v>
      </c>
      <c r="U59" s="337" t="str">
        <f>IF(ISBLANK(input_xreg_vrops_srm_sso_username),"Value Missing",input_xreg_vrops_srm_sso_username)</f>
        <v>Value Missing</v>
      </c>
      <c r="V59" s="3"/>
      <c r="W59" s="166" t="s">
        <v>261</v>
      </c>
      <c r="X59" s="167" t="s">
        <v>19</v>
      </c>
      <c r="Z59" s="4" t="s">
        <v>1877</v>
      </c>
      <c r="AA59" s="337" t="str">
        <f>IF(mgmt_domain_chosen="First Instance","sfo","lax")</f>
        <v>sfo</v>
      </c>
    </row>
    <row r="60" spans="2:27" s="2" customFormat="1" ht="20.05" customHeight="1" x14ac:dyDescent="0.45">
      <c r="B60" s="4" t="s">
        <v>1689</v>
      </c>
      <c r="C60" s="337" t="str">
        <f>IF(ISBLANK(input_mgmt_nsxt_gm_vip_fqdn),"Value Missing",input_mgmt_nsxt_gm_vip_fqdn)</f>
        <v>Value Missing</v>
      </c>
      <c r="H60" s="17" t="s">
        <v>229</v>
      </c>
      <c r="I60" s="337" t="str">
        <f>IF(ISBLANK(input_cluster_az1_host8_mgmt_ip),"Value Missing",input_cluster_az1_host8_mgmt_ip)</f>
        <v>Value Missing</v>
      </c>
      <c r="K60" s="4" t="s">
        <v>1878</v>
      </c>
      <c r="L60" s="337" t="str">
        <f>IF(ISBLANK('Configure Management Domain'!D21),"Value Missing",'Configure Management Domain'!D21)</f>
        <v>Value Missing</v>
      </c>
      <c r="R60" s="3"/>
      <c r="T60" s="4" t="s">
        <v>1879</v>
      </c>
      <c r="U60" s="337" t="str">
        <f>IF(ISBLANK(input_xreg_vrops_srm_sso_password),"Value Missing",input_xreg_vrops_srm_sso_password)</f>
        <v>Value Missing</v>
      </c>
      <c r="V60" s="3"/>
      <c r="W60" s="4" t="s">
        <v>280</v>
      </c>
      <c r="X60" s="337" t="str">
        <f>IF(ISBLANK(input_wld_witnessaz_mgmt_cidr),"Value Missing",input_wld_witnessaz_mgmt_cidr)</f>
        <v>Value Missing</v>
      </c>
      <c r="Z60" s="4" t="s">
        <v>1880</v>
      </c>
      <c r="AA60" s="337" t="str">
        <f>IF(this_instance="sfo","lax","sfo")</f>
        <v>lax</v>
      </c>
    </row>
    <row r="61" spans="2:27" s="2" customFormat="1" ht="20.05" customHeight="1" x14ac:dyDescent="0.45">
      <c r="B61" s="4" t="s">
        <v>1695</v>
      </c>
      <c r="C61" s="337" t="str">
        <f>IF(ISBLANK(input_mgmt_nsxt_global_mgra_fqdn),"Value Missing",input_mgmt_nsxt_global_mgra_fqdn)</f>
        <v>Value Missing</v>
      </c>
      <c r="E61" s="385" t="s">
        <v>1881</v>
      </c>
      <c r="F61" s="386"/>
      <c r="H61" s="17" t="s">
        <v>231</v>
      </c>
      <c r="I61" s="337" t="str">
        <f>IF(ISBLANK(input_cluster_az1_host9_mgmt_ip),"Value Missing",input_cluster_az1_host9_mgmt_ip)</f>
        <v>Value Missing</v>
      </c>
      <c r="K61" s="4" t="s">
        <v>980</v>
      </c>
      <c r="L61" s="337" t="str">
        <f>IF(ISBLANK(Arkham!C16),"Value Missing",Arkham!C16)</f>
        <v>Value Missing</v>
      </c>
      <c r="N61" s="387" t="s">
        <v>1882</v>
      </c>
      <c r="O61" s="387"/>
      <c r="Q61" s="387" t="s">
        <v>1883</v>
      </c>
      <c r="R61" s="387"/>
      <c r="V61" s="3"/>
      <c r="Z61" s="4" t="s">
        <v>1884</v>
      </c>
      <c r="AA61" s="337" t="str">
        <f>IF(mgmt_consolidated_result="Included","m01",CONCATENATE("w0",wld_domain_number_chosen))</f>
        <v>w01</v>
      </c>
    </row>
    <row r="62" spans="2:27" s="2" customFormat="1" ht="20.05" customHeight="1" x14ac:dyDescent="0.45">
      <c r="B62" s="4" t="s">
        <v>1700</v>
      </c>
      <c r="C62" s="337" t="str">
        <f>IF(ISBLANK(input_mgmt_nsxt_global_mgrb_fqdn),"Value Missing",input_mgmt_nsxt_global_mgrb_fqdn)</f>
        <v>Value Missing</v>
      </c>
      <c r="E62" s="336" t="s">
        <v>261</v>
      </c>
      <c r="F62" s="184" t="s">
        <v>19</v>
      </c>
      <c r="H62" s="17" t="s">
        <v>233</v>
      </c>
      <c r="I62" s="337" t="str">
        <f>IF(ISBLANK(input_cluster_az1_host10_mgmt_ip),"Value Missing",input_cluster_az1_host10_mgmt_ip)</f>
        <v>Value Missing</v>
      </c>
      <c r="K62" s="4" t="s">
        <v>983</v>
      </c>
      <c r="L62" s="337" t="str">
        <f>IF(ISBLANK(Arkham!C17),"Value Missing",Arkham!C17)</f>
        <v>Value Missing</v>
      </c>
      <c r="N62" s="166" t="s">
        <v>261</v>
      </c>
      <c r="O62" s="167" t="s">
        <v>19</v>
      </c>
      <c r="Q62" s="166" t="s">
        <v>261</v>
      </c>
      <c r="R62" s="167" t="s">
        <v>19</v>
      </c>
      <c r="T62" s="387" t="s">
        <v>1885</v>
      </c>
      <c r="U62" s="387"/>
      <c r="V62" s="3"/>
      <c r="W62" s="387" t="s">
        <v>1886</v>
      </c>
      <c r="X62" s="387"/>
      <c r="Z62" s="4" t="s">
        <v>1887</v>
      </c>
      <c r="AA62" s="337" t="str">
        <f>IF(this_instance="sfo","11","21")</f>
        <v>11</v>
      </c>
    </row>
    <row r="63" spans="2:27" s="2" customFormat="1" ht="20.05" customHeight="1" x14ac:dyDescent="0.45">
      <c r="B63" s="4" t="s">
        <v>1705</v>
      </c>
      <c r="C63" s="337" t="str">
        <f>IF(ISBLANK(input_mgmt_nsxt_global_mgrc_fqdn),"Value Missing",input_mgmt_nsxt_global_mgrc_fqdn)</f>
        <v>Value Missing</v>
      </c>
      <c r="E63" s="4" t="s">
        <v>1888</v>
      </c>
      <c r="F63" s="337" t="str">
        <f>IF(ISBLANK('Deploy Workload Domain'!D163),"Value Missing",'Deploy Workload Domain'!D163)</f>
        <v>Value Missing</v>
      </c>
      <c r="H63" s="17" t="s">
        <v>235</v>
      </c>
      <c r="I63" s="337" t="str">
        <f>IF(ISBLANK(input_cluster_az1_host11_mgmt_ip),"Value Missing",input_cluster_az1_host11_mgmt_ip)</f>
        <v>Value Missing</v>
      </c>
      <c r="N63" s="4" t="s">
        <v>1889</v>
      </c>
      <c r="O63" s="337" t="str">
        <f>IF(ISBLANK('Deploy Workload Domain'!D148),"Value Missing",'Deploy Workload Domain'!D148)</f>
        <v>Value Missing</v>
      </c>
      <c r="Q63" s="17" t="s">
        <v>1863</v>
      </c>
      <c r="R63" s="337"/>
      <c r="T63" s="166" t="s">
        <v>261</v>
      </c>
      <c r="U63" s="167" t="s">
        <v>19</v>
      </c>
      <c r="W63" s="166" t="s">
        <v>261</v>
      </c>
      <c r="X63" s="167" t="s">
        <v>19</v>
      </c>
      <c r="Z63" s="4" t="s">
        <v>1890</v>
      </c>
      <c r="AA63" s="337" t="str">
        <f>IF(this_instance="sfo","10.11.","10.21.")</f>
        <v>10.11.</v>
      </c>
    </row>
    <row r="64" spans="2:27" s="2" customFormat="1" ht="20.05" customHeight="1" x14ac:dyDescent="0.45">
      <c r="B64" s="4" t="s">
        <v>1840</v>
      </c>
      <c r="C64" s="337" t="str">
        <f>IF(ISBLANK(input_mgmt_az1_en1_fqdn),"Value Missing",input_mgmt_az1_en1_fqdn)</f>
        <v>Value Missing</v>
      </c>
      <c r="E64" s="4" t="s">
        <v>1891</v>
      </c>
      <c r="F64" s="337" t="str">
        <f>IF(ISBLANK(input_wld_cl01_evc_mode),"Value Missing",input_wld_cl01_evc_mode)</f>
        <v>Value Missing</v>
      </c>
      <c r="H64" s="17" t="s">
        <v>237</v>
      </c>
      <c r="I64" s="337" t="str">
        <f>IF(ISBLANK(input_cluster_az1_host12_mgmt_ip),"Value Missing",input_cluster_az1_host12_mgmt_ip)</f>
        <v>Value Missing</v>
      </c>
      <c r="K64" s="579" t="s">
        <v>1892</v>
      </c>
      <c r="L64" s="580"/>
      <c r="N64" s="4" t="s">
        <v>75</v>
      </c>
      <c r="O64" s="337"/>
      <c r="Q64" s="17" t="s">
        <v>1866</v>
      </c>
      <c r="R64" s="337"/>
      <c r="T64" s="4" t="s">
        <v>1893</v>
      </c>
      <c r="U64" s="337" t="str">
        <f>IF(ISBLANK(input_mgmt_recovery_lb_creation_method),"Value Missing",input_mgmt_recovery_lb_creation_method)</f>
        <v>Value Missing</v>
      </c>
      <c r="W64" s="4" t="s">
        <v>280</v>
      </c>
      <c r="X64" s="337" t="str">
        <f>IF(ISBLANK(input_wld_witnessaz_mgmt_gateway_ip),"Value Missing",input_wld_witnessaz_mgmt_gateway_ip)</f>
        <v>Value Missing</v>
      </c>
      <c r="Z64" s="4" t="s">
        <v>1894</v>
      </c>
      <c r="AA64" s="337" t="str">
        <f>IF(this_instance="sfo","12","22")</f>
        <v>12</v>
      </c>
    </row>
    <row r="65" spans="2:27" s="2" customFormat="1" ht="20.05" customHeight="1" x14ac:dyDescent="0.45">
      <c r="B65" s="4" t="s">
        <v>1847</v>
      </c>
      <c r="C65" s="337" t="str">
        <f>IF(ISBLANK(input_mgmt_az1_en2_fqdn),"Value Missing",input_mgmt_az1_en2_fqdn)</f>
        <v>Value Missing</v>
      </c>
      <c r="H65" s="17" t="s">
        <v>239</v>
      </c>
      <c r="I65" s="337" t="str">
        <f>IF(ISBLANK(input_cluster_az1_host13_mgmt_ip),"Value Missing",input_cluster_az1_host13_mgmt_ip)</f>
        <v>Value Missing</v>
      </c>
      <c r="K65" s="166" t="s">
        <v>261</v>
      </c>
      <c r="L65" s="167" t="s">
        <v>19</v>
      </c>
      <c r="N65" s="4" t="s">
        <v>1895</v>
      </c>
      <c r="O65" s="337" t="str">
        <f>IF(ISBLANK('Configure Workload Domain'!D332),"Value Missing",'Configure Workload Domain'!D332)</f>
        <v>Value Missing</v>
      </c>
      <c r="Q65" s="17" t="s">
        <v>1870</v>
      </c>
      <c r="R65" s="337"/>
      <c r="T65" s="4" t="s">
        <v>1896</v>
      </c>
      <c r="U65" s="337" t="str">
        <f>IF(ISBLANK(input_mgmt_vrms_vm_folder),"Value Missing",input_mgmt_vrms_vm_folder)</f>
        <v>Value Missing</v>
      </c>
      <c r="V65" s="3"/>
      <c r="Z65" s="4" t="s">
        <v>1897</v>
      </c>
      <c r="AA65" s="337" t="str">
        <f>IF(this_instance="sfo","10.12.","10.22.")</f>
        <v>10.12.</v>
      </c>
    </row>
    <row r="66" spans="2:27" s="2" customFormat="1" ht="20.05" customHeight="1" x14ac:dyDescent="0.45">
      <c r="B66" s="4" t="s">
        <v>1710</v>
      </c>
      <c r="C66" s="337" t="str">
        <f>IF(ISBLANK(input_mgmt_avilb_fqdn),"Value Missing",input_mgmt_avilb_fqdn)</f>
        <v>Value Missing</v>
      </c>
      <c r="E66" s="582" t="s">
        <v>1898</v>
      </c>
      <c r="F66" s="583"/>
      <c r="H66" s="17" t="s">
        <v>241</v>
      </c>
      <c r="I66" s="337" t="str">
        <f>IF(ISBLANK(input_cluster_az1_host14_mgmt_ip),"Value Missing",input_cluster_az1_host14_mgmt_ip)</f>
        <v>Value Missing</v>
      </c>
      <c r="K66" s="4" t="s">
        <v>1899</v>
      </c>
      <c r="L66" s="337" t="str">
        <f>IF(ISBLANK(input_parent_dns_zone),"Value Missing",input_parent_dns_zone)</f>
        <v>Value Missing</v>
      </c>
      <c r="N66" s="4" t="s">
        <v>1900</v>
      </c>
      <c r="O66" s="337" t="str">
        <f>IF(ISBLANK('Deploy Workload Domain'!D239),"Value Missing",'Deploy Workload Domain'!D239)</f>
        <v>Value Missing</v>
      </c>
      <c r="Q66" s="17" t="s">
        <v>1875</v>
      </c>
      <c r="R66" s="337"/>
      <c r="T66" s="4" t="s">
        <v>1901</v>
      </c>
      <c r="U66" s="337" t="str">
        <f>IF(ISBLANK(input_mgmt_vrms_root_password),"Value Missing",input_mgmt_vrms_root_password)</f>
        <v>Value Missing</v>
      </c>
      <c r="V66" s="3"/>
      <c r="W66" s="387" t="s">
        <v>1902</v>
      </c>
      <c r="X66" s="387"/>
      <c r="Z66" s="4" t="s">
        <v>1903</v>
      </c>
      <c r="AA66" s="337"/>
    </row>
    <row r="67" spans="2:27" s="2" customFormat="1" ht="20.05" customHeight="1" x14ac:dyDescent="0.45">
      <c r="B67" s="4" t="s">
        <v>1829</v>
      </c>
      <c r="C67" s="337" t="str">
        <f>IF(ISBLANK(input_flt_vidb_vip_fqdn),"Value Missing",input_flt_vidb_vip_fqdn)</f>
        <v>Value Missing</v>
      </c>
      <c r="E67" s="336" t="s">
        <v>261</v>
      </c>
      <c r="F67" s="336" t="s">
        <v>1904</v>
      </c>
      <c r="H67" s="17" t="s">
        <v>243</v>
      </c>
      <c r="I67" s="337" t="str">
        <f>IF(ISBLANK(input_cluster_az1_host15_mgmt_ip),"Value Missing",input_cluster_az1_host15_mgmt_ip)</f>
        <v>Value Missing</v>
      </c>
      <c r="K67" s="4" t="s">
        <v>1905</v>
      </c>
      <c r="L67" s="337" t="str">
        <f>IF(ISBLANK(input_child_dns_zone),"Value Missing",input_child_dns_zone)</f>
        <v>Value Missing</v>
      </c>
      <c r="N67" s="4" t="s">
        <v>1667</v>
      </c>
      <c r="O67" s="337" t="str">
        <f>IF(ISBLANK('Configure Workload Domain'!D38),"Value Missing",'Configure Workload Domain'!D38)</f>
        <v>Value Missing</v>
      </c>
      <c r="R67" s="3"/>
      <c r="T67" s="4" t="s">
        <v>1906</v>
      </c>
      <c r="U67" s="337" t="str">
        <f>IF(ISBLANK(input_mgmt_vrms_admin_password),"Value Missing",input_mgmt_vrms_admin_password)</f>
        <v>Value Missing</v>
      </c>
      <c r="V67" s="3"/>
      <c r="W67" s="166" t="s">
        <v>261</v>
      </c>
      <c r="X67" s="167" t="s">
        <v>19</v>
      </c>
      <c r="Z67" s="4" t="s">
        <v>1907</v>
      </c>
      <c r="AA67" s="337"/>
    </row>
    <row r="68" spans="2:27" s="2" customFormat="1" ht="20.05" customHeight="1" x14ac:dyDescent="0.45">
      <c r="E68" s="4" t="s">
        <v>1908</v>
      </c>
      <c r="F68" s="337" t="str">
        <f>IF(ISBLANK(wld_cl01_vds_profile_chosen),"Value Missing",wld_cl01_vds_profile_chosen)</f>
        <v>Default</v>
      </c>
      <c r="H68" s="17" t="s">
        <v>245</v>
      </c>
      <c r="I68" s="337" t="str">
        <f>IF(ISBLANK(input_cluster_az1_host16_mgmt_ip),"Value Missing",input_cluster_az1_host16_mgmt_ip)</f>
        <v>Value Missing</v>
      </c>
      <c r="K68" s="4" t="s">
        <v>1909</v>
      </c>
      <c r="L68" s="337" t="str">
        <f>IF(ISBLANK(input_witness_dns_zone),"Value Missing",input_witness_dns_zone)</f>
        <v>Value Missing</v>
      </c>
      <c r="N68" s="4" t="s">
        <v>1910</v>
      </c>
      <c r="O68" s="337" t="str">
        <f>IF(ISBLANK('Configure Workload Domain'!D40),"Value Missing",'Configure Workload Domain'!D40)</f>
        <v>Large</v>
      </c>
      <c r="Q68" s="387" t="s">
        <v>1911</v>
      </c>
      <c r="R68" s="387"/>
      <c r="T68" s="4" t="s">
        <v>1912</v>
      </c>
      <c r="U68" s="337" t="str">
        <f>IF(ISBLANK(input_mgmt_vrms_site_name),"Value Missing",input_mgmt_vrms_site_name)</f>
        <v>Value Missing</v>
      </c>
      <c r="W68" s="4" t="s">
        <v>280</v>
      </c>
      <c r="X68" s="337" t="str">
        <f>IF(ISBLANK(input_wld_witnessaz_mgmt_mtu),"Value Missing",input_wld_witnessaz_mgmt_mtu)</f>
        <v>Value Missing</v>
      </c>
      <c r="Z68" s="4" t="s">
        <v>1913</v>
      </c>
      <c r="AA68" s="337" t="str">
        <f>IF(this_instance="sfo","192.168.31","192.168.32")</f>
        <v>192.168.31</v>
      </c>
    </row>
    <row r="69" spans="2:27" s="2" customFormat="1" ht="20.05" customHeight="1" x14ac:dyDescent="0.45">
      <c r="B69" s="385" t="s">
        <v>1914</v>
      </c>
      <c r="C69" s="386"/>
      <c r="E69" s="336" t="s">
        <v>857</v>
      </c>
      <c r="F69" s="336" t="s">
        <v>19</v>
      </c>
      <c r="H69" s="17" t="s">
        <v>250</v>
      </c>
      <c r="I69" s="337" t="str">
        <f>IF(ISBLANK(input_cluster_az1_pool_name),"Value Missing",input_cluster_az1_pool_name)</f>
        <v>Value Missing</v>
      </c>
      <c r="N69" s="4" t="s">
        <v>1915</v>
      </c>
      <c r="O69" s="337" t="str">
        <f>IF(ISBLANK('Configure Workload Domain'!D96),"Value Missing",'Configure Workload Domain'!D96)</f>
        <v>Value Missing</v>
      </c>
      <c r="Q69" s="166" t="s">
        <v>261</v>
      </c>
      <c r="R69" s="167" t="s">
        <v>19</v>
      </c>
      <c r="T69" s="4" t="s">
        <v>1916</v>
      </c>
      <c r="U69" s="337" t="str">
        <f>IF(ISBLANK(input_mgmt_vrms_admin_email),"Value Missing",input_mgmt_vrms_admin_email)</f>
        <v>Value Missing</v>
      </c>
      <c r="Z69" s="4" t="s">
        <v>1917</v>
      </c>
      <c r="AA69" s="337" t="str">
        <f>IF(this_instance="sfo","192.168.11","192.168.12")</f>
        <v>192.168.11</v>
      </c>
    </row>
    <row r="70" spans="2:27" s="2" customFormat="1" ht="20.05" customHeight="1" x14ac:dyDescent="0.45">
      <c r="B70" s="336" t="s">
        <v>261</v>
      </c>
      <c r="C70" s="336" t="s">
        <v>19</v>
      </c>
      <c r="E70" s="4" t="s">
        <v>1918</v>
      </c>
      <c r="F70" s="337" t="str">
        <f>IF(ISBLANK(input_wld_cl01_vds01_name),"Value Missing",input_wld_cl01_vds01_name)</f>
        <v>Value Missing</v>
      </c>
      <c r="H70" s="336" t="s">
        <v>1919</v>
      </c>
      <c r="I70" s="336"/>
      <c r="K70" s="387" t="s">
        <v>1920</v>
      </c>
      <c r="L70" s="387"/>
      <c r="N70" s="4" t="s">
        <v>1921</v>
      </c>
      <c r="O70" s="337"/>
      <c r="Q70" s="17" t="s">
        <v>1863</v>
      </c>
      <c r="R70" s="337" t="str">
        <f>(CONCATENATE('Value Reference Tables'!R63,".",(IF(ISBLANK(Arkham!C$11),"Value Missing",Arkham!C$11))))</f>
        <v>.Value Missing</v>
      </c>
      <c r="T70" s="4" t="s">
        <v>1922</v>
      </c>
      <c r="U70" s="337" t="str">
        <f>IF(ISBLANK(input_mgmt_vrms_pg),"Value Missing",input_mgmt_vrms_pg)</f>
        <v>Value Missing</v>
      </c>
      <c r="V70" s="3"/>
      <c r="Z70" s="4" t="s">
        <v>1923</v>
      </c>
      <c r="AA70" s="337" t="str">
        <f>IF(this_instance="sfo","21","11")</f>
        <v>21</v>
      </c>
    </row>
    <row r="71" spans="2:27" s="2" customFormat="1" ht="20.05" customHeight="1" x14ac:dyDescent="0.45">
      <c r="B71" s="361" t="s">
        <v>1657</v>
      </c>
      <c r="C71" s="337" t="str">
        <f>(CONCATENATE('Value Reference Tables'!C192,".",(IF(ISBLANK(Arkham!C$11),"Value Missing",Arkham!C$11))))</f>
        <v>Value Missing.Value Missing</v>
      </c>
      <c r="E71" s="185" t="s">
        <v>1924</v>
      </c>
      <c r="F71" s="337" t="str">
        <f>IF(ISBLANK(input_wld_cl01_vds01_pnics),"Value Missing",input_wld_cl01_vds01_pnics)</f>
        <v>Value Missing</v>
      </c>
      <c r="H71" s="17" t="s">
        <v>215</v>
      </c>
      <c r="I71" s="337" t="str">
        <f>IF(ISBLANK(input_cluster_az1_host1_fqdn),"Value Missing",input_cluster_az1_host1_fqdn)</f>
        <v>Value Missing</v>
      </c>
      <c r="K71" s="166" t="s">
        <v>261</v>
      </c>
      <c r="L71" s="167" t="s">
        <v>19</v>
      </c>
      <c r="N71" s="4" t="s">
        <v>175</v>
      </c>
      <c r="O71" s="337" t="str">
        <f>IF(ISBLANK(input_wld_vpc_ext_ip_blocks),"Value Missing",input_wld_vpc_ext_ip_blocks)</f>
        <v>Value Missing</v>
      </c>
      <c r="Q71" s="17" t="s">
        <v>1866</v>
      </c>
      <c r="R71" s="337" t="str">
        <f>(CONCATENATE('Value Reference Tables'!R64,".",(IF(ISBLANK(Arkham!C$11),"Value Missing",Arkham!C$11))))</f>
        <v>.Value Missing</v>
      </c>
      <c r="T71" s="4" t="s">
        <v>1925</v>
      </c>
      <c r="U71" s="337" t="str">
        <f>IF(ISBLANK(input_mgmt_vrms_p12_password),"Value Missing",input_mgmt_vrms_p12_password)</f>
        <v>Value Missing</v>
      </c>
      <c r="V71" s="3"/>
      <c r="Z71" s="4" t="s">
        <v>1926</v>
      </c>
      <c r="AA71" s="337" t="str">
        <f>IF(this_instance="sfo","10.21.","10.11.")</f>
        <v>10.21.</v>
      </c>
    </row>
    <row r="72" spans="2:27" s="2" customFormat="1" ht="20.05" customHeight="1" x14ac:dyDescent="0.45">
      <c r="B72" s="361" t="s">
        <v>278</v>
      </c>
      <c r="C72" s="337" t="str">
        <f>IF(ISBLANK(input_mgmt_witness_fqdn),"Value Missing",input_mgmt_witness_fqdn)</f>
        <v>Value Missing</v>
      </c>
      <c r="E72" s="4" t="s">
        <v>1927</v>
      </c>
      <c r="F72" s="337" t="str">
        <f>IF(ISBLANK(input_wld_cl01_vds01_uplink_count),"Value Missing",input_wld_cl01_vds01_uplink_count)</f>
        <v>Value Missing</v>
      </c>
      <c r="H72" s="17" t="s">
        <v>217</v>
      </c>
      <c r="I72" s="337" t="str">
        <f>IF(ISBLANK(input_cluster_az1_host2_fqdn),"Value Missing",input_cluster_az1_host2_fqdn)</f>
        <v>Value Missing</v>
      </c>
      <c r="K72" s="4" t="s">
        <v>1928</v>
      </c>
      <c r="L72" s="337" t="str">
        <f>IF(ISBLANK('Active Directory Inputs'!E8),"Value Missing",'Active Directory Inputs'!E8)</f>
        <v>Value Missing</v>
      </c>
      <c r="N72" s="4" t="s">
        <v>178</v>
      </c>
      <c r="O72" s="337" t="str">
        <f>IF(ISBLANK(input_wld_vpc_transit_gateway_ip_blocks),"Value Missing",input_wld_vpc_transit_gateway_ip_blocks)</f>
        <v>Value Missing</v>
      </c>
      <c r="Q72" s="17" t="s">
        <v>1870</v>
      </c>
      <c r="R72" s="337" t="str">
        <f>(CONCATENATE('Value Reference Tables'!R65,".",(IF(ISBLANK(Arkham!C$11),"Value Missing",Arkham!C$11))))</f>
        <v>.Value Missing</v>
      </c>
      <c r="T72" s="4" t="s">
        <v>1929</v>
      </c>
      <c r="U72" s="337"/>
      <c r="V72" s="3"/>
      <c r="Z72" s="4" t="s">
        <v>1930</v>
      </c>
      <c r="AA72" s="337" t="str">
        <f>IF(mgmt_domain_chosen="First Domain","6500","6502")</f>
        <v>6502</v>
      </c>
    </row>
    <row r="73" spans="2:27" s="2" customFormat="1" ht="20.05" customHeight="1" x14ac:dyDescent="0.45">
      <c r="E73" s="4" t="s">
        <v>1931</v>
      </c>
      <c r="F73" s="337" t="str">
        <f t="array" ref="F73">IF(ISBLANK(input_wld_cl01_vds01_mtu),"Value Missing",input_wld_cl01_vds01_mtu)</f>
        <v>Value Missing</v>
      </c>
      <c r="H73" s="17" t="s">
        <v>219</v>
      </c>
      <c r="I73" s="337" t="str">
        <f>IF(ISBLANK(input_cluster_az1_host3_fqdn),"Value Missing",input_cluster_az1_host3_fqdn)</f>
        <v>Value Missing</v>
      </c>
      <c r="K73" s="4" t="s">
        <v>1932</v>
      </c>
      <c r="L73" s="337" t="str">
        <f>IF(ISBLANK('Active Directory Inputs'!E9),"Value Missing",'Active Directory Inputs'!E9)</f>
        <v>Value Missing</v>
      </c>
      <c r="N73" s="4" t="s">
        <v>1750</v>
      </c>
      <c r="O73" s="337" t="str">
        <f t="array" ref="O73">IF(ISBLANK(input_wld_avilb_cluster_name),"Value Missing",input_wld_avilb_cluster_name)</f>
        <v>Value Missing</v>
      </c>
      <c r="Q73" s="17" t="s">
        <v>1875</v>
      </c>
      <c r="R73" s="337" t="str">
        <f>(CONCATENATE('Value Reference Tables'!R66,".",(IF(ISBLANK(Arkham!C$11),"Value Missing",Arkham!C$11))))</f>
        <v>.Value Missing</v>
      </c>
      <c r="T73" s="4" t="s">
        <v>1933</v>
      </c>
      <c r="U73" s="337" t="str">
        <f>IF(ISBLANK(input_mgmt_srm_vm_folder),"Value Missing",input_mgmt_srm_vm_folder)</f>
        <v>Value Missing</v>
      </c>
      <c r="V73" s="3"/>
      <c r="Z73" s="4" t="s">
        <v>1934</v>
      </c>
      <c r="AA73" s="337">
        <f>IF(AND(this_instance="sfo",wld_domain_number_chosen=1),13,IF(AND(this_instance="sfo",wld_domain_number_chosen=2),15,IF(AND(this_instance="sfo",wld_domain_number_chosen=3),17,IF(AND(this_instance="lax",wld_domain_number_chosen=1),23,IF(AND(this_instance="lax",wld_domain_number_chosen=2),25,IF(AND(this_instance="lax",wld_domain_number_chosen=3),27))))))</f>
        <v>13</v>
      </c>
    </row>
    <row r="74" spans="2:27" s="2" customFormat="1" ht="20.05" customHeight="1" x14ac:dyDescent="0.35">
      <c r="B74" s="582" t="s">
        <v>1935</v>
      </c>
      <c r="C74" s="586"/>
      <c r="E74" s="4" t="s">
        <v>1936</v>
      </c>
      <c r="F74" s="337" t="str">
        <f>IF(wld_cl01_vds_profile_chosen&lt;&gt;"Custom","Route Based on Physicial Nic Load","Value Missing")</f>
        <v>Route Based on Physicial Nic Load</v>
      </c>
      <c r="H74" s="17" t="s">
        <v>221</v>
      </c>
      <c r="I74" s="337" t="str">
        <f>IF(ISBLANK(input_cluster_az1_host4_fqdn),"Value Missing",input_cluster_az1_host4_fqdn)</f>
        <v>Value Missing</v>
      </c>
      <c r="N74" s="4" t="s">
        <v>1937</v>
      </c>
      <c r="O74" s="337" t="str">
        <f>IF(ISBLANK(input_wld_avilb_cluster_version),"Value Missing",input_wld_avilb_cluster_version)</f>
        <v>Value Missing</v>
      </c>
      <c r="Q74" s="8"/>
      <c r="R74" s="8"/>
      <c r="T74" s="4" t="s">
        <v>1938</v>
      </c>
      <c r="U74" s="337" t="str">
        <f>IF(ISBLANK(input_mgmt_srm_root_password),"Value Missing",input_mgmt_srm_root_password)</f>
        <v>Value Missing</v>
      </c>
      <c r="Z74" s="4" t="s">
        <v>1939</v>
      </c>
      <c r="AA74" s="337" t="str">
        <f>IF(AND(this_instance="sfo",wld_domain_number_chosen=1),"10.13.",IF(AND(this_instance="sfo",wld_domain_number_chosen=2),"10.15.",IF(AND(this_instance="sfo",wld_domain_number_chosen=3),"10.17.",IF(AND(this_instance="lax",wld_domain_number_chosen=1),"10.23.",IF(AND(this_instance="lax",wld_domain_number_chosen=2),"10.25.",IF(AND(this_instance="lax",wld_domain_number_chosen=3),"10.27."))))))</f>
        <v>10.13.</v>
      </c>
    </row>
    <row r="75" spans="2:27" s="2" customFormat="1" ht="20.05" customHeight="1" x14ac:dyDescent="0.45">
      <c r="B75" s="336" t="s">
        <v>261</v>
      </c>
      <c r="C75" s="336" t="s">
        <v>19</v>
      </c>
      <c r="E75" s="4" t="s">
        <v>1940</v>
      </c>
      <c r="F75" s="337" t="str">
        <f>IF(wld_cl01_vds_profile_chosen="Default",CONCATENATE("Management ","vMotion ",IF(wld_principal_storage_chosen="NFSv3","NFS ",IF(wld_principal_storage_chosen="VMFS on Fibre Channel (FC)","","vSAN ")),"NSX-Overlay"),
IF(wld_cl01_vds_profile_chosen="Storage Traffic Separation","Management, vMotion, NSX-Overlay",
IF(wld_cl01_vds_profile_chosen="NSX Traffic Separation",CONCATENATE("Management ","vMotion ",IF(wld_principal_storage_chosen="NFSv3","NFS",IF(wld_principal_storage_chosen="VMFS on Fibre Channel (FC)","","vSAN"))),
IF(wld_cl01_vds_profile_chosen="Storage Traffic and NSX Traffic Separation","Management, vMotion",
IF(wld_cl01_vds_profile_chosen="vSAN Max Storage Traffic Separation","Management, vMotion, vSAN Storage Client, NSX-Overlay",
IF(wld_cl01_vds_profile_chosen="vSAN Max Storage Traffic and NSX Traffic Separation","Management, vMotion, vSAN Storage Client","Value Missing"))))))</f>
        <v>Management vMotion vSAN NSX-Overlay</v>
      </c>
      <c r="H75" s="17" t="s">
        <v>223</v>
      </c>
      <c r="I75" s="337" t="str">
        <f>IF(ISBLANK(input_cluster_az1_host5_fqdn),"Value Missing",input_cluster_az1_host5_fqdn)</f>
        <v>Value Missing</v>
      </c>
      <c r="K75" s="387" t="s">
        <v>1941</v>
      </c>
      <c r="L75" s="387"/>
      <c r="N75" s="4" t="s">
        <v>1691</v>
      </c>
      <c r="O75" s="337" t="str">
        <f>IF(ISBLANK(input_wld_nsxt_global_mgr_vmca_signed_thumbprint),"Value Missing",input_wld_nsxt_global_mgr_vmca_signed_thumbprint)</f>
        <v>Value Missing</v>
      </c>
      <c r="Q75" s="584" t="s">
        <v>1942</v>
      </c>
      <c r="R75" s="585"/>
      <c r="T75" s="4" t="s">
        <v>1943</v>
      </c>
      <c r="U75" s="337" t="str">
        <f>IF(ISBLANK(input_mgmt_srm_admin_password),"Value Missing",input_mgmt_srm_admin_password)</f>
        <v>Value Missing</v>
      </c>
      <c r="Z75" s="4" t="s">
        <v>1944</v>
      </c>
      <c r="AA75" s="337" t="str">
        <f>IF(AND(this_instance="sfo",wld_domain_number_chosen=1),"10.23.",IF(AND(this_instance="sfo",wld_domain_number_chosen=2),"10.25.",IF(AND(this_instance="sfo",wld_domain_number_chosen=3),"10.27.",IF(AND(this_instance="lax",wld_domain_number_chosen=1),"10.13.",IF(AND(this_instance="lax",wld_domain_number_chosen=2),"10.15.",IF(AND(this_instance="lax",wld_domain_number_chosen=3),"10.17."))))))</f>
        <v>10.23.</v>
      </c>
    </row>
    <row r="76" spans="2:27" s="2" customFormat="1" ht="20.05" customHeight="1" x14ac:dyDescent="0.45">
      <c r="B76" s="4" t="s">
        <v>1945</v>
      </c>
      <c r="C76" s="337" t="str">
        <f>IF(ISBLANK(input_mgmt_datacenter),"Value Missing",input_mgmt_datacenter)</f>
        <v>Value Missing</v>
      </c>
      <c r="E76" s="4" t="s">
        <v>1946</v>
      </c>
      <c r="F76" s="337" t="str">
        <f>IF(ISBLANK(input_wld_cl01_vds01_lag_name),"Value Missing",input_wld_cl01_vds01_lag_name)</f>
        <v>Value Missing</v>
      </c>
      <c r="H76" s="17" t="s">
        <v>225</v>
      </c>
      <c r="I76" s="337" t="str">
        <f>IF(ISBLANK(input_cluster_az1_host6_fqdn),"Value Missing",input_cluster_az1_host6_fqdn)</f>
        <v>Value Missing</v>
      </c>
      <c r="K76" s="166" t="s">
        <v>261</v>
      </c>
      <c r="L76" s="167" t="s">
        <v>19</v>
      </c>
      <c r="N76" s="4" t="s">
        <v>1697</v>
      </c>
      <c r="O76" s="337" t="str">
        <f>IF(ISBLANK(input_wld_nsxt_global_mgr_cluster_id),"Value Missing",input_wld_nsxt_global_mgr_cluster_id)</f>
        <v>Value Missing</v>
      </c>
      <c r="Q76" s="184" t="s">
        <v>261</v>
      </c>
      <c r="R76" s="184" t="s">
        <v>19</v>
      </c>
      <c r="T76" s="4" t="s">
        <v>1947</v>
      </c>
      <c r="U76" s="337" t="str">
        <f>IF(ISBLANK(input_mgmt_srm_database_password),"Value Missing",input_mgmt_srm_database_password)</f>
        <v>Value Missing</v>
      </c>
      <c r="V76" s="3"/>
      <c r="Z76" s="4" t="s">
        <v>1948</v>
      </c>
      <c r="AA76" s="337">
        <f>IF(AND(this_instance="sfo",wld_domain_number_chosen=1),14,IF(AND(this_instance="sfo",wld_domain_number_chosen=2),16,IF(AND(this_instance="sfo",wld_domain_number_chosen=3),18,IF(AND(this_instance="lax",wld_domain_number_chosen=1),24,IF(AND(this_instance="lax",wld_domain_number_chosen=2),26,IF(AND(this_instance="lax",wld_domain_number_chosen=3),28))))))</f>
        <v>14</v>
      </c>
    </row>
    <row r="77" spans="2:27" s="2" customFormat="1" ht="20.05" customHeight="1" x14ac:dyDescent="0.45">
      <c r="B77" s="4" t="s">
        <v>1949</v>
      </c>
      <c r="C77" s="337" t="str">
        <f>IF(ISBLANK(input_mgmt_cl01_cluster),"Value Missing",input_mgmt_cl01_cluster)</f>
        <v>Value Missing</v>
      </c>
      <c r="E77" s="336" t="s">
        <v>873</v>
      </c>
      <c r="F77" s="336" t="s">
        <v>19</v>
      </c>
      <c r="H77" s="17" t="s">
        <v>227</v>
      </c>
      <c r="I77" s="337" t="str">
        <f>IF(ISBLANK(input_cluster_az1_host7_fqdn),"Value Missing",input_cluster_az1_host7_fqdn)</f>
        <v>Value Missing</v>
      </c>
      <c r="K77" s="4" t="s">
        <v>1928</v>
      </c>
      <c r="L77" s="337" t="str">
        <f>IF(ISBLANK('Active Directory Inputs'!G8),"Value Missing",'Active Directory Inputs'!G8)</f>
        <v>Value Missing</v>
      </c>
      <c r="N77" s="4" t="s">
        <v>1702</v>
      </c>
      <c r="O77" s="337" t="str">
        <f>IF(ISBLANK('Configure Workload Domain'!D434),"Value Missing",'Configure Workload Domain'!D434)</f>
        <v>Value Missing</v>
      </c>
      <c r="Q77" s="17" t="s">
        <v>1950</v>
      </c>
      <c r="R77" s="337" t="str">
        <f>IF(ISBLANK(input_xreg_vrops_virtual_ip),"Value Missing",input_xreg_vrops_virtual_ip)</f>
        <v>Value Missing</v>
      </c>
      <c r="T77" s="4" t="s">
        <v>1951</v>
      </c>
      <c r="U77" s="337" t="str">
        <f>IF(ISBLANK(input_mgmt_srm_site_name),"Value Missing",input_mgmt_srm_site_name)</f>
        <v>Value Missing</v>
      </c>
      <c r="V77" s="3"/>
      <c r="Z77" s="4" t="s">
        <v>1952</v>
      </c>
      <c r="AA77" s="337" t="str">
        <f>IF(AND(this_instance="sfo",wld_domain_number_chosen=1),"10.14.",IF(AND(this_instance="sfo",wld_domain_number_chosen=2),"10.16.",IF(AND(this_instance="sfo",wld_domain_number_chosen=3),"10.18.",IF(AND(this_instance="lax",wld_domain_number_chosen=1),"10.24.",IF(AND(this_instance="lax",wld_domain_number_chosen=2),"10.26.",IF(AND(this_instance="lax",wld_domain_number_chosen=3),"10.28."))))))</f>
        <v>10.14.</v>
      </c>
    </row>
    <row r="78" spans="2:27" s="2" customFormat="1" ht="20.05" customHeight="1" x14ac:dyDescent="0.45">
      <c r="B78" s="4" t="s">
        <v>1953</v>
      </c>
      <c r="C78" s="337" t="str">
        <f>IF(ISBLANK('Deploy Management Domain'!M349),"Value Missing",'Deploy Management Domain'!M349)</f>
        <v>N/A</v>
      </c>
      <c r="E78" s="4" t="s">
        <v>1954</v>
      </c>
      <c r="F78" s="337" t="str">
        <f>IF(ISBLANK(input_wld_cl01_vds02_name),"Value Missing",input_wld_cl01_vds02_name)</f>
        <v>Value Missing</v>
      </c>
      <c r="H78" s="17" t="s">
        <v>229</v>
      </c>
      <c r="I78" s="337" t="str">
        <f>IF(ISBLANK(input_cluster_az1_host8_fqdn),"Value Missing",input_cluster_az1_host8_fqdn)</f>
        <v>Value Missing</v>
      </c>
      <c r="K78" s="4" t="s">
        <v>1932</v>
      </c>
      <c r="L78" s="337" t="str">
        <f>IF(ISBLANK('Active Directory Inputs'!G9),"Value Missing",'Active Directory Inputs'!G9)</f>
        <v>Value Missing</v>
      </c>
      <c r="N78" s="4" t="s">
        <v>1707</v>
      </c>
      <c r="O78" s="337" t="str">
        <f>IF(ISBLANK('Configure Workload Domain'!D452),"Value Missing",'Configure Workload Domain'!D452)</f>
        <v>Value Missing</v>
      </c>
      <c r="Q78" s="17" t="s">
        <v>1955</v>
      </c>
      <c r="R78" s="337" t="str">
        <f>IF(ISBLANK(input_xreg_vrops_nodea_ip),"Value Missing",input_xreg_vrops_nodea_ip)</f>
        <v>Value Missing</v>
      </c>
      <c r="T78" s="4" t="s">
        <v>1956</v>
      </c>
      <c r="U78" s="337" t="str">
        <f>IF(ISBLANK(input_mgmt_srm_admin_email),"Value Missing",input_mgmt_srm_admin_email)</f>
        <v>Value Missing</v>
      </c>
      <c r="V78" s="3"/>
      <c r="Z78" s="4" t="s">
        <v>1957</v>
      </c>
      <c r="AA78" s="337"/>
    </row>
    <row r="79" spans="2:27" s="2" customFormat="1" ht="20.05" customHeight="1" x14ac:dyDescent="0.45">
      <c r="B79" s="4" t="s">
        <v>1958</v>
      </c>
      <c r="C79" s="337" t="str">
        <f>IF(ISBLANK('Deploy Management Domain'!M350),"Value Missing",'Deploy Management Domain'!M350)</f>
        <v>Value Missing</v>
      </c>
      <c r="E79" s="185" t="s">
        <v>1959</v>
      </c>
      <c r="F79" s="337" t="str">
        <f>IF(input_wld_cl01_vds02_pnics="","Value Missing",input_wld_cl01_vds02_pnics)</f>
        <v>Value Missing</v>
      </c>
      <c r="H79" s="17" t="s">
        <v>231</v>
      </c>
      <c r="I79" s="337" t="str">
        <f>IF(ISBLANK(input_cluster_az1_host9_fqdn),"Value Missing",input_cluster_az1_host9_fqdn)</f>
        <v>Value Missing</v>
      </c>
      <c r="N79" s="4" t="s">
        <v>1960</v>
      </c>
      <c r="O79" s="337" t="str">
        <f>IF(ISBLANK(input_wld_az1_rtep_ip_pool_name),"Value Missing",input_wld_az1_rtep_ip_pool_name)</f>
        <v>Value Missing</v>
      </c>
      <c r="Q79" s="17" t="s">
        <v>1961</v>
      </c>
      <c r="R79" s="337" t="str">
        <f>IF(ISBLANK(input_xreg_vrops_nodeb_ip),"Value Missing",input_xreg_vrops_nodeb_ip)</f>
        <v>Value Missing</v>
      </c>
      <c r="T79" s="4" t="s">
        <v>1962</v>
      </c>
      <c r="U79" s="337" t="str">
        <f>IF(ISBLANK(input_mgmt_srm_p12_password),"Value Missing",input_mgmt_srm_p12_password)</f>
        <v>Value Missing</v>
      </c>
      <c r="V79" s="3"/>
      <c r="Z79" s="4" t="s">
        <v>1963</v>
      </c>
      <c r="AA79" s="337"/>
    </row>
    <row r="80" spans="2:27" s="2" customFormat="1" ht="20.05" customHeight="1" x14ac:dyDescent="0.45">
      <c r="B80" s="4" t="s">
        <v>1964</v>
      </c>
      <c r="C80" s="337" t="str">
        <f>IF(ISBLANK('Deploy Management Domain'!M351),"Value Missing",'Deploy Management Domain'!M351)</f>
        <v>Value Missing</v>
      </c>
      <c r="E80" s="4" t="s">
        <v>1965</v>
      </c>
      <c r="F80" s="337" t="str">
        <f t="array" ref="F80">IF(ISBLANK(input_wld_cl01_vds02_uplink_count),"Value Missing",input_wld_cl01_vds02_uplink_count)</f>
        <v>Value Missing</v>
      </c>
      <c r="H80" s="17" t="s">
        <v>233</v>
      </c>
      <c r="I80" s="337" t="str">
        <f>IF(ISBLANK(input_cluster_az1_host10_fqdn),"Value Missing",input_cluster_az1_host10_fqdn)</f>
        <v>Value Missing</v>
      </c>
      <c r="K80" s="387" t="s">
        <v>1966</v>
      </c>
      <c r="L80" s="387"/>
      <c r="N80" s="4" t="s">
        <v>1712</v>
      </c>
      <c r="O80" s="337" t="str">
        <f>IF(ISBLANK(input_wld_nsxt_federation_global_manager_name),"Value Missing",input_wld_nsxt_federation_global_manager_name)</f>
        <v>Value Missing</v>
      </c>
      <c r="Q80" s="17" t="s">
        <v>1967</v>
      </c>
      <c r="R80" s="337" t="str">
        <f>IF(ISBLANK(input_xreg_vrops_nodec_ip),"Value Missing",input_xreg_vrops_nodec_ip)</f>
        <v>Value Missing</v>
      </c>
      <c r="T80" s="4" t="s">
        <v>1968</v>
      </c>
      <c r="U80" s="337" t="str">
        <f>mgmt_srm_vm_size_chosen</f>
        <v>Standard</v>
      </c>
      <c r="V80" s="3"/>
      <c r="Z80" s="4" t="s">
        <v>1969</v>
      </c>
      <c r="AA80" s="337" t="str">
        <f>IF(this_instance="sfo","21","11")</f>
        <v>21</v>
      </c>
    </row>
    <row r="81" spans="2:27" s="2" customFormat="1" ht="20.05" customHeight="1" x14ac:dyDescent="0.45">
      <c r="B81" s="4" t="s">
        <v>1970</v>
      </c>
      <c r="C81" s="337" t="str">
        <f>IF(ISBLANK('Deploy Management Domain'!M352),"Value Missing",'Deploy Management Domain'!M352)</f>
        <v>Value Missing</v>
      </c>
      <c r="E81" s="4" t="s">
        <v>1971</v>
      </c>
      <c r="F81" s="337" t="str">
        <f>IF(input_wld_cl01_vds02_mtu="","Value Missing",input_wld_cl01_vds02_mtu)</f>
        <v>Value Missing</v>
      </c>
      <c r="H81" s="17" t="s">
        <v>235</v>
      </c>
      <c r="I81" s="337" t="str">
        <f>IF(ISBLANK(input_cluster_az1_host11_fqdn),"Value Missing",input_cluster_az1_host11_fqdn)</f>
        <v>Value Missing</v>
      </c>
      <c r="K81" s="166" t="s">
        <v>261</v>
      </c>
      <c r="L81" s="167" t="s">
        <v>19</v>
      </c>
      <c r="N81" s="4" t="s">
        <v>1717</v>
      </c>
      <c r="O81" s="337" t="str">
        <f>IF(ISBLANK('Configure Workload Domain'!D493),"Value Missing",'Configure Workload Domain'!D493)</f>
        <v>Value Missing</v>
      </c>
      <c r="Q81" s="17" t="s">
        <v>1972</v>
      </c>
      <c r="R81" s="337" t="str">
        <f>IF(ISBLANK(input_xreg_vrops_collector_ip),"Value Missing",input_xreg_vrops_collector_ip)</f>
        <v>Value Missing</v>
      </c>
      <c r="T81" s="4" t="s">
        <v>1973</v>
      </c>
      <c r="U81" s="337" t="str">
        <f>IF(ISBLANK(input_mgmt_srm_rpo),"Value Missing",input_mgmt_srm_rpo)</f>
        <v>Value Missing</v>
      </c>
      <c r="V81" s="3"/>
      <c r="Z81" s="4" t="s">
        <v>1974</v>
      </c>
      <c r="AA81" s="337" t="str">
        <f>IF(this_instance="sfo","10.21.","10.11.")</f>
        <v>10.21.</v>
      </c>
    </row>
    <row r="82" spans="2:27" s="2" customFormat="1" ht="20.05" customHeight="1" x14ac:dyDescent="0.45">
      <c r="B82" s="4" t="s">
        <v>1975</v>
      </c>
      <c r="C82" s="337" t="str">
        <f>IF(ISBLANK('Deploy Management Domain'!M353),"Value Missing",'Deploy Management Domain'!M353)</f>
        <v>Value Missing</v>
      </c>
      <c r="E82" s="4" t="s">
        <v>1976</v>
      </c>
      <c r="F82" s="337" t="str">
        <f>IF(wld_cl01_vds_profile_chosen="Default","Value Missing",IF(wld_cl01_vds_profile_chosen&lt;&gt;"Custom","Route Based on Physical Nic Load","Value Missing"))</f>
        <v>Value Missing</v>
      </c>
      <c r="H82" s="17" t="s">
        <v>237</v>
      </c>
      <c r="I82" s="337" t="str">
        <f>IF(ISBLANK(input_cluster_az1_host12_fqdn),"Value Missing",input_cluster_az1_host12_fqdn)</f>
        <v>Value Missing</v>
      </c>
      <c r="K82" s="4" t="s">
        <v>1928</v>
      </c>
      <c r="L82" s="337" t="str">
        <f>IF(ISBLANK('Active Directory Inputs'!E10),"Value Missing",'Active Directory Inputs'!E10)</f>
        <v>Value Missing</v>
      </c>
      <c r="N82" s="4" t="s">
        <v>1977</v>
      </c>
      <c r="O82" s="337" t="str">
        <f>IF(ISBLANK('Configure Workload Domain'!D491),"Value Missing",'Configure Workload Domain'!D491)</f>
        <v>Value Missing</v>
      </c>
      <c r="Q82" s="6"/>
      <c r="T82" s="4" t="s">
        <v>1978</v>
      </c>
      <c r="U82" s="337" t="str">
        <f>IF(ISBLANK(input_mgmt_srm_instances_per_day),"Value Missing",input_mgmt_srm_instances_per_day)</f>
        <v>Value Missing</v>
      </c>
      <c r="V82" s="3"/>
      <c r="Z82" s="4" t="s">
        <v>1979</v>
      </c>
      <c r="AA82" s="337" t="str">
        <f>IF(mgmt_domain_chosen="First Domain","6501","6503")</f>
        <v>6503</v>
      </c>
    </row>
    <row r="83" spans="2:27" s="2" customFormat="1" ht="20.05" customHeight="1" x14ac:dyDescent="0.45">
      <c r="B83" s="4" t="s">
        <v>1980</v>
      </c>
      <c r="C83" s="337"/>
      <c r="E83" s="4" t="s">
        <v>1981</v>
      </c>
      <c r="F83" s="337" t="str">
        <f>IF(wld_cl01_vds_profile_chosen="Default","Value Missing",
IF(wld_cl01_vds_profile_chosen="Storage Traffic Separation",IF(wld_principal_storage_chosen="NFSv3","NFS","vSAN"),
IF(wld_cl01_vds_profile_chosen="NSX Traffic Separation","NSX-Overlay",
IF(wld_cl01_vds_profile_chosen="Storage Traffic and NSX Traffic Separation",IF(wld_principal_storage_chosen="NFSv3","NFS","vSAN"),
IF(wld_cl01_vds_profile_chosen="Storage Traffic and NSX Traffic Separation","Management, vMotion",
IF(wld_cl01_vds_profile_chosen="vSAN Max Storage Traffic Separation","vSAN",
IF(wld_cl01_vds_profile_chosen="vSAN Max Storage Traffic and NSX Traffic Separation","vSAN","Value Missing")))))))</f>
        <v>Value Missing</v>
      </c>
      <c r="H83" s="17" t="s">
        <v>239</v>
      </c>
      <c r="I83" s="337" t="str">
        <f>IF(ISBLANK(input_cluster_az1_host13_fqdn),"Value Missing",input_cluster_az1_host13_fqdn)</f>
        <v>Value Missing</v>
      </c>
      <c r="K83" s="4" t="s">
        <v>1932</v>
      </c>
      <c r="L83" s="337" t="str">
        <f>IF(ISBLANK('Active Directory Inputs'!E11),"Value Missing",'Active Directory Inputs'!E11)</f>
        <v>Value Missing</v>
      </c>
      <c r="N83" s="4" t="s">
        <v>1982</v>
      </c>
      <c r="O83" s="337" t="str">
        <f>IF(ISBLANK('Configure Workload Domain'!D480),"Value Missing",'Configure Workload Domain'!D480)</f>
        <v>Value Missing</v>
      </c>
      <c r="Q83" s="584" t="s">
        <v>1983</v>
      </c>
      <c r="R83" s="585"/>
      <c r="T83" s="4" t="s">
        <v>1984</v>
      </c>
      <c r="U83" s="337" t="str">
        <f>IF(ISBLANK(input_mgmt_srm_days),"Value Missing",input_mgmt_srm_days)</f>
        <v>Value Missing</v>
      </c>
      <c r="V83" s="3"/>
      <c r="Z83" s="4" t="s">
        <v>1985</v>
      </c>
      <c r="AA83" s="337" t="str">
        <f>IF(this_instance="sfo","192.168.2","192.168.4")</f>
        <v>192.168.2</v>
      </c>
    </row>
    <row r="84" spans="2:27" s="2" customFormat="1" ht="20.05" customHeight="1" x14ac:dyDescent="0.45">
      <c r="B84" s="337" t="s">
        <v>1986</v>
      </c>
      <c r="C84" s="337" t="str">
        <f>IF(ISBLANK(input_mgmt_sso_domain),"Value Missing",input_mgmt_sso_domain)</f>
        <v>Value Missing</v>
      </c>
      <c r="E84" s="4" t="s">
        <v>1946</v>
      </c>
      <c r="F84" s="337" t="str">
        <f t="array" ref="F84">IF(ISBLANK(input_wld_cl01_vds02_lag_name),"Value Missing",input_wld_cl01_vds02_lag_name)</f>
        <v>Value Missing</v>
      </c>
      <c r="H84" s="17" t="s">
        <v>241</v>
      </c>
      <c r="I84" s="337" t="str">
        <f>IF(ISBLANK(input_cluster_az1_host14_fqdn),"Value Missing",input_cluster_az1_host14_fqdn)</f>
        <v>Value Missing</v>
      </c>
      <c r="N84" s="4" t="s">
        <v>1730</v>
      </c>
      <c r="O84" s="337" t="str">
        <f>IF(ISBLANK('Configure Workload Domain'!D505),"Value Missing",'Configure Workload Domain'!D505)</f>
        <v>Value Missing</v>
      </c>
      <c r="Q84" s="184" t="s">
        <v>261</v>
      </c>
      <c r="R84" s="184" t="s">
        <v>19</v>
      </c>
      <c r="T84" s="4" t="s">
        <v>1987</v>
      </c>
      <c r="U84" s="337" t="str">
        <f>IF(ISBLANK(input_mgmt_srm_vrslcm_wsa_pg),"Value Missing",input_mgmt_srm_vrslcm_wsa_pg)</f>
        <v>Value Missing</v>
      </c>
      <c r="V84" s="3"/>
      <c r="Z84" s="4" t="s">
        <v>1988</v>
      </c>
      <c r="AA84" s="337" t="str">
        <f>IF(this_instance="sfo","10.21.","10.11.")</f>
        <v>10.21.</v>
      </c>
    </row>
    <row r="85" spans="2:27" s="2" customFormat="1" ht="20.05" customHeight="1" x14ac:dyDescent="0.45">
      <c r="B85" s="337" t="s">
        <v>1989</v>
      </c>
      <c r="C85" s="337" t="str">
        <f>IF(ISBLANK(input_mgmt_sso_domain_username),"Value Missing",input_mgmt_sso_domain_username)</f>
        <v>Value Missing</v>
      </c>
      <c r="E85" s="336" t="s">
        <v>876</v>
      </c>
      <c r="F85" s="336" t="s">
        <v>19</v>
      </c>
      <c r="H85" s="17" t="s">
        <v>243</v>
      </c>
      <c r="I85" s="337" t="str">
        <f>IF(ISBLANK(input_cluster_az1_host15_fqdn),"Value Missing",input_cluster_az1_host15_fqdn)</f>
        <v>Value Missing</v>
      </c>
      <c r="K85" s="387" t="s">
        <v>1990</v>
      </c>
      <c r="L85" s="387"/>
      <c r="N85" s="4" t="s">
        <v>1737</v>
      </c>
      <c r="O85" s="337" t="str">
        <f>IF(ISBLANK('Configure Workload Domain'!D512),"Value Missing",'Configure Workload Domain'!D512)</f>
        <v>Value Missing</v>
      </c>
      <c r="Q85" s="17" t="s">
        <v>1950</v>
      </c>
      <c r="R85" s="337" t="str">
        <f>IF(xreg_vrops_virtual_fqdn="Value Missing",xreg_vrops_virtual_fqdn,LEFT(xreg_vrops_virtual_fqdn,FIND(".",xreg_vrops_virtual_fqdn)-1))</f>
        <v>Value Missing</v>
      </c>
      <c r="T85" s="4" t="s">
        <v>1991</v>
      </c>
      <c r="U85" s="337" t="str">
        <f>IF(ISBLANK(input_mgmt_srm_vrslcm_wsa_rp),"Value Missing",input_mgmt_srm_vrslcm_wsa_rp)</f>
        <v>Value Missing</v>
      </c>
      <c r="V85" s="3"/>
      <c r="Z85" s="4" t="s">
        <v>1992</v>
      </c>
      <c r="AA85" s="337" t="s">
        <v>1993</v>
      </c>
    </row>
    <row r="86" spans="2:27" s="2" customFormat="1" ht="20.05" customHeight="1" x14ac:dyDescent="0.45">
      <c r="B86" s="4" t="s">
        <v>1994</v>
      </c>
      <c r="C86" s="337" t="str">
        <f>IF(ISBLANK(input_vcf_instance_name),"Value Missing",input_vcf_instance_name)</f>
        <v>Value Missing</v>
      </c>
      <c r="E86" s="4" t="s">
        <v>1995</v>
      </c>
      <c r="F86" s="337" t="str">
        <f>IF(ISBLANK(input_wld_cl01_vds03_name),"Value Missing",input_wld_cl01_vds03_name)</f>
        <v>Value Missing</v>
      </c>
      <c r="H86" s="17" t="s">
        <v>245</v>
      </c>
      <c r="I86" s="337" t="str">
        <f>IF(ISBLANK(input_cluster_az1_host16_fqdn),"Value Missing",input_cluster_az1_host16_fqdn)</f>
        <v>Value Missing</v>
      </c>
      <c r="K86" s="166" t="s">
        <v>261</v>
      </c>
      <c r="L86" s="167" t="s">
        <v>19</v>
      </c>
      <c r="N86" s="4" t="s">
        <v>1744</v>
      </c>
      <c r="O86" s="337" t="str">
        <f>IF(ISBLANK(input_wld_existing_cross_instance_t0_name),"Value Missing",input_wld_existing_cross_instance_t0_name)</f>
        <v>Value Missing</v>
      </c>
      <c r="Q86" s="17" t="s">
        <v>1955</v>
      </c>
      <c r="R86" s="337" t="str">
        <f>IF(xreg_vrops_nodea_fqdn="Value Missing",xreg_vrops_nodea_fqdn,LEFT(xreg_vrops_nodea_fqdn,FIND(".",xreg_vrops_nodea_fqdn)-1))</f>
        <v>Value Missing</v>
      </c>
      <c r="T86" s="4" t="s">
        <v>1996</v>
      </c>
      <c r="U86" s="337" t="str">
        <f>IF(ISBLANK(input_mgmt_srm_vrops_pg),"Value Missing",input_mgmt_srm_vrops_pg)</f>
        <v>Value Missing</v>
      </c>
      <c r="V86" s="3"/>
      <c r="Z86" s="4" t="s">
        <v>1997</v>
      </c>
      <c r="AA86" s="337"/>
    </row>
    <row r="87" spans="2:27" s="2" customFormat="1" ht="20.05" customHeight="1" x14ac:dyDescent="0.45">
      <c r="E87" s="4" t="s">
        <v>1998</v>
      </c>
      <c r="F87" s="337" t="str">
        <f>IF(input_wld_cl01_vds03_mtu="","Value Missing",input_wld_cl01_vds03_mtu)</f>
        <v>Value Missing</v>
      </c>
      <c r="H87" s="17" t="s">
        <v>264</v>
      </c>
      <c r="I87" s="337" t="str">
        <f>cluster_principal_storage_chosen</f>
        <v>vSAN-ESA</v>
      </c>
      <c r="K87" s="4" t="s">
        <v>1928</v>
      </c>
      <c r="L87" s="337" t="str">
        <f>IF(ISBLANK('Active Directory Inputs'!G10),"Value Missing",'Active Directory Inputs'!G10)</f>
        <v>Value Missing</v>
      </c>
      <c r="N87" s="4" t="s">
        <v>1441</v>
      </c>
      <c r="O87" s="337"/>
      <c r="Q87" s="17" t="s">
        <v>1999</v>
      </c>
      <c r="R87" s="337" t="str">
        <f>IF(xreg_vrops_nodeb_fqdn="Value Missing",xreg_vrops_nodeb_fqdn,LEFT(xreg_vrops_nodeb_fqdn,FIND(".",xreg_vrops_nodeb_fqdn)-1))</f>
        <v>Value Missing</v>
      </c>
      <c r="T87" s="4" t="s">
        <v>2000</v>
      </c>
      <c r="U87" s="337" t="str">
        <f>IF(ISBLANK(input_mgmt_srm_vrops_rp),"Value Missing",input_mgmt_srm_vrops_rp)</f>
        <v>Value Missing</v>
      </c>
      <c r="V87" s="3"/>
      <c r="Z87" s="4" t="s">
        <v>2001</v>
      </c>
      <c r="AA87" s="337"/>
    </row>
    <row r="88" spans="2:27" s="2" customFormat="1" ht="20.05" customHeight="1" x14ac:dyDescent="0.45">
      <c r="B88" s="582" t="s">
        <v>2002</v>
      </c>
      <c r="C88" s="586"/>
      <c r="E88" s="4" t="s">
        <v>2003</v>
      </c>
      <c r="F88" s="337" t="str">
        <f>IF(input_wld_cl01_vds03_pnics="","Value Missing",input_wld_cl01_vds03_pnics)</f>
        <v>Value Missing</v>
      </c>
      <c r="H88" s="17" t="s">
        <v>266</v>
      </c>
      <c r="I88" s="337"/>
      <c r="K88" s="4" t="s">
        <v>1932</v>
      </c>
      <c r="L88" s="337" t="str">
        <f>IF(ISBLANK('Active Directory Inputs'!G11),"Value Missing",'Active Directory Inputs'!G11)</f>
        <v>Value Missing</v>
      </c>
      <c r="N88" s="4" t="s">
        <v>1945</v>
      </c>
      <c r="O88" s="337" t="str">
        <f>IF(ISBLANK(input_wld_datacenter),"Value Missing",input_wld_datacenter)</f>
        <v>Value Missing</v>
      </c>
      <c r="Q88" s="17" t="s">
        <v>2004</v>
      </c>
      <c r="R88" s="337" t="str">
        <f>IF(xreg_vrops_nodec_fqdn="Value Missing",xreg_vrops_nodec_fqdn,LEFT(xreg_vrops_nodec_fqdn,FIND(".",xreg_vrops_nodec_fqdn)-1))</f>
        <v>Value Missing</v>
      </c>
      <c r="T88" s="4" t="s">
        <v>2005</v>
      </c>
      <c r="U88" s="337" t="str">
        <f>IF(ISBLANK(input_mgmt_srm_vra_pg),"Value Missing",input_mgmt_srm_vra_pg)</f>
        <v>Value Missing</v>
      </c>
      <c r="V88" s="3"/>
      <c r="Z88" s="4" t="s">
        <v>2006</v>
      </c>
      <c r="AA88" s="337" t="str">
        <f>IF(this_instance="sfo","10.11.99","10.21.99")</f>
        <v>10.11.99</v>
      </c>
    </row>
    <row r="89" spans="2:27" s="2" customFormat="1" ht="20.05" customHeight="1" x14ac:dyDescent="0.45">
      <c r="B89" s="336" t="s">
        <v>261</v>
      </c>
      <c r="C89" s="336" t="s">
        <v>1904</v>
      </c>
      <c r="E89" s="4" t="s">
        <v>2007</v>
      </c>
      <c r="F89" s="337" t="str">
        <f t="array" ref="F89">IF(ISBLANK(input_wld_cl01_vds03_uplink_count),"Value Missing",input_wld_cl01_vds03_uplink_count)</f>
        <v>Value Missing</v>
      </c>
      <c r="H89" s="17" t="s">
        <v>268</v>
      </c>
      <c r="I89" s="337"/>
      <c r="N89" s="4" t="s">
        <v>2008</v>
      </c>
      <c r="O89" s="337" t="str">
        <f>IF(ISBLANK('Private AI Ready Infrastructure'!D15),"Value Missing",'Private AI Ready Infrastructure'!D15)</f>
        <v>Value Missing</v>
      </c>
      <c r="Q89" s="17" t="s">
        <v>1972</v>
      </c>
      <c r="R89" s="337" t="str">
        <f>IF(xreg_vrops_collector_fqdn="Value Missing",xreg_vrops_collector_fqdn,LEFT(xreg_vrops_collector_fqdn,FIND(".",xreg_vrops_collector_fqdn)-1))</f>
        <v>Value Missing</v>
      </c>
      <c r="T89" s="4" t="s">
        <v>2009</v>
      </c>
      <c r="U89" s="337" t="str">
        <f>IF(ISBLANK(input_mgmt_srm_vra_rp),"Value Missing",input_mgmt_srm_vra_rp)</f>
        <v>Value Missing</v>
      </c>
      <c r="V89" s="3"/>
      <c r="Z89" s="4"/>
      <c r="AA89" s="337"/>
    </row>
    <row r="90" spans="2:27" s="2" customFormat="1" ht="20.05" customHeight="1" x14ac:dyDescent="0.35">
      <c r="B90" s="4" t="s">
        <v>2010</v>
      </c>
      <c r="C90" s="337" t="str">
        <f>IF(ISBLANK(mgmt_cl01_vds_profile_chosen),"Value Missing",mgmt_cl01_vds_profile_chosen)</f>
        <v>Default</v>
      </c>
      <c r="E90" s="4" t="s">
        <v>2011</v>
      </c>
      <c r="F90" s="337" t="str">
        <f>IF(wld_cl01_vds_profile_chosen&lt;&gt;"Storage Traffic and NSX Traffic Separation","Value Missing","Route Based on Physical Nic Load")</f>
        <v>Value Missing</v>
      </c>
      <c r="H90" s="17" t="s">
        <v>2012</v>
      </c>
      <c r="I90" s="337"/>
      <c r="K90" s="387" t="s">
        <v>2013</v>
      </c>
      <c r="L90" s="387"/>
      <c r="N90" s="4" t="s">
        <v>2014</v>
      </c>
      <c r="O90" s="337" t="str">
        <f>CONCATENATE(wld_sddc_domain,"-",wld_vc_hostname,"-",wld_cl01_cluster,"-vds01-management")</f>
        <v>Value Missing-Value Missing-Value Missing-vds01-management</v>
      </c>
      <c r="Q90" s="8"/>
      <c r="R90" s="8"/>
      <c r="T90" s="4" t="s">
        <v>2015</v>
      </c>
      <c r="U90" s="337" t="str">
        <f>IF(ISBLANK(input_mgmt_srm_recovery_vcenter_fqdn),"Value Missing",input_mgmt_srm_recovery_vcenter_fqdn)</f>
        <v>Value Missing</v>
      </c>
      <c r="V90" s="3"/>
      <c r="Z90" s="6"/>
    </row>
    <row r="91" spans="2:27" s="2" customFormat="1" ht="20.05" customHeight="1" x14ac:dyDescent="0.45">
      <c r="B91" s="336" t="s">
        <v>857</v>
      </c>
      <c r="C91" s="336" t="s">
        <v>19</v>
      </c>
      <c r="E91" s="4" t="s">
        <v>2016</v>
      </c>
      <c r="F91" s="337" t="str">
        <f>IF(wld_cl01_vds_profile_chosen="Default","Value Missing",IF(wld_cl01_vds_profile_chosen="Storage Traffic Separation","Value Missing",IF(wld_cl01_vds_profile_chosen="NSX Traffic Separation","Value Missing",IF(OR(wld_cl01_vds_profile_chosen="Storage Traffic and NSX Traffic Separation",wld_cl01_vds_profile_chosen="vSAN Max Storage Traffic and NSX Traffic Separation"),"NSX-Overlay","Value Missing"))))</f>
        <v>Value Missing</v>
      </c>
      <c r="H91" s="17" t="s">
        <v>46</v>
      </c>
      <c r="I91" s="337" t="str">
        <f>IF(ISBLANK(input_cluster_esx_root_username),"Value Missing",input_cluster_esx_root_username)</f>
        <v>Value Missing</v>
      </c>
      <c r="K91" s="166" t="s">
        <v>261</v>
      </c>
      <c r="L91" s="167" t="s">
        <v>19</v>
      </c>
      <c r="Q91" s="584" t="s">
        <v>2017</v>
      </c>
      <c r="R91" s="585"/>
      <c r="T91" s="4" t="s">
        <v>2018</v>
      </c>
      <c r="U91" s="337" t="str">
        <f>IF(ISBLANK(input_mgmt_srm_recovery_vcenter_username),"Value Missing",input_mgmt_srm_recovery_vcenter_username)</f>
        <v>Value Missing</v>
      </c>
      <c r="V91" s="3"/>
    </row>
    <row r="92" spans="2:27" s="2" customFormat="1" ht="20.05" customHeight="1" x14ac:dyDescent="0.45">
      <c r="B92" s="4" t="s">
        <v>1918</v>
      </c>
      <c r="C92" s="337" t="str">
        <f>IF(ISBLANK('Deploy Management Domain'!L188),"Value Missing",'Deploy Management Domain'!L188)</f>
        <v>Value Missing</v>
      </c>
      <c r="E92" s="4" t="s">
        <v>1946</v>
      </c>
      <c r="F92" s="2" t="str">
        <f t="array" ref="F92">IF(ISBLANK(input_wld_cl01_vds03_lag_name),"Value Missing",input_wld_cl01_vds03_lag_name)</f>
        <v>Value Missing</v>
      </c>
      <c r="H92" s="17" t="s">
        <v>29</v>
      </c>
      <c r="I92" s="337" t="str">
        <f>IF(ISBLANK(input_cluster_esx_root_password),"Value Missing",input_cluster_esx_root_password)</f>
        <v>Value Missing</v>
      </c>
      <c r="K92" s="4" t="s">
        <v>1928</v>
      </c>
      <c r="L92" s="337"/>
      <c r="N92" s="588" t="s">
        <v>2019</v>
      </c>
      <c r="O92" s="589"/>
      <c r="Q92" s="184" t="s">
        <v>261</v>
      </c>
      <c r="R92" s="184" t="s">
        <v>19</v>
      </c>
      <c r="T92" s="4" t="s">
        <v>2020</v>
      </c>
      <c r="U92" s="337" t="str">
        <f>IF(ISBLANK(input_mgmt_srm_recovery_vcenter_password),"Value Missing",input_mgmt_srm_recovery_vcenter_password)</f>
        <v>Value Missing</v>
      </c>
      <c r="V92" s="3"/>
      <c r="Z92" s="384" t="s">
        <v>2021</v>
      </c>
      <c r="AA92" s="389"/>
    </row>
    <row r="93" spans="2:27" s="2" customFormat="1" ht="20.05" customHeight="1" x14ac:dyDescent="0.35">
      <c r="B93" s="4" t="s">
        <v>2022</v>
      </c>
      <c r="C93" s="337" t="str">
        <f>IF(ISBLANK(input_mgmt_cl01_vds01_uplink1),"Value Missing",input_mgmt_cl01_vds01_uplink1)</f>
        <v>Value Missing</v>
      </c>
      <c r="E93" s="8"/>
      <c r="F93" s="8"/>
      <c r="H93" s="17" t="s">
        <v>2023</v>
      </c>
      <c r="I93" s="337" t="str">
        <f>IF(ISBLANK(input_cluster_name),"Value Missing",input_cluster_name)</f>
        <v>Value Missing</v>
      </c>
      <c r="K93" s="4" t="s">
        <v>1932</v>
      </c>
      <c r="L93" s="337"/>
      <c r="N93" s="4" t="s">
        <v>1326</v>
      </c>
      <c r="O93" s="337" t="str">
        <f>IF(ISBLANK(input_vvs_dr_ntp1_server),"Value Missing",input_vvs_dr_ntp1_server)</f>
        <v>Value Missing</v>
      </c>
      <c r="Q93" s="17" t="s">
        <v>1950</v>
      </c>
      <c r="R93" s="337" t="str">
        <f>IF(ISBLANK(input_xreg_vrops_virtual_fqdn),"Value Missing",input_xreg_vrops_virtual_fqdn)</f>
        <v>Value Missing</v>
      </c>
      <c r="T93" s="4" t="s">
        <v>2024</v>
      </c>
      <c r="U93" s="337" t="str">
        <f>IF(ISBLANK(input_mgmt_srm_recovery_sddc_manager_domain),"Value Missing",input_mgmt_srm_recovery_sddc_manager_domain)</f>
        <v>Value Missing</v>
      </c>
      <c r="V93" s="3"/>
      <c r="Z93" s="166" t="s">
        <v>261</v>
      </c>
      <c r="AA93" s="167" t="s">
        <v>1904</v>
      </c>
    </row>
    <row r="94" spans="2:27" s="2" customFormat="1" ht="20.05" customHeight="1" x14ac:dyDescent="0.45">
      <c r="B94" s="4" t="s">
        <v>2025</v>
      </c>
      <c r="C94" s="337" t="str">
        <f>IF(ISBLANK(input_mgmt_cl01_vds01_uplink2),"Value Missing",input_mgmt_cl01_vds01_uplink2)</f>
        <v>Value Missing</v>
      </c>
      <c r="E94" s="384" t="s">
        <v>2026</v>
      </c>
      <c r="F94" s="389"/>
      <c r="H94" s="17" t="s">
        <v>2027</v>
      </c>
      <c r="I94" s="337" t="str">
        <f>IF(ISBLANK(input_cluster_image_name),"Value Missing",input_cluster_image_name)</f>
        <v>Value Missing</v>
      </c>
      <c r="N94" s="4" t="s">
        <v>2028</v>
      </c>
      <c r="O94" s="337" t="str">
        <f>IF(ISBLANK(input_vvs_dr_dns1_ip),"Value Missing",input_vvs_dr_dns1_ip)</f>
        <v>Value Missing</v>
      </c>
      <c r="Q94" s="17" t="s">
        <v>1955</v>
      </c>
      <c r="R94" s="337" t="str">
        <f>IF(ISBLANK(input_xreg_vrops_nodea_fqdn),"Value Missing",input_xreg_vrops_nodea_fqdn)</f>
        <v>Value Missing</v>
      </c>
      <c r="T94" s="4" t="s">
        <v>2029</v>
      </c>
      <c r="U94" s="337" t="str">
        <f>IF(ISBLANK(input_mgmt_srm_recovery_nsx_location),"Value Missing",input_mgmt_srm_recovery_nsx_location)</f>
        <v>Value Missing</v>
      </c>
      <c r="V94" s="3"/>
      <c r="Z94" s="4" t="s">
        <v>2030</v>
      </c>
      <c r="AA94" s="337" t="str">
        <f>IF(AND((spr_chosen="Management Only"),(spr_result="Included")),"True","False")</f>
        <v>False</v>
      </c>
    </row>
    <row r="95" spans="2:27" s="2" customFormat="1" ht="20.05" customHeight="1" x14ac:dyDescent="0.45">
      <c r="B95" s="4" t="s">
        <v>1927</v>
      </c>
      <c r="C95" s="337" t="str">
        <f>IF(ISBLANK(input_mgmt_cl01_vds01_uplink_count),"Value Missing",input_mgmt_cl01_vds01_uplink_count)</f>
        <v>Value Missing</v>
      </c>
      <c r="E95" s="166" t="s">
        <v>261</v>
      </c>
      <c r="F95" s="167" t="s">
        <v>1904</v>
      </c>
      <c r="H95" s="17" t="s">
        <v>838</v>
      </c>
      <c r="I95" s="337"/>
      <c r="K95" s="387" t="s">
        <v>2031</v>
      </c>
      <c r="L95" s="387"/>
      <c r="N95" s="4" t="s">
        <v>2032</v>
      </c>
      <c r="O95" s="337" t="str">
        <f>IF(ISBLANK(input_vvs_dr_dns2_ip),"Value Missing",input_vvs_dr_dns2_ip)</f>
        <v>Value Missing</v>
      </c>
      <c r="Q95" s="17" t="s">
        <v>1961</v>
      </c>
      <c r="R95" s="337" t="str">
        <f>IF(ISBLANK(input_xreg_vrops_nodeb_fqdn),"Value Missing",input_xreg_vrops_nodeb_fqdn)</f>
        <v>Value Missing</v>
      </c>
      <c r="T95" s="4" t="s">
        <v>2033</v>
      </c>
      <c r="U95" s="337" t="str">
        <f>IF(ISBLANK(input_mgmt_srm_recovery_nsx_ec_name),"Value Missing",input_mgmt_srm_recovery_nsx_ec_name)</f>
        <v>Value Missing</v>
      </c>
      <c r="V95" s="3"/>
      <c r="Z95" s="4" t="s">
        <v>2034</v>
      </c>
      <c r="AA95" s="337" t="str">
        <f>IF(AND((spr_chosen="VI Workload Only"),(spr_result="Included")),"True","False")</f>
        <v>False</v>
      </c>
    </row>
    <row r="96" spans="2:27" s="2" customFormat="1" ht="20.05" customHeight="1" x14ac:dyDescent="0.45">
      <c r="B96" s="4" t="s">
        <v>1931</v>
      </c>
      <c r="C96" s="337" t="str">
        <f>IF(ISBLANK(input_mgmt_cl01_vds01_mtu),"Value Missing",input_mgmt_cl01_vds01_mtu)</f>
        <v>Value Missing</v>
      </c>
      <c r="E96" s="4" t="s">
        <v>2035</v>
      </c>
      <c r="F96" s="337" t="str">
        <f>IF(ISBLANK(input_wld_cl01_vsan_datastore),"Value Missing",input_wld_cl01_vsan_datastore)</f>
        <v>Value Missing</v>
      </c>
      <c r="H96" s="22" t="s">
        <v>1170</v>
      </c>
      <c r="I96" s="337" t="str">
        <f>IF(ISBLANK(input_cluster_storage_cluster_name),"Value Missing",input_cluster_storage_cluster_name)</f>
        <v>Value Missing</v>
      </c>
      <c r="K96" s="166" t="s">
        <v>261</v>
      </c>
      <c r="L96" s="167" t="s">
        <v>19</v>
      </c>
      <c r="N96" s="4" t="s">
        <v>2036</v>
      </c>
      <c r="O96" s="337" t="str">
        <f>IF(ISBLANK(input_vvs_dr_parent_dns_zone),"Value Missing",input_vvs_dr_parent_dns_zone)</f>
        <v>Value Missing</v>
      </c>
      <c r="Q96" s="17" t="s">
        <v>1967</v>
      </c>
      <c r="R96" s="337" t="str">
        <f>IF(ISBLANK(input_xreg_vrops_nodec_fqdn),"Value Missing",input_xreg_vrops_nodec_fqdn)</f>
        <v>Value Missing</v>
      </c>
      <c r="T96" s="4" t="s">
        <v>2037</v>
      </c>
      <c r="U96" s="337" t="str">
        <f>IF(ISBLANK(input_mgmt_srm_recovery_cluster),"Value Missing",input_mgmt_srm_recovery_cluster)</f>
        <v>Value Missing</v>
      </c>
      <c r="V96" s="3"/>
      <c r="Z96" s="4" t="s">
        <v>2038</v>
      </c>
      <c r="AA96" s="337" t="str">
        <f>IF(spr_chosen="Management &amp; VI Workload","True","False")</f>
        <v>False</v>
      </c>
    </row>
    <row r="97" spans="2:27" s="2" customFormat="1" ht="20.05" customHeight="1" x14ac:dyDescent="0.45">
      <c r="B97" s="4" t="s">
        <v>1946</v>
      </c>
      <c r="C97" s="337" t="str">
        <f>IF(ISBLANK(input_mgmt_cl01_vds01_lag_name),"Value Missing",input_mgmt_cl01_vds01_lag_name)</f>
        <v>Value Missing</v>
      </c>
      <c r="E97" s="4" t="s">
        <v>2039</v>
      </c>
      <c r="F97" s="337" t="str">
        <f>IF(ISBLANK(wld_cl01_vsan_ftt_chosen),"Value Missing",IF(AND(wld_multirack_result="Included",wld_cl01_vsan_ftt_chosen=1,wld_principal_storage_chosen="vSAN-ESA"),"1 failure - RAID 5 (Erasure Coding)",IF(AND(wld_multirack_result="Included",wld_cl01_vsan_ftt_chosen=2,wld_principal_storage_chosen="vSAN-ESA"),"1 failure - RAID 6 (Erasure Coding)",wld_cl01_vsan_ftt_chosen)))</f>
        <v>1</v>
      </c>
      <c r="H97" s="22" t="s">
        <v>279</v>
      </c>
      <c r="I97" s="337" t="str">
        <f>IF(ISBLANK(input_cluster_vsan_datastore),"Value Missing",input_cluster_vsan_datastore)</f>
        <v>Value Missing</v>
      </c>
      <c r="K97" s="4" t="s">
        <v>2040</v>
      </c>
      <c r="L97" s="337" t="s">
        <v>1844</v>
      </c>
      <c r="N97" s="4" t="s">
        <v>2041</v>
      </c>
      <c r="O97" s="337" t="str">
        <f>IF(ISBLANK(input_vvs_dr_flt_fleet_manager_fqdn),"Value Missing",input_vvs_dr_flt_fleet_manager_fqdn)</f>
        <v>Value Missing</v>
      </c>
      <c r="Q97" s="17" t="s">
        <v>1972</v>
      </c>
      <c r="R97" s="337" t="str">
        <f>IF(ISBLANK(input_xreg_vrops_collector_fqdn),"Value Missing",input_xreg_vrops_collector_fqdn)</f>
        <v>Value Missing</v>
      </c>
      <c r="T97" s="4" t="s">
        <v>2042</v>
      </c>
      <c r="U97" s="337" t="str">
        <f>IF(ISBLANK(input_mgmt_srm_recovery_datastore),"Value Missing",input_mgmt_srm_recovery_datastore)</f>
        <v>Value Missing</v>
      </c>
      <c r="V97" s="3"/>
      <c r="Z97" s="4" t="s">
        <v>2043</v>
      </c>
      <c r="AA97" s="337" t="str">
        <f>IF(AND((mgmt_domain_chosen="Deploy a new VCF fleet"),(OR((spr_mo_result="True"),(spr_mw_result="True")))),"True","False")</f>
        <v>False</v>
      </c>
    </row>
    <row r="98" spans="2:27" s="2" customFormat="1" ht="20.05" customHeight="1" x14ac:dyDescent="0.35">
      <c r="B98" s="336" t="s">
        <v>873</v>
      </c>
      <c r="C98" s="336" t="s">
        <v>19</v>
      </c>
      <c r="E98" s="4" t="s">
        <v>843</v>
      </c>
      <c r="F98" s="337" t="str">
        <f>IF(ISBLANK('Deploy Workload Domain'!D204),"Value Missing",'Deploy Workload Domain'!D204)</f>
        <v>Unselected</v>
      </c>
      <c r="H98" s="22" t="s">
        <v>841</v>
      </c>
      <c r="I98" s="337"/>
      <c r="K98" s="4" t="s">
        <v>2044</v>
      </c>
      <c r="L98" s="337" t="s">
        <v>1844</v>
      </c>
      <c r="N98" s="4" t="s">
        <v>2045</v>
      </c>
      <c r="O98" s="337" t="str">
        <f>IF(ISBLANK(input_vvs_dr_flt_ops_nodea_fqdn),"Value Missing",input_vvs_dr_flt_ops_nodea_fqdn)</f>
        <v>Value Missing</v>
      </c>
      <c r="Q98" s="8"/>
      <c r="R98" s="8"/>
      <c r="T98" s="4" t="s">
        <v>2046</v>
      </c>
      <c r="U98" s="337" t="str">
        <f>IF(ISBLANK(input_mgmt_vrms_recovery_replication_cidr),"Value Missing",input_mgmt_vrms_recovery_replication_cidr)</f>
        <v>Value Missing</v>
      </c>
      <c r="V98" s="3"/>
      <c r="Z98" s="4" t="s">
        <v>2047</v>
      </c>
      <c r="AA98" s="337" t="str">
        <f>IF(AND((mgmt_domain_chosen&lt;&gt;"First Domain"),(OR((spr_mo_result="True"),(spr_mw_result="True")))),"True","False")</f>
        <v>False</v>
      </c>
    </row>
    <row r="99" spans="2:27" s="2" customFormat="1" ht="20.05" customHeight="1" x14ac:dyDescent="0.45">
      <c r="B99" s="4" t="s">
        <v>1954</v>
      </c>
      <c r="C99" s="337" t="str">
        <f>IF(ISBLANK(input_mgmt_cl01_vds02_name),"Value Missing",input_mgmt_cl01_vds02_name)</f>
        <v>Value Missing</v>
      </c>
      <c r="E99" s="4" t="s">
        <v>844</v>
      </c>
      <c r="F99" s="337" t="str">
        <f>IF(ISBLANK(input_wld_cl01_vmfs_datastore_name),"Value Missing",input_wld_cl01_vmfs_datastore_name)</f>
        <v>Value Missing</v>
      </c>
      <c r="H99" s="22" t="s">
        <v>2048</v>
      </c>
      <c r="I99" s="337" t="str">
        <f>IF(ISBLANK(cluster_vsan_ftt_chosen),"Value Missing",cluster_vsan_ftt_chosen)</f>
        <v>1</v>
      </c>
      <c r="K99" s="4" t="s">
        <v>2049</v>
      </c>
      <c r="L99" s="337" t="s">
        <v>431</v>
      </c>
      <c r="N99" s="4" t="s">
        <v>2050</v>
      </c>
      <c r="O99" s="337" t="str">
        <f t="array" ref="O99">IF(ISBLANK(input_vvs_dr_flt_ops_nodeb_fqdn),"Value Missing",input_vvs_dr_flt_ops_nodeb_fqdn)</f>
        <v>Value Missing</v>
      </c>
      <c r="Q99" s="387" t="s">
        <v>2051</v>
      </c>
      <c r="R99" s="387"/>
      <c r="T99" s="4" t="s">
        <v>2052</v>
      </c>
      <c r="U99" s="337" t="str">
        <f>IF(ISBLANK(input_mgmt_srm_sso_domain_membership),"Value Missing",input_mgmt_srm_sso_domain_membership)</f>
        <v>Value Missing</v>
      </c>
      <c r="V99" s="3"/>
      <c r="Z99" s="4" t="s">
        <v>2053</v>
      </c>
      <c r="AA99" s="337" t="str">
        <f>IF(AND((mgmt_domain_chosen="First Domain"),(OR((spr_wo_result="True"),(spr_mw_result="True")))),"True","False")</f>
        <v>False</v>
      </c>
    </row>
    <row r="100" spans="2:27" s="2" customFormat="1" ht="20.05" customHeight="1" x14ac:dyDescent="0.35">
      <c r="B100" s="4" t="s">
        <v>2054</v>
      </c>
      <c r="C100" s="337" t="str">
        <f>IF(ISBLANK(input_mgmt_cl01_vds02_uplink1),"Value Missing",input_mgmt_cl01_vds02_uplink1)</f>
        <v>Value Missing</v>
      </c>
      <c r="E100" s="22" t="s">
        <v>845</v>
      </c>
      <c r="F100" s="337" t="str">
        <f>IF(ISBLANK('Deploy Workload Domain'!D206),"Value Missing",'Deploy Workload Domain'!D206)</f>
        <v>Value Missing</v>
      </c>
      <c r="H100" s="22" t="s">
        <v>843</v>
      </c>
      <c r="I100" s="337" t="str">
        <f>IF(ISBLANK(cluster_vsan_dedupe_compression_chosen),"Value Missing",cluster_vsan_dedupe_compression_chosen)</f>
        <v>Unselected</v>
      </c>
      <c r="K100" s="4" t="s">
        <v>2055</v>
      </c>
      <c r="L100" s="337" t="str">
        <f>IF(ISBLANK(input_svc_vrops_vra_user),"Value Missing",input_svc_vrops_vra_user)</f>
        <v>Value Missing</v>
      </c>
      <c r="N100" s="4" t="s">
        <v>2056</v>
      </c>
      <c r="O100" s="337" t="str">
        <f t="array" ref="O100">IF(ISBLANK(input_vvs_dr_flt_ops_nodec_fqdn),"Value Missing",input_vvs_dr_flt_ops_nodec_fqdn)</f>
        <v>Value Missing</v>
      </c>
      <c r="Q100" s="166" t="s">
        <v>261</v>
      </c>
      <c r="R100" s="167" t="s">
        <v>19</v>
      </c>
      <c r="T100" s="8"/>
      <c r="U100" s="8"/>
      <c r="V100" s="3"/>
      <c r="Z100" s="4" t="s">
        <v>2057</v>
      </c>
      <c r="AA100" s="337" t="str">
        <f>IF((mgmt_nsxt_federation_result="Included"),"True","False")</f>
        <v>False</v>
      </c>
    </row>
    <row r="101" spans="2:27" s="2" customFormat="1" ht="20.05" customHeight="1" x14ac:dyDescent="0.45">
      <c r="B101" s="4" t="s">
        <v>2058</v>
      </c>
      <c r="C101" s="337" t="str">
        <f>IF(ISBLANK(input_mgmt_cl01_vds02_uplink2),"Value Missing",input_mgmt_cl01_vds02_uplink2)</f>
        <v>Value Missing</v>
      </c>
      <c r="E101" s="22" t="s">
        <v>846</v>
      </c>
      <c r="F101" s="337" t="str">
        <f>IF(ISBLANK('Deploy Workload Domain'!D207),"Value Missing",'Deploy Workload Domain'!D207)</f>
        <v>Value Missing</v>
      </c>
      <c r="H101" s="22" t="s">
        <v>844</v>
      </c>
      <c r="I101" s="337" t="str">
        <f>IF(ISBLANK(input_cluster_vmfs_datastore_name),"Value Missing",input_cluster_vmfs_datastore_name)</f>
        <v>Value Missing</v>
      </c>
      <c r="K101" s="4" t="s">
        <v>2059</v>
      </c>
      <c r="L101" s="337" t="s">
        <v>431</v>
      </c>
      <c r="N101" s="4" t="s">
        <v>2060</v>
      </c>
      <c r="O101" s="337" t="str">
        <f>IF(ISBLANK(input_vvs_dr_flt_logs_nodea_fqdn),"Value Missing",input_vvs_dr_flt_logs_nodea_fqdn)</f>
        <v>Value Missing</v>
      </c>
      <c r="Q101" s="361" t="s">
        <v>2061</v>
      </c>
      <c r="R101" s="337" t="str">
        <f>IF(ISBLANK(input_mgmt_vrms_mgmt_ip),"Value Missing",input_mgmt_vrms_mgmt_ip)</f>
        <v>Value Missing</v>
      </c>
      <c r="T101" s="387" t="s">
        <v>2062</v>
      </c>
      <c r="U101" s="387"/>
      <c r="V101" s="3"/>
      <c r="Z101" s="4" t="s">
        <v>2063</v>
      </c>
      <c r="AA101" s="337" t="str">
        <f>IF(AND((mgmt_nsxt_federation_result="Included"),(wld_domain_result="Included")),"True","False")</f>
        <v>False</v>
      </c>
    </row>
    <row r="102" spans="2:27" s="2" customFormat="1" ht="20.05" customHeight="1" x14ac:dyDescent="0.45">
      <c r="B102" s="337" t="s">
        <v>1965</v>
      </c>
      <c r="C102" s="337" t="str">
        <f>IF(ISBLANK(input_mgmt_cl01_vds02_uplink_count),"Value Missing",input_mgmt_cl01_vds02_uplink_count)</f>
        <v>Value Missing</v>
      </c>
      <c r="E102" s="22" t="s">
        <v>847</v>
      </c>
      <c r="F102" s="337" t="str">
        <f>IF(ISBLANK('Deploy Workload Domain'!D208),"Value Missing",'Deploy Workload Domain'!D208)</f>
        <v>Value Missing</v>
      </c>
      <c r="H102" s="22" t="s">
        <v>845</v>
      </c>
      <c r="I102" s="337" t="str">
        <f>IF(ISBLANK(input_cluster_nfs_datastore_name),"Value Missing",input_cluster_nfs_datastore_name)</f>
        <v>Value Missing</v>
      </c>
      <c r="K102" s="4" t="s">
        <v>2064</v>
      </c>
      <c r="L102" s="337"/>
      <c r="N102" s="4" t="s">
        <v>2065</v>
      </c>
      <c r="O102" s="337" t="str">
        <f>IF(ISBLANK(input_vvs_dr_flt_logs_nodeb_fqdn),"Value Missing",input_vvs_dr_flt_logs_nodeb_fqdn)</f>
        <v>Value Missing</v>
      </c>
      <c r="Q102" s="361" t="s">
        <v>2066</v>
      </c>
      <c r="R102" s="337" t="str">
        <f>IF(ISBLANK(input_mgmt_vrms_vrms_ip),"Value Missing",input_mgmt_vrms_vrms_ip)</f>
        <v>Value Missing</v>
      </c>
      <c r="T102" s="166" t="s">
        <v>261</v>
      </c>
      <c r="U102" s="167" t="s">
        <v>19</v>
      </c>
      <c r="V102" s="3"/>
      <c r="Z102" s="4" t="s">
        <v>2067</v>
      </c>
      <c r="AA102" s="337" t="str">
        <f>IF(AND((mgmt_nsxt_federation_result="Included")),"True","False")</f>
        <v>False</v>
      </c>
    </row>
    <row r="103" spans="2:27" s="2" customFormat="1" ht="20.05" customHeight="1" x14ac:dyDescent="0.45">
      <c r="B103" s="4" t="s">
        <v>1971</v>
      </c>
      <c r="C103" s="337" t="str">
        <f>IF(ISBLANK(input_mgmt_cl01_vds02_mtu),"Value Missing",input_mgmt_cl01_vds02_mtu)</f>
        <v>Value Missing</v>
      </c>
      <c r="H103" s="22" t="s">
        <v>846</v>
      </c>
      <c r="I103" s="337" t="str">
        <f>IF(ISBLANK(input_cluster_nfs_share_path),"Value Missing",input_cluster_nfs_share_path)</f>
        <v>Value Missing</v>
      </c>
      <c r="K103" s="4" t="s">
        <v>2068</v>
      </c>
      <c r="L103" s="337" t="str">
        <f>IF(ISBLANK('Active Directory Inputs'!E37),"Value Missing",'Active Directory Inputs'!E37)</f>
        <v>Value Missing</v>
      </c>
      <c r="N103" s="4" t="s">
        <v>2069</v>
      </c>
      <c r="O103" s="337" t="str">
        <f>IF(ISBLANK(input_vvs_dr_flt_logs_nodec_fqdn),"Value Missing",input_vvs_dr_flt_logs_nodec_fqdn)</f>
        <v>Value Missing</v>
      </c>
      <c r="Q103" s="361" t="s">
        <v>2070</v>
      </c>
      <c r="R103" s="337" t="str">
        <f>IF(ISBLANK(input_mgmt_srm_ip),"Value Missing",input_mgmt_srm_ip)</f>
        <v>Value Missing</v>
      </c>
      <c r="T103" s="4" t="s">
        <v>1896</v>
      </c>
      <c r="U103" s="337" t="str">
        <f>IF(ISBLANK(input_wld_vrms_vm_folder),"Value Missing",input_wld_vrms_vm_folder)</f>
        <v>Value Missing</v>
      </c>
      <c r="V103" s="3"/>
      <c r="Z103" s="4" t="s">
        <v>2071</v>
      </c>
      <c r="AA103" s="337" t="str">
        <f>IF(AND((mgmt_domain_chosen&lt;&gt;"First Domain"),(mgmt_nsxt_federation_result="Included"),(wld_domain_result="Included")),"True","False")</f>
        <v>False</v>
      </c>
    </row>
    <row r="104" spans="2:27" s="2" customFormat="1" ht="20.05" customHeight="1" x14ac:dyDescent="0.45">
      <c r="B104" s="4" t="s">
        <v>1946</v>
      </c>
      <c r="C104" s="337" t="str">
        <f>IF(ISBLANK(input_mgmt_cl01_vds02_lag_name),"Value Missing",input_mgmt_cl01_vds02_lag_name)</f>
        <v>Value Missing</v>
      </c>
      <c r="E104" s="387" t="s">
        <v>2072</v>
      </c>
      <c r="F104" s="387"/>
      <c r="H104" s="22" t="s">
        <v>847</v>
      </c>
      <c r="I104" s="337" t="str">
        <f>IF(ISBLANK(input_cluster_nfs_server_address),"Value Missing",input_cluster_nfs_server_address)</f>
        <v>Value Missing</v>
      </c>
      <c r="K104" s="4" t="s">
        <v>2073</v>
      </c>
      <c r="L104" s="337" t="str">
        <f>IF(ISBLANK('Active Directory Inputs'!E38),"Value Missing",'Active Directory Inputs'!E38)</f>
        <v>Value Missing</v>
      </c>
      <c r="N104" s="4" t="s">
        <v>2074</v>
      </c>
      <c r="O104" s="337" t="str">
        <f>IF(ISBLANK(input_vvs_dr_flt_net_nodea_fqdn),"Value Missing",input_vvs_dr_flt_net_nodea_fqdn)</f>
        <v>Value Missing</v>
      </c>
      <c r="Q104" s="361" t="s">
        <v>2075</v>
      </c>
      <c r="R104" s="337" t="str">
        <f>IF(ISBLANK(input_mgmt_srm_recovery_t1_si_ip),"Value Missing",input_mgmt_srm_recovery_t1_si_ip)</f>
        <v>Value Missing</v>
      </c>
      <c r="T104" s="4" t="s">
        <v>1901</v>
      </c>
      <c r="U104" s="337" t="str">
        <f>IF(ISBLANK(input_wld_vrms_root_password),"Value Missing",input_wld_vrms_root_password)</f>
        <v>Value Missing</v>
      </c>
      <c r="V104" s="3"/>
      <c r="Z104" s="4" t="s">
        <v>2076</v>
      </c>
      <c r="AA104" s="337" t="str">
        <f>IF(wld_domain_result="Included",IF(wld_domain_chosen="Create New SSO Domain","False","True"),"False")</f>
        <v>False</v>
      </c>
    </row>
    <row r="105" spans="2:27" s="2" customFormat="1" ht="20.05" customHeight="1" x14ac:dyDescent="0.35">
      <c r="B105" s="336" t="s">
        <v>876</v>
      </c>
      <c r="C105" s="336" t="s">
        <v>19</v>
      </c>
      <c r="E105" s="4" t="s">
        <v>261</v>
      </c>
      <c r="F105" s="4" t="s">
        <v>19</v>
      </c>
      <c r="H105" s="17" t="s">
        <v>2077</v>
      </c>
      <c r="I105" s="337" t="str">
        <f>IF(ISBLANK(cluster_vds_profile_chosen),"Value Missing",cluster_vds_profile_chosen)</f>
        <v>Default</v>
      </c>
      <c r="K105" s="4" t="s">
        <v>2078</v>
      </c>
      <c r="L105" s="337" t="str">
        <f>IF(ISBLANK('Active Directory Inputs'!E39),"Value Missing",'Active Directory Inputs'!E39)</f>
        <v>Value Missing</v>
      </c>
      <c r="N105" s="4" t="s">
        <v>2079</v>
      </c>
      <c r="O105" s="337" t="str">
        <f>IF(ISBLANK(input_vvs_dr_flt_net_nodeb_fqdn),"Value Missing",input_vvs_dr_flt_net_nodeb_fqdn)</f>
        <v>Value Missing</v>
      </c>
      <c r="Q105" s="8"/>
      <c r="R105" s="8"/>
      <c r="T105" s="4" t="s">
        <v>1906</v>
      </c>
      <c r="U105" s="337" t="str">
        <f>IF(ISBLANK(input_wld_vrms_admin_password),"Value Missing",input_wld_vrms_admin_password)</f>
        <v>Value Missing</v>
      </c>
      <c r="V105" s="3"/>
      <c r="Z105" s="4" t="s">
        <v>2080</v>
      </c>
      <c r="AA105" s="337">
        <f t="array" ref="AA105">SUM(IF('Management Domain Sizing'!C36:C59="VI Workload Domain",1,0))</f>
        <v>0</v>
      </c>
    </row>
    <row r="106" spans="2:27" s="2" customFormat="1" ht="20.05" customHeight="1" x14ac:dyDescent="0.45">
      <c r="B106" s="4" t="s">
        <v>1995</v>
      </c>
      <c r="C106" s="337" t="str">
        <f>IF(ISBLANK(input_mgmt_cl01_vds03_name),"Value Missing",input_mgmt_cl01_vds03_name)</f>
        <v>Value Missing</v>
      </c>
      <c r="E106" s="361" t="s">
        <v>1657</v>
      </c>
      <c r="F106" s="337" t="str">
        <f>IF(ISBLANK('Configure Workload Domain'!D265),"Value Missing",'Configure Workload Domain'!D265)</f>
        <v>Value Missing</v>
      </c>
      <c r="H106" s="17" t="s">
        <v>853</v>
      </c>
      <c r="I106" s="337"/>
      <c r="K106" s="4" t="s">
        <v>2081</v>
      </c>
      <c r="L106" s="337" t="str">
        <f>IF(ISBLANK('Active Directory Inputs'!E40),"Value Missing",'Active Directory Inputs'!E40)</f>
        <v>Value Missing</v>
      </c>
      <c r="N106" s="4" t="s">
        <v>2082</v>
      </c>
      <c r="O106" s="337" t="str">
        <f>IF(ISBLANK(input_vvs_dr_flt_net_nodec_fqdn),"Value Missing",input_vvs_dr_flt_net_nodec_fqdn)</f>
        <v>Value Missing</v>
      </c>
      <c r="Q106" s="387" t="s">
        <v>2083</v>
      </c>
      <c r="R106" s="387"/>
      <c r="T106" s="4" t="s">
        <v>1912</v>
      </c>
      <c r="U106" s="337" t="str">
        <f>IF(ISBLANK(input_wld_vrms_site_name),"Value Missing",input_wld_vrms_site_name)</f>
        <v>Value Missing</v>
      </c>
      <c r="V106" s="3"/>
      <c r="Z106" s="74" t="s">
        <v>2084</v>
      </c>
      <c r="AA106" s="186">
        <f t="array" ref="AA106">SUM(IF('Management Domain Sizing'!C36:C59="Isolated VI Workload Domain",1,0))</f>
        <v>0</v>
      </c>
    </row>
    <row r="107" spans="2:27" s="2" customFormat="1" ht="20.05" customHeight="1" x14ac:dyDescent="0.45">
      <c r="B107" s="4" t="s">
        <v>2085</v>
      </c>
      <c r="C107" s="337" t="str">
        <f>IF(ISBLANK(input_mgmt_cl01_vds03_uplink1),"Value Missing",input_mgmt_cl01_vds03_uplink1)</f>
        <v>Value Missing</v>
      </c>
      <c r="E107" s="361" t="s">
        <v>278</v>
      </c>
      <c r="F107" s="337" t="str">
        <f>IF(ISBLANK(input_wld_witness_hostname),"Value Missing",input_wld_witness_hostname)</f>
        <v>Value Missing</v>
      </c>
      <c r="H107" s="17" t="s">
        <v>857</v>
      </c>
      <c r="I107" s="337" t="str">
        <f>IF(ISBLANK(input_cluster_vds01_name),"Value Missing",input_cluster_vds01_name)</f>
        <v>Value Missing</v>
      </c>
      <c r="K107" s="4" t="s">
        <v>2086</v>
      </c>
      <c r="L107" s="337" t="str">
        <f>IF(ISBLANK('Active Directory Inputs'!E41),"Value Missing",'Active Directory Inputs'!E41)</f>
        <v>Value Missing</v>
      </c>
      <c r="N107" s="4" t="s">
        <v>2087</v>
      </c>
      <c r="O107" s="337" t="str">
        <f>IF(ISBLANK(input_vvs_dr_flt_auto_fqdn),"Value Missing",input_vvs_dr_flt_auto_fqdn)</f>
        <v>Value Missing</v>
      </c>
      <c r="Q107" s="166" t="s">
        <v>261</v>
      </c>
      <c r="R107" s="167" t="s">
        <v>19</v>
      </c>
      <c r="T107" s="4" t="s">
        <v>1916</v>
      </c>
      <c r="U107" s="337" t="str">
        <f>IF(ISBLANK(input_wld_vrms_admin_email),"Value Missing",input_wld_vrms_admin_email)</f>
        <v>Value Missing</v>
      </c>
      <c r="V107" s="3"/>
      <c r="Z107" s="187" t="s">
        <v>2088</v>
      </c>
      <c r="AA107" s="188" t="str">
        <f>IF(AND(OR(vcf_granular_option_chosen="Full Instance",vcf_granular_option_chosen="Additional VCF Instance"),(wld_domain_result="Excluded")),"Included","Excluded")</f>
        <v>Excluded</v>
      </c>
    </row>
    <row r="108" spans="2:27" s="2" customFormat="1" ht="20.05" customHeight="1" x14ac:dyDescent="0.45">
      <c r="B108" s="4" t="s">
        <v>2089</v>
      </c>
      <c r="C108" s="337" t="str">
        <f>IF(ISBLANK(input_mgmt_cl01_vds03_uplink2),"Value Missing",input_mgmt_cl01_vds03_uplink2)</f>
        <v>Value Missing</v>
      </c>
      <c r="H108" s="17" t="s">
        <v>160</v>
      </c>
      <c r="I108" s="337" t="str">
        <f>IF(ISBLANK(input_cluster_vds01_mtu),"Value Missing",input_cluster_vds01_mtu)</f>
        <v>Value Missing</v>
      </c>
      <c r="N108" s="4" t="s">
        <v>814</v>
      </c>
      <c r="O108" s="337" t="str">
        <f>IF(ISBLANK(input_vvs_dr_mgmt_vc_fqdn),"Value Missing",input_vvs_dr_mgmt_vc_fqdn)</f>
        <v>Value Missing</v>
      </c>
      <c r="Q108" s="361" t="s">
        <v>2061</v>
      </c>
      <c r="R108" s="337" t="str">
        <f>IF(ISBLANK(input_wld_vrms_mgmt_ip),"Value Missing",input_wld_vrms_mgmt_ip)</f>
        <v>Value Missing</v>
      </c>
      <c r="T108" s="4" t="s">
        <v>1922</v>
      </c>
      <c r="U108" s="337" t="str">
        <f>IF(ISBLANK(input_wld_vrms_pg),"Value Missing",input_wld_vrms_pg)</f>
        <v>Value Missing</v>
      </c>
      <c r="V108" s="3"/>
    </row>
    <row r="109" spans="2:27" s="2" customFormat="1" ht="20.05" customHeight="1" x14ac:dyDescent="0.45">
      <c r="B109" s="4" t="s">
        <v>2007</v>
      </c>
      <c r="C109" s="337" t="str">
        <f>IF(ISBLANK(input_mgmt_cl01_vds03_uplink_count),"Value Missing",input_mgmt_cl01_vds03_uplink_count)</f>
        <v>Value Missing</v>
      </c>
      <c r="E109" s="391" t="s">
        <v>2090</v>
      </c>
      <c r="F109" s="390"/>
      <c r="H109" s="4" t="s">
        <v>337</v>
      </c>
      <c r="I109" s="337" t="str">
        <f>IF(ISBLANK(input_cluster_az1_host_overlay_network_profile_name),"Value Missing",input_cluster_az1_host_overlay_network_profile_name)</f>
        <v>Value Missing</v>
      </c>
      <c r="K109" s="579" t="s">
        <v>2091</v>
      </c>
      <c r="L109" s="581"/>
      <c r="N109" s="4" t="s">
        <v>2092</v>
      </c>
      <c r="O109" s="337" t="str">
        <f>IF(ISBLANK(input_vvs_dr_mgmt_cl01_cluster),"Value Missing",input_vvs_dr_mgmt_cl01_cluster)</f>
        <v>Value Missing</v>
      </c>
      <c r="Q109" s="361" t="s">
        <v>2066</v>
      </c>
      <c r="R109" s="337" t="str">
        <f>IF(ISBLANK(input_wld_vrms_vrms_ip),"Value Missing",input_wld_vrms_vrms_ip)</f>
        <v>Value Missing</v>
      </c>
      <c r="T109" s="4" t="s">
        <v>1925</v>
      </c>
      <c r="U109" s="337" t="str">
        <f>IF(ISBLANK(input_wld_vrms_p12_password),"Value Missing",input_wld_vrms_p12_password)</f>
        <v>Value Missing</v>
      </c>
      <c r="V109" s="3"/>
    </row>
    <row r="110" spans="2:27" s="2" customFormat="1" ht="20.05" customHeight="1" x14ac:dyDescent="0.45">
      <c r="B110" s="4" t="s">
        <v>1998</v>
      </c>
      <c r="C110" s="337" t="str">
        <f>IF(ISBLANK(input_mgmt_cl01_vds03_mtu),"Value Missing",input_mgmt_cl01_vds03_mtu)</f>
        <v>Value Missing</v>
      </c>
      <c r="E110" s="336" t="s">
        <v>261</v>
      </c>
      <c r="F110" s="184" t="s">
        <v>19</v>
      </c>
      <c r="H110" s="22" t="s">
        <v>867</v>
      </c>
      <c r="I110" s="337" t="str">
        <f>IF(ISBLANK(input_cluster_vds01_uplink_count),"Value Missing",input_cluster_vds01_uplink_count)</f>
        <v>Value Missing</v>
      </c>
      <c r="K110" s="166" t="s">
        <v>261</v>
      </c>
      <c r="L110" s="167" t="s">
        <v>19</v>
      </c>
      <c r="N110" s="4" t="s">
        <v>2093</v>
      </c>
      <c r="O110" s="337" t="str">
        <f>IF(ISBLANK(input_vvs_mgmt_dr_vlr_fqdn),"Value Missing",input_vvs_mgmt_dr_vlr_fqdn)</f>
        <v>Value Missing</v>
      </c>
      <c r="Q110" s="361" t="s">
        <v>2070</v>
      </c>
      <c r="R110" s="337" t="str">
        <f>IF(ISBLANK(input_wld_srm_ip),"Value Missing",input_wld_srm_ip)</f>
        <v>Value Missing</v>
      </c>
      <c r="T110" s="4" t="s">
        <v>1933</v>
      </c>
      <c r="U110" s="337" t="str">
        <f>IF(ISBLANK(input_wld_srm_vm_folder),"Value Missing",input_wld_srm_vm_folder)</f>
        <v>Value Missing</v>
      </c>
      <c r="V110" s="3"/>
    </row>
    <row r="111" spans="2:27" s="2" customFormat="1" ht="20.05" customHeight="1" x14ac:dyDescent="0.45">
      <c r="B111" s="4" t="s">
        <v>1946</v>
      </c>
      <c r="C111" s="337" t="str">
        <f t="array" ref="C111">IF(ISBLANK(input_mgmt_cl01_vds03_lag_name),"Value Missing",input_mgmt_cl01_vds03_lag_name)</f>
        <v>Value Missing</v>
      </c>
      <c r="E111" s="4" t="s">
        <v>2094</v>
      </c>
      <c r="F111" s="337" t="str">
        <f>IF(ISBLANK('Configure Workload Domain'!D303),"Value Missing",'Configure Workload Domain'!D303)</f>
        <v>Value Missing</v>
      </c>
      <c r="H111" s="17" t="s">
        <v>868</v>
      </c>
      <c r="I111" s="337" t="str">
        <f>IF(ISBLANK(input_cluster_vds01_pnics),"Value Missing",input_cluster_vds01_pnics)</f>
        <v>Value Missing</v>
      </c>
      <c r="K111" s="4" t="s">
        <v>2095</v>
      </c>
      <c r="L111" s="337" t="str">
        <f>IF(ISBLANK(input_child_svc_vsphere_ad_password),"Value Missing",input_child_svc_vsphere_ad_password)</f>
        <v>Value Missing</v>
      </c>
      <c r="N111" s="4" t="s">
        <v>2096</v>
      </c>
      <c r="O111" s="337" t="str">
        <f>IF(ISBLANK(input_vvs_dr_sso_domain),"Value Missing",input_vvs_dr_sso_domain)</f>
        <v>Value Missing</v>
      </c>
      <c r="T111" s="4" t="s">
        <v>1938</v>
      </c>
      <c r="U111" s="337" t="str">
        <f>IF(ISBLANK(input_wld_srm_root_password),"Value Missing",input_wld_srm_root_password)</f>
        <v>Value Missing</v>
      </c>
      <c r="V111" s="3"/>
    </row>
    <row r="112" spans="2:27" s="2" customFormat="1" ht="20.05" customHeight="1" x14ac:dyDescent="0.35">
      <c r="B112" s="6"/>
      <c r="E112" s="4" t="s">
        <v>2097</v>
      </c>
      <c r="F112" s="337" t="str">
        <f>IF(ISBLANK('Configure Workload Domain'!D304),"Value Missing",'Configure Workload Domain'!D304)</f>
        <v>Value Missing</v>
      </c>
      <c r="H112" s="17" t="s">
        <v>870</v>
      </c>
      <c r="I112" s="337" t="str">
        <f>IF(cluster_vds_profile_chosen="Default",CONCATENATE("Management ", "vMotion ",IF(cluster_principal_storage_chosen="NFSv3","NFS ",IF(cluster_principal_storage_chosen="VMFS on Fibre Channel (FC)","","vSAN ")),"NSX-Overlay"),
IF(cluster_vds_profile_chosen="Storage Traffic Separation","Management, vMotion, NSX-Overlay",
IF(cluster_vds_profile_chosen="NSX Traffic Separation","Management, vMotion, vSan",
IF(cluster_vds_profile_chosen="Storage Traffic and NSX Traffic Separation","Management, vMotion",
IF(cluster_vds_profile_chosen="vSAN Max Storage Traffic Separation","Management, vMotion, vSAN Storage Client, NSX-Overlay",
IF(cluster_vds_profile_chosen="vSAN Max Storage Traffic and NSX Traffic Separation","Management, vMotion, vSAN Storage Client","Value Missing"))))))</f>
        <v>Management vMotion vSAN NSX-Overlay</v>
      </c>
      <c r="K112" s="4" t="s">
        <v>2098</v>
      </c>
      <c r="L112" s="337" t="str">
        <f>IF(ISBLANK(input_child_svc_nsx_ad_password),"Value Missing",input_child_svc_nsx_ad_password)</f>
        <v>Value Missing</v>
      </c>
      <c r="N112" s="4" t="s">
        <v>2099</v>
      </c>
      <c r="O112" s="337" t="str">
        <f>IF(vvs_dr_flt_fleet_manager_fqdn="Value Missing",vvs_dr_flt_fleet_manager_fqdn,LEFT(vvs_dr_flt_fleet_manager_fqdn,FIND(".",vvs_dr_flt_fleet_manager_fqdn)-1))</f>
        <v>Value Missing</v>
      </c>
      <c r="Q112" s="387" t="s">
        <v>2100</v>
      </c>
      <c r="R112" s="387"/>
      <c r="T112" s="4" t="s">
        <v>1943</v>
      </c>
      <c r="U112" s="337" t="str">
        <f>IF(ISBLANK(input_wld_srm_admin_password),"Value Missing",input_wld_srm_admin_password)</f>
        <v>Value Missing</v>
      </c>
      <c r="V112" s="3"/>
      <c r="Z112" s="8"/>
      <c r="AA112" s="8"/>
    </row>
    <row r="113" spans="2:27" s="2" customFormat="1" ht="20.05" customHeight="1" x14ac:dyDescent="0.45">
      <c r="B113" s="336" t="s">
        <v>2101</v>
      </c>
      <c r="C113" s="336" t="s">
        <v>19</v>
      </c>
      <c r="E113" s="4" t="s">
        <v>2102</v>
      </c>
      <c r="F113" s="337" t="str">
        <f>IF(ISBLANK('Configure Workload Domain'!D305),"Value Missing",'Configure Workload Domain'!D305)</f>
        <v>Value Missing</v>
      </c>
      <c r="H113" s="17" t="s">
        <v>1946</v>
      </c>
      <c r="I113" s="337" t="str">
        <f>IF(ISBLANK(input_cluster_vds01_lag_name),"Value Missing",input_cluster_vds01_lag_name)</f>
        <v>Value Missing</v>
      </c>
      <c r="K113" s="4" t="s">
        <v>2040</v>
      </c>
      <c r="L113" s="337" t="str">
        <f>IF(ISBLANK(input_administrator_vsphere_local_password),"Value Missing",input_administrator_vsphere_local_password)</f>
        <v>Value Missing</v>
      </c>
      <c r="N113" s="4" t="s">
        <v>2103</v>
      </c>
      <c r="O113" s="337" t="str">
        <f>IF(vvs_dr_flt_ops_nodea_fqdn="Value Missing",vvs_dr_flt_ops_nodea_fqdn,LEFT(vvs_dr_flt_ops_nodea_fqdn,FIND(".",vvs_dr_flt_ops_nodea_fqdn)-1))</f>
        <v>Value Missing</v>
      </c>
      <c r="Q113" s="166" t="s">
        <v>261</v>
      </c>
      <c r="R113" s="167" t="s">
        <v>19</v>
      </c>
      <c r="T113" s="4" t="s">
        <v>1947</v>
      </c>
      <c r="U113" s="337" t="str">
        <f>IF(ISBLANK(input_wld_srm_database_password),"Value Missing",input_wld_srm_database_password)</f>
        <v>Value Missing</v>
      </c>
      <c r="V113" s="3"/>
    </row>
    <row r="114" spans="2:27" s="2" customFormat="1" ht="20.05" customHeight="1" x14ac:dyDescent="0.45">
      <c r="B114" s="17" t="s">
        <v>2104</v>
      </c>
      <c r="C114" s="337" t="str">
        <f>IF(ISBLANK(mgmt_nsx_operation_mode_chosen),"Value Missing",mgmt_nsx_operation_mode_chosen)</f>
        <v>Enhanced Datapath Standard</v>
      </c>
      <c r="E114" s="4" t="s">
        <v>2105</v>
      </c>
      <c r="F114" s="337" t="str">
        <f>IF(ISBLANK('Configure Workload Domain'!D306),"Value Missing",'Configure Workload Domain'!D306)</f>
        <v>Value Missing</v>
      </c>
      <c r="H114" s="17" t="s">
        <v>873</v>
      </c>
      <c r="I114" s="337" t="str">
        <f>IF(ISBLANK(input_cluster_vds02_name),"Value Missing",input_cluster_vds02_name)</f>
        <v>Value Missing</v>
      </c>
      <c r="K114" s="4" t="s">
        <v>2044</v>
      </c>
      <c r="L114" s="337" t="str">
        <f>IF(ISBLANK(input_administrator_vsphere_local_password),"Value Missing",input_administrator_vsphere_local_password)</f>
        <v>Value Missing</v>
      </c>
      <c r="N114" s="4" t="s">
        <v>2106</v>
      </c>
      <c r="O114" s="337" t="str">
        <f>IF(vvs_dr_flt_ops_nodeb_fqdn="Value Missing",vvs_dr_flt_ops_nodeb_fqdn,LEFT(vvs_dr_flt_ops_nodeb_fqdn,FIND(".",vvs_dr_flt_ops_nodeb_fqdn)-1))</f>
        <v>Value Missing</v>
      </c>
      <c r="Q114" s="361" t="s">
        <v>1291</v>
      </c>
      <c r="R114" s="337" t="str">
        <f>IF(ISBLANK(input_mgmt_vrms_hostname),"Value Missing",input_mgmt_vrms_hostname)</f>
        <v>Value Missing</v>
      </c>
      <c r="T114" s="4" t="s">
        <v>1951</v>
      </c>
      <c r="U114" s="337" t="str">
        <f>IF(ISBLANK(input_wld_srm_site_name),"Value Missing",input_wld_srm_site_name)</f>
        <v>Value Missing</v>
      </c>
      <c r="V114" s="3"/>
    </row>
    <row r="115" spans="2:27" s="2" customFormat="1" ht="20.05" customHeight="1" x14ac:dyDescent="0.45">
      <c r="B115" s="6"/>
      <c r="E115" s="4" t="s">
        <v>2107</v>
      </c>
      <c r="F115" s="337" t="str">
        <f>IF(ISBLANK(input_wld_cl01_cluster_sddc_id),"Value Missing",input_wld_cl01_cluster_sddc_id)</f>
        <v>Value Missing</v>
      </c>
      <c r="H115" s="17" t="s">
        <v>160</v>
      </c>
      <c r="I115" s="337" t="str">
        <f>IF(ISBLANK(input_cluster_vds02_mtu),"Value Missing",input_cluster_vds02_mtu)</f>
        <v>Value Missing</v>
      </c>
      <c r="K115" s="4" t="s">
        <v>2049</v>
      </c>
      <c r="L115" s="337" t="str">
        <f>IF(ISBLANK(input_nsxt_lm_admin_password),"Value Missing",input_nsxt_lm_admin_password)</f>
        <v>Value Missing</v>
      </c>
      <c r="N115" s="4" t="s">
        <v>2108</v>
      </c>
      <c r="O115" s="337" t="str">
        <f>IF(vvs_dr_flt_ops_nodec_fqdn="Value Missing",vvs_dr_flt_ops_nodec_fqdn,LEFT(vvs_dr_flt_ops_nodec_fqdn,FIND(".",vvs_dr_flt_ops_nodec_fqdn)-1))</f>
        <v>Value Missing</v>
      </c>
      <c r="Q115" s="361" t="s">
        <v>2109</v>
      </c>
      <c r="R115" s="337" t="str">
        <f>IF(ISBLANK(input_vvs_mgmt_dr_vlr_hostname),"Value Missing",input_vvs_mgmt_dr_vlr_hostname)</f>
        <v>Value Missing</v>
      </c>
      <c r="T115" s="4" t="s">
        <v>1956</v>
      </c>
      <c r="U115" s="337" t="str">
        <f>IF(ISBLANK(input_wld_srm_admin_email),"Value Missing",input_wld_srm_admin_email)</f>
        <v>Value Missing</v>
      </c>
      <c r="V115" s="3"/>
    </row>
    <row r="116" spans="2:27" s="2" customFormat="1" ht="20.05" customHeight="1" x14ac:dyDescent="0.45">
      <c r="B116" s="582" t="s">
        <v>2110</v>
      </c>
      <c r="C116" s="586"/>
      <c r="E116" s="4"/>
      <c r="F116" s="337" t="str">
        <f>IF(ISBLANK('Configure Workload Domain'!D319),"Value Missing",'Configure Workload Domain'!D319)</f>
        <v>Value Missing</v>
      </c>
      <c r="H116" s="22" t="s">
        <v>867</v>
      </c>
      <c r="I116" s="337" t="str">
        <f>IF(ISBLANK(input_cluster_vds02_uplink_count),"Value Missing",input_cluster_vds02_uplink_count)</f>
        <v>Value Missing</v>
      </c>
      <c r="K116" s="4" t="s">
        <v>2055</v>
      </c>
      <c r="L116" s="337" t="str">
        <f>IF(ISBLANK(input_svc_vrops_vra_password),"Value Missing",input_svc_vrops_vra_password)</f>
        <v>Value Missing</v>
      </c>
      <c r="N116" s="4" t="s">
        <v>2111</v>
      </c>
      <c r="O116" s="337" t="str">
        <f>IF(vvs_dr_flt_logs_nodea_fqdn="Value Missing",vvs_dr_flt_logs_nodea_fqdn,LEFT(vvs_dr_flt_logs_nodea_fqdn,FIND(".",vvs_dr_flt_logs_nodea_fqdn)-1))</f>
        <v>Value Missing</v>
      </c>
      <c r="T116" s="4" t="s">
        <v>1962</v>
      </c>
      <c r="U116" s="337" t="str">
        <f>IF(ISBLANK(input_wld_srm_p12_password),"Value Missing",input_wld_srm_p12_password)</f>
        <v>Value Missing</v>
      </c>
      <c r="V116" s="3"/>
    </row>
    <row r="117" spans="2:27" s="2" customFormat="1" ht="20.05" customHeight="1" x14ac:dyDescent="0.35">
      <c r="B117" s="336" t="s">
        <v>261</v>
      </c>
      <c r="C117" s="336" t="s">
        <v>1904</v>
      </c>
      <c r="E117" s="8"/>
      <c r="F117" s="8"/>
      <c r="H117" s="17" t="s">
        <v>868</v>
      </c>
      <c r="I117" s="337" t="str">
        <f>IF(ISBLANK(input_cluster_vds02_pnics),"Value Missing",input_cluster_vds02_pnics)</f>
        <v>Value Missing</v>
      </c>
      <c r="K117" s="4" t="s">
        <v>2064</v>
      </c>
      <c r="L117" s="337"/>
      <c r="N117" s="4" t="s">
        <v>2112</v>
      </c>
      <c r="O117" s="337" t="str">
        <f>IF(vvs_dr_flt_logs_nodeb_fqdn="Value Missing",vvs_dr_flt_logs_nodeb_fqdn,LEFT(vvs_dr_flt_logs_nodeb_fqdn,FIND(".",vvs_dr_flt_logs_nodeb_fqdn)-1))</f>
        <v>Value Missing</v>
      </c>
      <c r="Q117" s="387" t="s">
        <v>2113</v>
      </c>
      <c r="R117" s="387"/>
      <c r="T117" s="4" t="s">
        <v>1968</v>
      </c>
      <c r="U117" s="337" t="str">
        <f>wld_srm_vm_size_chosen</f>
        <v>Standard</v>
      </c>
      <c r="V117" s="3"/>
    </row>
    <row r="118" spans="2:27" s="2" customFormat="1" ht="20.05" customHeight="1" x14ac:dyDescent="0.45">
      <c r="B118" s="4" t="s">
        <v>2114</v>
      </c>
      <c r="C118" s="337" t="str">
        <f>IF(ISBLANK(mgmt_principal_storage_chosen),"Value Missing",mgmt_principal_storage_chosen)</f>
        <v>vSAN-ESA</v>
      </c>
      <c r="E118" s="387" t="s">
        <v>2115</v>
      </c>
      <c r="F118" s="389"/>
      <c r="H118" s="17" t="s">
        <v>870</v>
      </c>
      <c r="I118" s="337" t="str">
        <f>IF(cluster_vds_profile_chosen="Default","",
IF(cluster_vds_profile_chosen="Storage Traffic Separation",IF(cluster_principal_storage_chosen="NFSv3","NFS","vSAN"),
IF(cluster_vds_profile_chosen="NSX Traffic Separation","NSX-Overlay",
IF(cluster_vds_profile_chosen="Storage Traffic and NSX Traffic Separation",IF(cluster_principal_storage_chosen="NFSv3","NFS","vSAN"),
IF(cluster_vds_profile_chosen="Storage Traffic and NSX Traffic Separation","Management, vMotion",
IF(cluster_vds_profile_chosen="vSAN Max Storage Traffic Separation","vSAN",
IF(cluster_vds_profile_chosen="vSAN Max Storage Traffic and NSX Traffic Separation","vSAN","")))))))</f>
        <v/>
      </c>
      <c r="K118" s="4" t="s">
        <v>2068</v>
      </c>
      <c r="L118" s="337" t="str">
        <f>IF(ISBLANK(input_svc_vra_vsphere_password),"Value Missing",input_svc_vra_vsphere_password)</f>
        <v>Value Missing</v>
      </c>
      <c r="N118" s="4" t="s">
        <v>2116</v>
      </c>
      <c r="O118" s="337" t="str">
        <f>IF(vvs_dr_flt_logs_nodec_fqdn="Value Missing",vvs_dr_flt_logs_nodec_fqdn,LEFT(vvs_dr_flt_logs_nodec_fqdn,FIND(".",vvs_dr_flt_logs_nodec_fqdn)-1))</f>
        <v>Value Missing</v>
      </c>
      <c r="Q118" s="166" t="s">
        <v>261</v>
      </c>
      <c r="R118" s="167" t="s">
        <v>19</v>
      </c>
      <c r="T118" s="4" t="s">
        <v>2015</v>
      </c>
      <c r="U118" s="337" t="str">
        <f>IF(ISBLANK(input_wld_srm_recovery_vcenter_fqdn),"Value Missing",input_wld_srm_recovery_vcenter_fqdn)</f>
        <v>Value Missing</v>
      </c>
      <c r="V118" s="3"/>
    </row>
    <row r="119" spans="2:27" s="2" customFormat="1" ht="20.05" customHeight="1" x14ac:dyDescent="0.45">
      <c r="B119" s="4" t="s">
        <v>279</v>
      </c>
      <c r="C119" s="337" t="str">
        <f>IF(ISBLANK(input_mgmt_cl01_vsan_datastore),"Value Missing",input_mgmt_cl01_vsan_datastore)</f>
        <v>Value Missing</v>
      </c>
      <c r="E119" s="166" t="s">
        <v>261</v>
      </c>
      <c r="F119" s="167" t="s">
        <v>19</v>
      </c>
      <c r="H119" s="17" t="s">
        <v>1946</v>
      </c>
      <c r="I119" s="337" t="str">
        <f t="array" ref="I119">IF(ISBLANK(input_cluster_vds02_lag_name),"Value Missing",input_cluster_vds02_lag_name)</f>
        <v>Value Missing</v>
      </c>
      <c r="K119" s="4" t="s">
        <v>2073</v>
      </c>
      <c r="L119" s="337" t="str">
        <f>IF(ISBLANK(input_svc_vra_nsx_password),"Value Missing",input_svc_vra_nsx_password)</f>
        <v>Value Missing</v>
      </c>
      <c r="N119" s="4" t="s">
        <v>2117</v>
      </c>
      <c r="O119" s="337" t="str">
        <f>IF(vvs_dr_flt_net_nodea_fqdn="Value Missing",vvs_dr_flt_net_nodea_fqdn,LEFT(vvs_dr_flt_net_nodea_fqdn,FIND(".",vvs_dr_flt_net_nodea_fqdn)-1))</f>
        <v>Value Missing</v>
      </c>
      <c r="Q119" s="361" t="s">
        <v>1291</v>
      </c>
      <c r="R119" s="337" t="str">
        <f>IF(ISBLANK(input_wld_vrms_hostname),"Value Missing",input_wld_vrms_hostname)</f>
        <v>Value Missing</v>
      </c>
      <c r="T119" s="4" t="s">
        <v>2018</v>
      </c>
      <c r="U119" s="337" t="str">
        <f>IF(ISBLANK(input_wld_srm_recovery_vcenter_username),"Value Missing",input_wld_srm_recovery_vcenter_username)</f>
        <v>Value Missing</v>
      </c>
      <c r="V119" s="3"/>
    </row>
    <row r="120" spans="2:27" s="2" customFormat="1" ht="20.05" customHeight="1" x14ac:dyDescent="0.45">
      <c r="B120" s="4" t="s">
        <v>2118</v>
      </c>
      <c r="C120" s="337" t="str">
        <f>IF(ISBLANK(mgmt_cl01_vsan_ftt_chosen),"Value Missing",mgmt_cl01_vsan_ftt_chosen)</f>
        <v>1</v>
      </c>
      <c r="E120" s="4" t="s">
        <v>279</v>
      </c>
      <c r="F120" s="337" t="str">
        <f>IF(ISBLANK('Configure Workload Domain'!D270),"Value Missing",'Configure Workload Domain'!D270)</f>
        <v>Value Missing</v>
      </c>
      <c r="H120" s="17" t="s">
        <v>876</v>
      </c>
      <c r="I120" s="337" t="str">
        <f>IF(ISBLANK(input_cluster_vds03_name),"Value Missing",input_cluster_vds03_name)</f>
        <v>Value Missing</v>
      </c>
      <c r="K120" s="4" t="s">
        <v>2078</v>
      </c>
      <c r="L120" s="337" t="str">
        <f>IF(ISBLANK(input_svc_vra_vcf_password),"Value Missing",input_svc_vra_vcf_password)</f>
        <v>Value Missing</v>
      </c>
      <c r="N120" s="4" t="s">
        <v>2119</v>
      </c>
      <c r="O120" s="337" t="str">
        <f>IF(vvs_dr_flt_net_nodeb_fqdn="Value Missing",vvs_dr_flt_net_nodeb_fqdn,LEFT(vvs_dr_flt_net_nodeb_fqdn,FIND(".",vvs_dr_flt_net_nodeb_fqdn)-1))</f>
        <v>Value Missing</v>
      </c>
      <c r="Q120" s="361" t="s">
        <v>2109</v>
      </c>
      <c r="R120" s="337" t="str">
        <f>IF(ISBLANK(input_wld_srm_hostname),"Value Missing",input_wld_srm_hostname)</f>
        <v>Value Missing</v>
      </c>
      <c r="T120" s="4" t="s">
        <v>2020</v>
      </c>
      <c r="U120" s="337" t="str">
        <f>IF(ISBLANK(input_wld_srm_recovery_vcenter_password),"Value Missing",input_wld_srm_recovery_vcenter_password)</f>
        <v>Value Missing</v>
      </c>
      <c r="V120" s="3"/>
    </row>
    <row r="121" spans="2:27" s="2" customFormat="1" ht="20.05" customHeight="1" x14ac:dyDescent="0.45">
      <c r="B121" s="4" t="s">
        <v>843</v>
      </c>
      <c r="C121" s="337" t="str">
        <f>IF(ISBLANK(mgmt_cl01_vsan_dedupe_compression_chosen),"Value Missing",mgmt_cl01_vsan_dedupe_compression_chosen)</f>
        <v>Unselected</v>
      </c>
      <c r="E121" s="4" t="s">
        <v>210</v>
      </c>
      <c r="F121" s="337" t="str">
        <f>IF(ISBLANK('Configure Workload Domain'!D268),"Value Missing",'Configure Workload Domain'!D268)</f>
        <v>Value Missing</v>
      </c>
      <c r="H121" s="17" t="s">
        <v>160</v>
      </c>
      <c r="I121" s="337" t="str">
        <f>IF(ISBLANK(input_cluster_vds03_mtu),"Value Missing",input_cluster_vds03_mtu)</f>
        <v>Value Missing</v>
      </c>
      <c r="K121" s="4" t="s">
        <v>2086</v>
      </c>
      <c r="L121" s="337" t="str">
        <f>IF(ISBLANK(input_svc_vra_vrops_password),"Value Missing",input_svc_vra_vrops_password)</f>
        <v>Value Missing</v>
      </c>
      <c r="N121" s="4" t="s">
        <v>2120</v>
      </c>
      <c r="O121" s="337" t="str">
        <f>IF(vvs_dr_flt_net_nodec_fqdn="Value Missing",vvs_dr_flt_net_nodec_fqdn,LEFT(vvs_dr_flt_net_nodec_fqdn,FIND(".",vvs_dr_flt_net_nodec_fqdn)-1))</f>
        <v>Value Missing</v>
      </c>
      <c r="T121" s="4" t="s">
        <v>2046</v>
      </c>
      <c r="U121" s="337" t="str">
        <f>IF(ISBLANK(input_wld_vrms_recovery_replication_cidr),"Value Missing",input_wld_vrms_recovery_replication_cidr)</f>
        <v>Value Missing</v>
      </c>
      <c r="V121" s="3"/>
    </row>
    <row r="122" spans="2:27" s="2" customFormat="1" ht="20.05" customHeight="1" x14ac:dyDescent="0.45">
      <c r="B122" s="22" t="s">
        <v>846</v>
      </c>
      <c r="C122" s="337" t="str">
        <f>IF(ISBLANK(input_mgmt_cl01_nfs_share),"Value Missing",input_mgmt_cl01_nfs_share)</f>
        <v>Value Missing</v>
      </c>
      <c r="E122" s="4" t="s">
        <v>278</v>
      </c>
      <c r="F122" s="337" t="str">
        <f>IF(ISBLANK(input_wld_witness_vm_folder),"Value Missing",input_wld_witness_vm_folder)</f>
        <v>Value Missing</v>
      </c>
      <c r="H122" s="22" t="s">
        <v>867</v>
      </c>
      <c r="I122" s="337" t="str">
        <f>IF(ISBLANK(input_cluster_vds03_uplink_count),"Value Missing",input_cluster_vds03_uplink_count)</f>
        <v>Value Missing</v>
      </c>
      <c r="K122" s="4" t="s">
        <v>2081</v>
      </c>
      <c r="L122" s="337" t="str">
        <f>IF(ISBLANK(input_svc_vro_vsphere_password),"Value Missing",input_svc_vro_vsphere_password)</f>
        <v>Value Missing</v>
      </c>
      <c r="N122" s="4" t="s">
        <v>2121</v>
      </c>
      <c r="O122" s="337" t="str">
        <f>IF(ISBLANK(input_vvs_dr_mgmt_cl01_datastore),"Value Missing",input_vvs_dr_mgmt_cl01_datastore)</f>
        <v>Value Missing</v>
      </c>
      <c r="Q122" s="387" t="s">
        <v>2122</v>
      </c>
      <c r="R122" s="387"/>
      <c r="T122" s="4" t="s">
        <v>2052</v>
      </c>
      <c r="U122" s="337" t="str">
        <f>IF(ISBLANK(input_wld_srm_sso_domain_membership),"Value Missing",input_wld_srm_sso_domain_membership)</f>
        <v>Value Missing</v>
      </c>
      <c r="V122" s="3"/>
    </row>
    <row r="123" spans="2:27" s="2" customFormat="1" ht="20.05" customHeight="1" x14ac:dyDescent="0.35">
      <c r="B123" s="22" t="s">
        <v>847</v>
      </c>
      <c r="C123" s="337" t="str">
        <f>IF(ISBLANK(input_mgmt_cl01_nfs_server_ip),"Value Missing",input_mgmt_cl01_nfs_server_ip)</f>
        <v>Value Missing</v>
      </c>
      <c r="E123" s="4" t="s">
        <v>2123</v>
      </c>
      <c r="F123" s="337" t="str">
        <f>IF(ISBLANK(input_wld_witness_dns1_ip),"Value Missing",input_wld_witness_dns1_ip)</f>
        <v>Value Missing</v>
      </c>
      <c r="H123" s="17" t="s">
        <v>868</v>
      </c>
      <c r="I123" s="337" t="str">
        <f>IF(ISBLANK(input_cluster_vds03_pnics),"Value Missing",input_cluster_vds03_pnics)</f>
        <v>Value Missing</v>
      </c>
      <c r="N123" s="4" t="s">
        <v>2124</v>
      </c>
      <c r="O123" s="337" t="str">
        <f>IF(ISBLANK(input_mgmt_srm_net_rp),"Value Missing",input_mgmt_srm_net_rp)</f>
        <v>Value Missing</v>
      </c>
      <c r="Q123" s="166" t="s">
        <v>261</v>
      </c>
      <c r="R123" s="167" t="s">
        <v>19</v>
      </c>
      <c r="T123" s="8"/>
      <c r="U123" s="8"/>
      <c r="V123" s="3"/>
    </row>
    <row r="124" spans="2:27" s="2" customFormat="1" ht="20.05" customHeight="1" x14ac:dyDescent="0.35">
      <c r="B124" s="22" t="s">
        <v>2125</v>
      </c>
      <c r="C124" s="337" t="str">
        <f>IF(ISBLANK(mgmt_cl01_nfs_server_bound_to_vmknic_chosen),"Value Missing",mgmt_cl01_nfs_server_bound_to_vmknic_chosen)</f>
        <v>Selected</v>
      </c>
      <c r="E124" s="4" t="s">
        <v>2123</v>
      </c>
      <c r="F124" s="337" t="str">
        <f>IF(ISBLANK(input_wld_witness_dns2_ip),"Value Missing",input_wld_witness_dns2_ip)</f>
        <v>Value Missing</v>
      </c>
      <c r="H124" s="17" t="s">
        <v>870</v>
      </c>
      <c r="I124" s="337" t="str">
        <f>IF(cluster_vds_profile_chosen="Default","",
IF(cluster_vds_profile_chosen="Storage Traffic Separation","",
IF(cluster_vds_profile_chosen="NSX Traffic Separation","",
IF(cluster_vds_profile_chosen="Storage Traffic and NSX Traffic Separation","Overlay",
IF(cluster_vds_profile_chosen="vSan Max Storage Traffic and NSX Traffic Separation","Overlay","")))))</f>
        <v/>
      </c>
      <c r="K124" s="387" t="s">
        <v>2126</v>
      </c>
      <c r="L124" s="387"/>
      <c r="N124" s="4" t="s">
        <v>2127</v>
      </c>
      <c r="O124" s="337" t="str">
        <f>IF(ISBLANK(input_mgmt_srm_logs_rp),"Value Missing",input_mgmt_srm_logs_rp)</f>
        <v>Value Missing</v>
      </c>
      <c r="Q124" s="361" t="s">
        <v>1291</v>
      </c>
      <c r="T124" s="8"/>
      <c r="U124" s="8"/>
      <c r="V124" s="3"/>
    </row>
    <row r="125" spans="2:27" s="2" customFormat="1" ht="20.05" customHeight="1" x14ac:dyDescent="0.35">
      <c r="E125" s="4" t="s">
        <v>2128</v>
      </c>
      <c r="F125" s="337" t="str">
        <f>IF(ISBLANK(sample_wld_witness_ntp1_server),"Value Missing",sample_wld_witness_ntp1_server)</f>
        <v>ntp0.lax.rainpole.io</v>
      </c>
      <c r="H125" s="17" t="s">
        <v>1946</v>
      </c>
      <c r="I125" s="337" t="str">
        <f t="array" ref="I125">IF(ISBLANK(input_cluster_vds03_lag_name),"Value Missing",input_cluster_vds03_lag_name)</f>
        <v>Value Missing</v>
      </c>
      <c r="K125" s="166" t="s">
        <v>261</v>
      </c>
      <c r="L125" s="167" t="s">
        <v>19</v>
      </c>
      <c r="N125" s="4" t="s">
        <v>2129</v>
      </c>
      <c r="O125" s="337" t="str">
        <f>IF(ISBLANK(input_mgmt_srm_recovery_pg),"Value Missing",input_mgmt_srm_recovery_pg)</f>
        <v>Value Missing</v>
      </c>
      <c r="Q125" s="361" t="s">
        <v>2109</v>
      </c>
      <c r="R125" s="337" t="str">
        <f>(CONCATENATE(vvs_mgmt_dr_vlr_hostname,".",child_dns_zone))</f>
        <v>Value Missing.Value Missing</v>
      </c>
      <c r="T125" s="579" t="s">
        <v>2130</v>
      </c>
      <c r="U125" s="581"/>
      <c r="V125" s="3"/>
      <c r="Z125" s="8"/>
      <c r="AA125" s="8"/>
    </row>
    <row r="126" spans="2:27" s="2" customFormat="1" ht="20.05" customHeight="1" x14ac:dyDescent="0.35">
      <c r="B126" s="385" t="s">
        <v>14</v>
      </c>
      <c r="C126" s="386"/>
      <c r="E126" s="4" t="s">
        <v>2128</v>
      </c>
      <c r="F126" s="337" t="str">
        <f>IF(ISBLANK(sample_wld_witness_ntp2_server),"Value Missing",sample_wld_witness_ntp2_server)</f>
        <v>ntp1.lax.rainpole.io</v>
      </c>
      <c r="H126" s="336" t="s">
        <v>2131</v>
      </c>
      <c r="I126" s="336"/>
      <c r="K126" s="4" t="s">
        <v>2095</v>
      </c>
      <c r="L126" s="337" t="str">
        <f>IF(ISBLANK('Active Directory Inputs'!E18),"Value Missing",'Active Directory Inputs'!E18)</f>
        <v>Value Missing</v>
      </c>
      <c r="N126" s="4" t="s">
        <v>2132</v>
      </c>
      <c r="O126" s="337" t="str">
        <f>IF(ISBLANK(input_mgmt_srm_recovery_gateway),"Value Missing",input_mgmt_srm_recovery_gateway)</f>
        <v>Value Missing</v>
      </c>
      <c r="Q126" s="8"/>
      <c r="R126" s="8"/>
      <c r="T126" s="166" t="s">
        <v>261</v>
      </c>
      <c r="U126" s="167" t="s">
        <v>19</v>
      </c>
      <c r="V126" s="3"/>
    </row>
    <row r="127" spans="2:27" s="2" customFormat="1" ht="20.05" customHeight="1" x14ac:dyDescent="0.35">
      <c r="B127" s="336" t="s">
        <v>261</v>
      </c>
      <c r="C127" s="336" t="s">
        <v>1904</v>
      </c>
      <c r="E127" s="8"/>
      <c r="F127" s="8"/>
      <c r="H127" s="22" t="s">
        <v>185</v>
      </c>
      <c r="I127" s="337" t="str">
        <f>IF(ISBLANK(input_cluster_az1_mgmt_pg),"Value Missing",input_cluster_az1_mgmt_pg)</f>
        <v>Value Missing</v>
      </c>
      <c r="K127" s="4" t="s">
        <v>2133</v>
      </c>
      <c r="L127" s="337" t="str">
        <f>IF(ISBLANK('Active Directory Inputs'!E19),"Value Missing",'Active Directory Inputs'!E19)</f>
        <v>Value Missing</v>
      </c>
      <c r="N127" s="4" t="s">
        <v>2134</v>
      </c>
      <c r="O127" s="337" t="str">
        <f>IF(ISBLANK(input_mgmt_srm_recovery_mask),"Value Missing",input_mgmt_srm_recovery_mask)</f>
        <v>Value Missing</v>
      </c>
      <c r="Q127" s="387" t="s">
        <v>2135</v>
      </c>
      <c r="R127" s="387"/>
      <c r="T127" s="4" t="s">
        <v>2136</v>
      </c>
      <c r="U127" s="337" t="str">
        <f>IF(ISBLANK(input_cbr_vcdr_vsphere_role),"Value Missing",input_cbr_vcdr_vsphere_role)</f>
        <v>Value Missing</v>
      </c>
      <c r="V127" s="3"/>
    </row>
    <row r="128" spans="2:27" s="2" customFormat="1" ht="20.05" customHeight="1" x14ac:dyDescent="0.45">
      <c r="B128" s="4" t="s">
        <v>2137</v>
      </c>
      <c r="C128" s="337"/>
      <c r="E128" s="387" t="s">
        <v>2138</v>
      </c>
      <c r="F128" s="389"/>
      <c r="H128" s="22" t="s">
        <v>882</v>
      </c>
      <c r="I128" s="337" t="str">
        <f>IF(ISBLANK(cluster_az1_mgmt_lbt_chosen),"Value Missing",cluster_az1_mgmt_lbt_chosen)</f>
        <v>Route Based on Physical NIC Load</v>
      </c>
      <c r="N128" s="4" t="s">
        <v>2139</v>
      </c>
      <c r="O128" s="337"/>
      <c r="Q128" s="166" t="s">
        <v>261</v>
      </c>
      <c r="R128" s="167" t="s">
        <v>19</v>
      </c>
      <c r="T128" s="4" t="s">
        <v>2140</v>
      </c>
      <c r="U128" s="337" t="str">
        <f>IF(ISBLANK(input_svc_cbr_vcdr_vsphere_user),"Value Missing",input_svc_cbr_vcdr_vsphere_user)</f>
        <v>Value Missing</v>
      </c>
      <c r="V128" s="3"/>
    </row>
    <row r="129" spans="2:27" s="2" customFormat="1" ht="20.05" customHeight="1" x14ac:dyDescent="0.45">
      <c r="B129" s="4" t="s">
        <v>2141</v>
      </c>
      <c r="C129" s="337" t="str">
        <f>IF(ISBLANK(sizing_mgmt_ec_formfactor_chosen),"Value Missing",sizing_mgmt_ec_formfactor_chosen)</f>
        <v>Medium</v>
      </c>
      <c r="E129" s="166" t="s">
        <v>261</v>
      </c>
      <c r="F129" s="167" t="s">
        <v>19</v>
      </c>
      <c r="H129" s="22" t="s">
        <v>884</v>
      </c>
      <c r="I129" s="337" t="str">
        <f>IF(ISBLANK(cluster_az1_mgmt_uplink1_chosen),"Value Missing",cluster_az1_mgmt_uplink1_chosen)</f>
        <v>Active</v>
      </c>
      <c r="K129" s="387" t="s">
        <v>2142</v>
      </c>
      <c r="L129" s="387"/>
      <c r="N129" s="4" t="s">
        <v>2143</v>
      </c>
      <c r="O129" s="337" t="str">
        <f>IF(ISBLANK(input_vvs_dr_vr_username),"Value Missing",input_vvs_dr_vr_username)</f>
        <v>Value Missing</v>
      </c>
      <c r="Q129" s="361" t="s">
        <v>1291</v>
      </c>
      <c r="R129" s="337" t="str">
        <f>(CONCATENATE(wld_srm_hostname,".",child_dns_zone))</f>
        <v>Value Missing.Value Missing</v>
      </c>
      <c r="T129" s="4" t="s">
        <v>2144</v>
      </c>
      <c r="U129" s="337" t="str">
        <f>IF(ISBLANK(input_svc_cbr_vcdr_vsphere_password),"Value Missing",input_svc_cbr_vcdr_vsphere_password)</f>
        <v>Value Missing</v>
      </c>
      <c r="V129" s="3"/>
    </row>
    <row r="130" spans="2:27" s="2" customFormat="1" ht="20.05" customHeight="1" x14ac:dyDescent="0.35">
      <c r="B130" s="4" t="s">
        <v>2145</v>
      </c>
      <c r="C130" s="337" t="str">
        <f>IF(ISBLANK(input_mgmt_ec_mtu),"Value Missing",input_mgmt_ec_mtu)</f>
        <v>Value Missing</v>
      </c>
      <c r="E130" s="361" t="s">
        <v>1657</v>
      </c>
      <c r="F130" s="337" t="str">
        <f>IF(ISBLANK('Configure Workload Domain'!D266),"Value Missing",'Configure Workload Domain'!D266)</f>
        <v>Value Missing</v>
      </c>
      <c r="H130" s="22" t="s">
        <v>885</v>
      </c>
      <c r="I130" s="337" t="str">
        <f>IF(ISBLANK(cluster_az1_mgmt_uplink2_chosen),"Value Missing",cluster_az1_mgmt_uplink2_chosen)</f>
        <v>Active</v>
      </c>
      <c r="K130" s="166" t="s">
        <v>261</v>
      </c>
      <c r="L130" s="167" t="s">
        <v>19</v>
      </c>
      <c r="N130" s="4" t="s">
        <v>2146</v>
      </c>
      <c r="O130" s="337" t="str">
        <f>IF(ISBLANK(input_vvs_dr_vr_password),"Value Missing",input_vvs_dr_vr_password)</f>
        <v>Value Missing</v>
      </c>
      <c r="Q130" s="361" t="s">
        <v>2109</v>
      </c>
      <c r="R130" s="337" t="str">
        <f>(CONCATENATE(wld_srm_hostname,".",child_dns_zone))</f>
        <v>Value Missing.Value Missing</v>
      </c>
      <c r="T130" s="4" t="s">
        <v>2147</v>
      </c>
      <c r="U130" s="337" t="str">
        <f>IF(ISBLANK(input_cbr_vm_folder),"Value Missing",input_cbr_vm_folder)</f>
        <v>Value Missing</v>
      </c>
      <c r="V130" s="3"/>
      <c r="Z130" s="8"/>
      <c r="AA130" s="8"/>
    </row>
    <row r="131" spans="2:27" s="2" customFormat="1" ht="20.05" customHeight="1" x14ac:dyDescent="0.35">
      <c r="B131" s="4" t="s">
        <v>2148</v>
      </c>
      <c r="C131" s="337" t="str">
        <f>IF(ISBLANK(input_mgmt_ec_rp_name),"Value Missing",input_mgmt_ec_rp_name)</f>
        <v>Value Missing</v>
      </c>
      <c r="E131" s="361" t="s">
        <v>278</v>
      </c>
      <c r="F131" s="337" t="str">
        <f>IF(ISBLANK('Configure Workload Domain'!D274),"Value Missing",'Configure Workload Domain'!D274)</f>
        <v>Value Missing</v>
      </c>
      <c r="H131" s="336" t="s">
        <v>2149</v>
      </c>
      <c r="I131" s="336"/>
      <c r="K131" s="4" t="str">
        <f>IF(ISBLANK('Active Directory Inputs'!D75),"Value Missing",'Active Directory Inputs'!D75)</f>
        <v>gg-kub-admins</v>
      </c>
      <c r="L131" s="337" t="str">
        <f>IF(ISBLANK('Active Directory Inputs'!E75),"Value Missing",'Active Directory Inputs'!E75)</f>
        <v>Value Missing</v>
      </c>
      <c r="Q131" s="8"/>
      <c r="R131" s="8"/>
      <c r="T131" s="4" t="s">
        <v>2150</v>
      </c>
      <c r="U131" s="337" t="str">
        <f>IF(ISBLANK(input_cbr_recovery_sddc_name),"Value Missing",input_cbr_recovery_sddc_name)</f>
        <v>Value Missing</v>
      </c>
      <c r="V131" s="3"/>
    </row>
    <row r="132" spans="2:27" s="2" customFormat="1" ht="20.05" customHeight="1" x14ac:dyDescent="0.45">
      <c r="B132" s="4" t="s">
        <v>2151</v>
      </c>
      <c r="C132" s="337" t="str">
        <f>IF(ISBLANK(mgmt_ec01_host_group_affinity_rule_chosen),"Value Missing",mgmt_ec01_host_group_affinity_rule_chosen)</f>
        <v>No</v>
      </c>
      <c r="E132" s="361" t="s">
        <v>2152</v>
      </c>
      <c r="F132" s="337" t="str">
        <f>IF(ISBLANK(input_wld_witness_ip),"Value Missing",input_wld_witness_ip)</f>
        <v>Value Missing</v>
      </c>
      <c r="H132" s="22" t="s">
        <v>185</v>
      </c>
      <c r="I132" s="337" t="str">
        <f>IF(ISBLANK(input_cluster_az1_mgmt_vm_pg),"Value Missing",input_cluster_az1_mgmt_vm_pg)</f>
        <v>Value Missing</v>
      </c>
      <c r="K132" s="4" t="str">
        <f>IF(ISBLANK('Active Directory Inputs'!D76),"Value Missing",'Active Directory Inputs'!D76)</f>
        <v>gg-kub-readonly</v>
      </c>
      <c r="L132" s="337" t="str">
        <f>IF(ISBLANK('Active Directory Inputs'!E76),"Value Missing",'Active Directory Inputs'!E76)</f>
        <v>Value Missing</v>
      </c>
      <c r="Q132" s="387" t="s">
        <v>2153</v>
      </c>
      <c r="R132" s="389"/>
      <c r="T132" s="4" t="s">
        <v>2154</v>
      </c>
      <c r="U132" s="337" t="str">
        <f>IF(ISBLANK(input_cbr_recovery_region),"Value Missing",input_cbr_recovery_region)</f>
        <v>Value Missing</v>
      </c>
      <c r="V132" s="3"/>
    </row>
    <row r="133" spans="2:27" s="2" customFormat="1" ht="20.05" customHeight="1" x14ac:dyDescent="0.45">
      <c r="B133" s="4" t="s">
        <v>2155</v>
      </c>
      <c r="C133" s="337" t="str">
        <f t="array" ref="C133">IF(ISBLANK(input_mgmt_ec01_en01_host_group_affinity_rule_name),"Value Missing",input_mgmt_ec01_en01_host_group_affinity_rule_name)</f>
        <v>Value Missing</v>
      </c>
      <c r="E133" s="361" t="s">
        <v>1657</v>
      </c>
      <c r="F133" s="337" t="str">
        <f>IF(ISBLANK(input_wld_witness_zone_vc_fqdn),"Value Missing",input_wld_witness_zone_vc_fqdn)</f>
        <v>Value Missing</v>
      </c>
      <c r="H133" s="22" t="s">
        <v>882</v>
      </c>
      <c r="I133" s="337" t="str">
        <f>IF(ISBLANK(cluster_az1_mgmt_vm_lbt_chosen),"Value Missing",cluster_az1_mgmt_vm_lbt_chosen)</f>
        <v>Route Based on Physical NIC Load</v>
      </c>
      <c r="K133" s="4" t="s">
        <v>2156</v>
      </c>
      <c r="L133" s="337" t="str">
        <f>IF(ISBLANK(input_parent_gg_wsa_admins_group),"Value Missing",input_parent_gg_wsa_admins_group)</f>
        <v>Value Missing</v>
      </c>
      <c r="Q133" s="166" t="s">
        <v>261</v>
      </c>
      <c r="R133" s="167" t="s">
        <v>19</v>
      </c>
      <c r="T133" s="4" t="s">
        <v>2157</v>
      </c>
      <c r="U133" s="337" t="str">
        <f>IF(ISBLANK(input_cbr_recovery_host_type),"Value Missing",input_cbr_recovery_host_type)</f>
        <v>Value Missing</v>
      </c>
      <c r="V133" s="3"/>
    </row>
    <row r="134" spans="2:27" s="2" customFormat="1" ht="20.05" customHeight="1" x14ac:dyDescent="0.45">
      <c r="B134" s="4" t="s">
        <v>2155</v>
      </c>
      <c r="C134" s="337" t="str">
        <f t="array" ref="C134">IF(ISBLANK(input_mgmt_ec01_en02_host_group_affinity_rule_name),"Value Missing",input_mgmt_ec01_en02_host_group_affinity_rule_name)</f>
        <v>Value Missing</v>
      </c>
      <c r="E134" s="361" t="s">
        <v>2158</v>
      </c>
      <c r="F134" s="337" t="str">
        <f>IF(ISBLANK(input_wld_witnessaz_mgmt_cidr),"Value Missing",input_wld_witnessaz_mgmt_cidr)</f>
        <v>Value Missing</v>
      </c>
      <c r="H134" s="22" t="s">
        <v>884</v>
      </c>
      <c r="I134" s="337" t="str">
        <f>IF(ISBLANK(cluster_az1_mgmt_vm_uplink1_chosen),"Value Missing",cluster_az1_mgmt_vm_uplink1_chosen)</f>
        <v>Active</v>
      </c>
      <c r="K134" s="4" t="s">
        <v>2159</v>
      </c>
      <c r="L134" s="337" t="str">
        <f>IF(ISBLANK(input_parent_gg_wsa_directory_admins_group),"Value Missing",input_parent_gg_wsa_directory_admins_group)</f>
        <v>Value Missing</v>
      </c>
      <c r="Q134" s="17" t="s">
        <v>2160</v>
      </c>
      <c r="R134" s="337"/>
      <c r="T134" s="4" t="s">
        <v>2161</v>
      </c>
      <c r="U134" s="337" t="str">
        <f>IF(ISBLANK(input_cbr_recovery_host_count),"Value Missing",input_cbr_recovery_host_count)</f>
        <v>Value Missing</v>
      </c>
      <c r="V134" s="3"/>
    </row>
    <row r="135" spans="2:27" s="2" customFormat="1" ht="20.05" customHeight="1" x14ac:dyDescent="0.45">
      <c r="B135" s="4" t="s">
        <v>2162</v>
      </c>
      <c r="C135" s="337" t="str">
        <f>IF(ISBLANK(mgmt_ec01_use_host_overlay_chosen),"Value Missing",mgmt_ec01_use_host_overlay_chosen)</f>
        <v xml:space="preserve">Unselected </v>
      </c>
      <c r="E135" s="361" t="s">
        <v>2163</v>
      </c>
      <c r="F135" s="337" t="str">
        <f>IF(ISBLANK(input_wld_witnessaz_mgmt_gateway_ip),"Value Missing",input_wld_witnessaz_mgmt_gateway_ip)</f>
        <v>Value Missing</v>
      </c>
      <c r="H135" s="22" t="s">
        <v>885</v>
      </c>
      <c r="I135" s="337" t="str">
        <f>IF(ISBLANK(cluster_az1_mgmt_vm_uplink2_chosen),"Value Missing",cluster_az1_mgmt_vm_uplink2_chosen)</f>
        <v>Active</v>
      </c>
      <c r="K135" s="4" t="s">
        <v>2164</v>
      </c>
      <c r="L135" s="337" t="str">
        <f>IF(ISBLANK(input_parent_gg_wsa_read_only_group),"Value Missing",input_parent_gg_wsa_read_only_group)</f>
        <v>Value Missing</v>
      </c>
      <c r="Q135" s="17" t="s">
        <v>2165</v>
      </c>
      <c r="R135" s="337"/>
      <c r="T135" s="4" t="s">
        <v>2166</v>
      </c>
      <c r="U135" s="337" t="str">
        <f>IF(ISBLANK(input_cbr_recovery_vpc),"Value Missing",input_cbr_recovery_vpc)</f>
        <v>Value Missing</v>
      </c>
      <c r="V135" s="3"/>
    </row>
    <row r="136" spans="2:27" s="2" customFormat="1" ht="20.05" customHeight="1" x14ac:dyDescent="0.35">
      <c r="B136" s="4" t="s">
        <v>2167</v>
      </c>
      <c r="C136" s="337" t="str">
        <f>IF(mgmt_dpg_reuse_chosen="Selected","Excluded","Included")</f>
        <v>Included</v>
      </c>
      <c r="E136" s="361" t="s">
        <v>2168</v>
      </c>
      <c r="F136" s="337" t="str">
        <f>IF(wld_witnessaz_mgmt_cidr="Value Missing",wld_witnessaz_mgmt_cidr,VLOOKUP(INT(RIGHT(wld_witnessaz_mgmt_cidr,LEN(wld_witnessaz_mgmt_cidr)-FIND("/",wld_witnessaz_mgmt_cidr))),table_cidr_to_mask,2,FALSE))</f>
        <v>Value Missing</v>
      </c>
      <c r="H136" s="336" t="s">
        <v>1672</v>
      </c>
      <c r="I136" s="336"/>
      <c r="K136" s="4" t="s">
        <v>2169</v>
      </c>
      <c r="L136" s="337" t="str">
        <f>IF(ISBLANK('Active Directory Inputs'!E54),"Value Missing",'Active Directory Inputs'!E54)</f>
        <v>Value Missing</v>
      </c>
      <c r="Q136" s="8"/>
      <c r="R136" s="8"/>
      <c r="T136" s="4" t="s">
        <v>2170</v>
      </c>
      <c r="U136" s="337" t="str">
        <f>IF(ISBLANK(input_cbr_recovery_subnet),"Value Missing",input_cbr_recovery_subnet)</f>
        <v>Value Missing</v>
      </c>
      <c r="V136" s="3"/>
    </row>
    <row r="137" spans="2:27" s="2" customFormat="1" ht="20.05" customHeight="1" x14ac:dyDescent="0.45">
      <c r="B137" s="4" t="s">
        <v>2171</v>
      </c>
      <c r="C137" s="337" t="str">
        <f>mgmt_gateway_routing_type_chosen</f>
        <v>BGP</v>
      </c>
      <c r="E137" s="361" t="s">
        <v>2172</v>
      </c>
      <c r="F137" s="337" t="str">
        <f>IF(wld_witnessaz_mgmt_cidr="Value Missing",wld_witnessaz_mgmt_cidr,(LEFT(wld_witnessaz_mgmt_cidr,(FIND("/",wld_witnessaz_mgmt_cidr)-1))))</f>
        <v>Value Missing</v>
      </c>
      <c r="H137" s="22" t="s">
        <v>185</v>
      </c>
      <c r="I137" s="337" t="str">
        <f>IF(ISBLANK(input_cluster_az1_vmotion_pg),"Value Missing",input_cluster_az1_vmotion_pg)</f>
        <v>Value Missing</v>
      </c>
      <c r="K137" s="4" t="s">
        <v>2173</v>
      </c>
      <c r="L137" s="337" t="str">
        <f>IF(ISBLANK('Active Directory Inputs'!E55),"Value Missing",'Active Directory Inputs'!E55)</f>
        <v>Value Missing</v>
      </c>
      <c r="Q137" s="387" t="s">
        <v>2174</v>
      </c>
      <c r="R137" s="387"/>
      <c r="T137" s="4" t="s">
        <v>2175</v>
      </c>
      <c r="U137" s="337" t="str">
        <f>IF(ISBLANK(input_cbr_recovery_management_subnet),"Value Missing",input_cbr_recovery_management_subnet)</f>
        <v>Value Missing</v>
      </c>
      <c r="V137" s="3"/>
    </row>
    <row r="138" spans="2:27" s="2" customFormat="1" ht="20.05" customHeight="1" x14ac:dyDescent="0.45">
      <c r="B138" s="4" t="s">
        <v>2176</v>
      </c>
      <c r="C138" s="337" t="str">
        <f>mgmt_az1_en1_ip_allocation_chosen</f>
        <v>Static</v>
      </c>
      <c r="E138" s="361" t="s">
        <v>2177</v>
      </c>
      <c r="F138" s="337" t="str">
        <f>IF(ISBLANK(input_xreg_vra_prefix),"Value Missing",input_xreg_vra_prefix)</f>
        <v>Value Missing</v>
      </c>
      <c r="H138" s="22" t="s">
        <v>882</v>
      </c>
      <c r="I138" s="337" t="str">
        <f>IF(ISBLANK(cluster_az1_vmotion_lbt_chosen),"Value Missing",cluster_az1_vmotion_lbt_chosen)</f>
        <v>Route Based on Physical NIC Load</v>
      </c>
      <c r="K138" s="4" t="s">
        <v>2178</v>
      </c>
      <c r="L138" s="337" t="str">
        <f>IF(ISBLANK('Active Directory Inputs'!E56),"Value Missing",'Active Directory Inputs'!E56)</f>
        <v>Value Missing</v>
      </c>
      <c r="Q138" s="166" t="s">
        <v>261</v>
      </c>
      <c r="R138" s="167" t="s">
        <v>19</v>
      </c>
      <c r="T138" s="4" t="s">
        <v>2179</v>
      </c>
      <c r="U138" s="337" t="str">
        <f>IF(ISBLANK(input_cbr_firewall_rule_vcenter),"Value Missing",input_cbr_firewall_rule_vcenter)</f>
        <v>Value Missing</v>
      </c>
      <c r="V138" s="3"/>
    </row>
    <row r="139" spans="2:27" s="2" customFormat="1" ht="20.05" customHeight="1" x14ac:dyDescent="0.45">
      <c r="B139" s="4" t="s">
        <v>2180</v>
      </c>
      <c r="C139" s="337" t="str">
        <f>IF(ISBLANK(mgmt_az1_en1_edge_overlay_network_ip_allocation_chosen),"Value Missing",mgmt_az1_en1_edge_overlay_network_ip_allocation_chosen)</f>
        <v>Static IP List</v>
      </c>
      <c r="E139" s="361" t="s">
        <v>2181</v>
      </c>
      <c r="F139" s="337" t="str">
        <f>IF(ISBLANK(input_xreg_vrops_collector_ip),"Value Missing",input_xreg_vrops_collector_ip)</f>
        <v>Value Missing</v>
      </c>
      <c r="H139" s="22" t="s">
        <v>884</v>
      </c>
      <c r="I139" s="337" t="str">
        <f>IF(ISBLANK(cluster_az1_vmotion_uplink1_chosen),"Value Missing",cluster_az1_vmotion_uplink1_chosen)</f>
        <v>Active</v>
      </c>
      <c r="K139" s="4" t="s">
        <v>2182</v>
      </c>
      <c r="L139" s="337" t="str">
        <f>IF(ISBLANK('Active Directory Inputs'!E84),"Value Missing",'Active Directory Inputs'!E84)</f>
        <v>Value Missing</v>
      </c>
      <c r="Q139" s="17" t="s">
        <v>2160</v>
      </c>
      <c r="R139" s="337"/>
      <c r="T139" s="4" t="s">
        <v>2183</v>
      </c>
      <c r="U139" s="337" t="str">
        <f>IF(ISBLANK(input_cbr_vcdr_site_name),"Value Missing",input_cbr_vcdr_site_name)</f>
        <v>Value Missing</v>
      </c>
      <c r="V139" s="3"/>
    </row>
    <row r="140" spans="2:27" s="2" customFormat="1" ht="20.05" customHeight="1" x14ac:dyDescent="0.45">
      <c r="B140" s="4" t="s">
        <v>2184</v>
      </c>
      <c r="C140" s="337" t="str">
        <f>IF(ISBLANK(mgmt_az1_en1_edge_overlay_network_ip_allocation_chosen),"Value Missing",mgmt_az1_en1_edge_overlay_network_ip_allocation_chosen)</f>
        <v>Static IP List</v>
      </c>
      <c r="E140" s="361" t="s">
        <v>2185</v>
      </c>
      <c r="F140" s="337" t="str">
        <f>IF(ISBLANK(mgmt_vcfops_appliance_size_chosen),"Value Missing",mgmt_vcfops_appliance_size_chosen)</f>
        <v>Medium</v>
      </c>
      <c r="H140" s="22" t="s">
        <v>885</v>
      </c>
      <c r="I140" s="337" t="str">
        <f>IF(ISBLANK(cluster_az1_vmotion_uplink2_chosen),"Value Missing",cluster_az1_vmotion_uplink2_chosen)</f>
        <v>Active</v>
      </c>
      <c r="K140" s="4" t="s">
        <v>2186</v>
      </c>
      <c r="L140" s="337" t="str">
        <f>IF(ISBLANK('Active Directory Inputs'!E85),"Value Missing",'Active Directory Inputs'!E85)</f>
        <v>Value Missing</v>
      </c>
      <c r="Q140" s="17" t="s">
        <v>2165</v>
      </c>
      <c r="R140" s="337"/>
      <c r="T140" s="4" t="s">
        <v>2187</v>
      </c>
      <c r="U140" s="337" t="str">
        <f>IF(ISBLANK(input_cbr_vcdr_timezone),"Value Missing",input_cbr_vcdr_timezone)</f>
        <v>Value Missing</v>
      </c>
      <c r="V140" s="3"/>
    </row>
    <row r="141" spans="2:27" s="2" customFormat="1" ht="20.05" customHeight="1" x14ac:dyDescent="0.35">
      <c r="B141" s="4" t="s">
        <v>2188</v>
      </c>
      <c r="C141" s="337" t="str">
        <f>mgmt_az1_ec01_password_creation_chosen</f>
        <v xml:space="preserve">Unselected </v>
      </c>
      <c r="E141" s="8"/>
      <c r="F141" s="8"/>
      <c r="H141" s="336" t="s">
        <v>265</v>
      </c>
      <c r="I141" s="336"/>
      <c r="K141" s="4" t="s">
        <v>2189</v>
      </c>
      <c r="L141" s="337" t="str">
        <f>IF(ISBLANK('Active Directory Inputs'!E86),"Value Missing",'Active Directory Inputs'!E86)</f>
        <v>Value Missing</v>
      </c>
      <c r="Q141" s="168"/>
      <c r="T141" s="4" t="s">
        <v>2190</v>
      </c>
      <c r="U141" s="337" t="str">
        <f t="array" ref="U141">IF(ISBLANK(input_cbr_vcdr_cdp1_hostname),"Value Missing",input_cbr_vcdr_cdp1_hostname)</f>
        <v>Value Missing</v>
      </c>
      <c r="V141" s="3"/>
    </row>
    <row r="142" spans="2:27" s="2" customFormat="1" ht="20.05" customHeight="1" x14ac:dyDescent="0.35">
      <c r="B142" s="4" t="s">
        <v>2191</v>
      </c>
      <c r="C142" s="337" t="str">
        <f>IF(ISBLANK(mgmt_tier0_skip_chosen),"Value Missing",mgmt_tier0_skip_chosen)</f>
        <v>Unselected</v>
      </c>
      <c r="E142" s="391" t="s">
        <v>2192</v>
      </c>
      <c r="F142" s="391"/>
      <c r="H142" s="22" t="s">
        <v>185</v>
      </c>
      <c r="I142" s="337" t="str">
        <f>IF(ISBLANK(input_cluster_az1_principal_storage_pg),"Value Missing",input_cluster_az1_principal_storage_pg)</f>
        <v>Value Missing</v>
      </c>
      <c r="K142" s="4" t="s">
        <v>2193</v>
      </c>
      <c r="L142" s="337" t="str">
        <f>IF(ISBLANK('Active Directory Inputs'!E79),"Value Missing",'Active Directory Inputs'!E79)</f>
        <v>Value Missing</v>
      </c>
      <c r="Q142" s="8"/>
      <c r="R142" s="8"/>
      <c r="T142" s="4" t="s">
        <v>2194</v>
      </c>
      <c r="U142" s="337" t="str">
        <f>IF(ISBLANK(input_cbr_vcdr_cdp1_ip),"Value Missing",input_cbr_vcdr_cdp1_ip)</f>
        <v>Value Missing</v>
      </c>
      <c r="V142" s="3"/>
    </row>
    <row r="143" spans="2:27" s="2" customFormat="1" ht="20.05" customHeight="1" x14ac:dyDescent="0.35">
      <c r="B143" s="4" t="s">
        <v>2195</v>
      </c>
      <c r="C143" s="337" t="str">
        <f>IF(ISBLANK(wld_az1_ec01_password_creation_chosen),"Value Missing",wld_az1_ec01_password_creation_chosen)</f>
        <v xml:space="preserve">Unselected </v>
      </c>
      <c r="E143" s="336" t="s">
        <v>261</v>
      </c>
      <c r="F143" s="184" t="s">
        <v>1269</v>
      </c>
      <c r="H143" s="22" t="s">
        <v>882</v>
      </c>
      <c r="I143" s="337" t="str">
        <f>IF(ISBLANK(cluster_az1_principal_storage_lbt_chosen),"Value Missing",cluster_az1_principal_storage_lbt_chosen)</f>
        <v>Route Based on Physical NIC Load</v>
      </c>
      <c r="K143" s="4" t="s">
        <v>2196</v>
      </c>
      <c r="L143" s="337" t="str">
        <f>IF(ISBLANK('Active Directory Inputs'!E80),"Value Missing",'Active Directory Inputs'!E80)</f>
        <v>Value Missing</v>
      </c>
      <c r="Q143" s="8"/>
      <c r="R143" s="8"/>
      <c r="T143" s="4" t="s">
        <v>2197</v>
      </c>
      <c r="U143" s="337" t="str">
        <f>IF(ISBLANK(input_cbr_vcdr_cdp2_hostname),"Value Missing",input_cbr_vcdr_cdp2_hostname)</f>
        <v>Value Missing</v>
      </c>
      <c r="V143" s="3"/>
    </row>
    <row r="144" spans="2:27" s="2" customFormat="1" ht="20.05" customHeight="1" x14ac:dyDescent="0.35">
      <c r="E144" s="4" t="s">
        <v>2198</v>
      </c>
      <c r="F144" s="337" t="str">
        <f>IF(ISBLANK(input_wld_sso_domain_name),"Value Missing",input_wld_sso_domain_name)</f>
        <v>Value Missing</v>
      </c>
      <c r="H144" s="22" t="s">
        <v>884</v>
      </c>
      <c r="I144" s="337" t="str">
        <f>IF(ISBLANK(cluster_az1_principal_storage_uplink1_chosen),"Value Missing",cluster_az1_principal_storage_uplink1_chosen)</f>
        <v>Active</v>
      </c>
      <c r="K144" s="4" t="s">
        <v>2199</v>
      </c>
      <c r="L144" s="337" t="str">
        <f>IF(ISBLANK('Active Directory Inputs'!E81),"Value Missing",'Active Directory Inputs'!E81)</f>
        <v>Value Missing</v>
      </c>
      <c r="Q144" s="8"/>
      <c r="R144" s="8"/>
      <c r="T144" s="4" t="s">
        <v>2200</v>
      </c>
      <c r="U144" s="337" t="str">
        <f>IF(ISBLANK(input_cbr_vcdr_cdp2_ip),"Value Missing",input_cbr_vcdr_cdp2_ip)</f>
        <v>Value Missing</v>
      </c>
      <c r="V144" s="3"/>
    </row>
    <row r="145" spans="2:27" s="2" customFormat="1" ht="20.05" customHeight="1" x14ac:dyDescent="0.35">
      <c r="B145" s="385" t="s">
        <v>2201</v>
      </c>
      <c r="C145" s="386"/>
      <c r="E145" s="4" t="s">
        <v>2202</v>
      </c>
      <c r="F145" s="337" t="str">
        <f>IF(ISBLANK(input_wld_administrator_vsphere_local_password),"Value Missing",input_wld_administrator_vsphere_local_password)</f>
        <v>Value Missing</v>
      </c>
      <c r="H145" s="22" t="s">
        <v>885</v>
      </c>
      <c r="I145" s="337" t="str">
        <f>IF(ISBLANK(cluster_az1_principal_storage_uplink2_chosen),"Value Missing",cluster_az1_principal_storage_uplink2_chosen)</f>
        <v>Active</v>
      </c>
      <c r="K145" s="4" t="s">
        <v>2203</v>
      </c>
      <c r="L145" s="337" t="str">
        <f>IF(ISBLANK('Active Directory Inputs'!E94),"Value Missing",'Active Directory Inputs'!E94)</f>
        <v>Value Missing</v>
      </c>
      <c r="Q145" s="8"/>
      <c r="R145" s="8"/>
      <c r="T145" s="4" t="s">
        <v>2204</v>
      </c>
      <c r="U145" s="337" t="str">
        <f>IF(ISBLANK(input_cbr_vcdr_ova),"Value Missing",input_cbr_vcdr_ova)</f>
        <v>Value Missing</v>
      </c>
      <c r="V145" s="3"/>
    </row>
    <row r="146" spans="2:27" s="2" customFormat="1" ht="20.05" customHeight="1" x14ac:dyDescent="0.35">
      <c r="B146" s="336" t="s">
        <v>261</v>
      </c>
      <c r="C146" s="336" t="s">
        <v>19</v>
      </c>
      <c r="E146" s="4" t="s">
        <v>2205</v>
      </c>
      <c r="F146" s="337" t="str">
        <f>(CONCATENATE("administrator@",input_wld_sso_domain_name))</f>
        <v>administrator@</v>
      </c>
      <c r="H146" s="336" t="s">
        <v>2206</v>
      </c>
      <c r="I146" s="336"/>
      <c r="K146" s="4" t="s">
        <v>2207</v>
      </c>
      <c r="L146" s="337" t="str">
        <f>IF(ISBLANK('Active Directory Inputs'!E95),"Value Missing",'Active Directory Inputs'!E95)</f>
        <v>Value Missing</v>
      </c>
      <c r="Q146" s="8"/>
      <c r="R146" s="8"/>
      <c r="T146" s="4" t="s">
        <v>2208</v>
      </c>
      <c r="U146" s="337" t="str">
        <f>IF(ISBLANK(input_cbr_vcdr_orchestrator_fqdn),"Value Missing",input_cbr_vcdr_orchestrator_fqdn)</f>
        <v>Value Missing</v>
      </c>
      <c r="V146" s="3"/>
    </row>
    <row r="147" spans="2:27" s="2" customFormat="1" ht="20.05" customHeight="1" x14ac:dyDescent="0.35">
      <c r="B147" s="4" t="s">
        <v>2209</v>
      </c>
      <c r="C147" s="337" t="str">
        <f>IF(ISBLANK(input_flt_vidb_version),"Value Missing",input_flt_vidb_version)</f>
        <v>Value Missing</v>
      </c>
      <c r="E147" s="361" t="s">
        <v>2210</v>
      </c>
      <c r="F147" s="337" t="str">
        <f>IF(ISBLANK(input_wld_cl01_image_name),"Value Missing",input_wld_cl01_image_name)</f>
        <v>Value Missing</v>
      </c>
      <c r="H147" s="22" t="s">
        <v>185</v>
      </c>
      <c r="I147" s="337" t="str">
        <f>IF(ISBLANK(input_cluster_az1_vsan_storage_client_pg),"Value Missing",input_cluster_az1_vsan_storage_client_pg)</f>
        <v>Value Missing</v>
      </c>
      <c r="K147" s="4" t="s">
        <v>2211</v>
      </c>
      <c r="L147" s="337" t="str">
        <f>IF(ISBLANK('Active Directory Inputs'!E96),"Value Missing",'Active Directory Inputs'!E96)</f>
        <v>Value Missing</v>
      </c>
      <c r="Q147" s="8"/>
      <c r="R147" s="8"/>
      <c r="T147" s="4" t="s">
        <v>2212</v>
      </c>
      <c r="U147" s="337" t="str">
        <f>IF(ISBLANK(input_cbr_vcdr_passcode),"Value Missing",input_cbr_vcdr_passcode)</f>
        <v>Value Missing</v>
      </c>
      <c r="V147" s="3"/>
    </row>
    <row r="148" spans="2:27" s="2" customFormat="1" ht="20.05" customHeight="1" x14ac:dyDescent="0.35">
      <c r="B148" s="4" t="s">
        <v>2213</v>
      </c>
      <c r="C148" s="337" t="str">
        <f>IF(ISBLANK(flt_vidb_size_chosen),"Value Missing",flt_vidb_size_chosen)</f>
        <v>Small</v>
      </c>
      <c r="E148" s="4" t="s">
        <v>2214</v>
      </c>
      <c r="F148" s="337" t="str">
        <f>wld_centralized_connectivity_chosen</f>
        <v>Centralized Connectivity</v>
      </c>
      <c r="H148" s="22" t="s">
        <v>882</v>
      </c>
      <c r="I148" s="337" t="str">
        <f>IF(ISBLANK(cluster_az1_vsan_storage_client_lbt_chosen),"Value Missing",cluster_az1_vsan_storage_client_lbt_chosen)</f>
        <v>Route Based on Physical NIC Load</v>
      </c>
      <c r="K148" s="4" t="s">
        <v>2215</v>
      </c>
      <c r="L148" s="337" t="str">
        <f>IF(ISBLANK('Active Directory Inputs'!E97),"Value Missing",'Active Directory Inputs'!E97)</f>
        <v>Value Missing</v>
      </c>
      <c r="Q148" s="8"/>
      <c r="R148" s="8"/>
      <c r="T148" s="4" t="s">
        <v>2216</v>
      </c>
      <c r="U148" s="337" t="str">
        <f>IF(ISBLANK(input_cbr_vcdr_label),"Value Missing",input_cbr_vcdr_label)</f>
        <v>Value Missing</v>
      </c>
      <c r="V148" s="3"/>
    </row>
    <row r="149" spans="2:27" s="2" customFormat="1" ht="20.05" customHeight="1" x14ac:dyDescent="0.35">
      <c r="B149" s="4" t="s">
        <v>2217</v>
      </c>
      <c r="C149" s="337" t="str">
        <f>IF(ISBLANK(input_flt_vidb_cert_alias),"Value Missing",input_flt_vidb_cert_alias)</f>
        <v>Value Missing</v>
      </c>
      <c r="E149" s="4" t="s">
        <v>800</v>
      </c>
      <c r="F149" s="337" t="str">
        <f>IF(ISBLANK(input_wld_nsxt_lm_audit_password),"Value Missing",input_wld_nsxt_lm_audit_password)</f>
        <v>Value Missing</v>
      </c>
      <c r="H149" s="22" t="s">
        <v>884</v>
      </c>
      <c r="I149" s="337" t="str">
        <f>IF(ISBLANK(cluster_az1_vsan_storage_client_uplink1),"Value Missing",cluster_az1_vsan_storage_client_uplink1)</f>
        <v>Active</v>
      </c>
      <c r="K149" s="4" t="s">
        <v>2218</v>
      </c>
      <c r="L149" s="337" t="str">
        <f>IF(ISBLANK('Active Directory Inputs'!E103),"Value Missing",'Active Directory Inputs'!E103)</f>
        <v>Value Missing</v>
      </c>
      <c r="Q149" s="8"/>
      <c r="R149" s="8"/>
      <c r="T149" s="4" t="s">
        <v>2219</v>
      </c>
      <c r="U149" s="337" t="str">
        <f>IF(ISBLANK(input_cbr_vcdr_anti_affinity),"Value Missing",input_cbr_vcdr_anti_affinity)</f>
        <v>Value Missing</v>
      </c>
      <c r="V149" s="3"/>
    </row>
    <row r="150" spans="2:27" s="2" customFormat="1" ht="20.05" customHeight="1" x14ac:dyDescent="0.35">
      <c r="B150" s="4" t="s">
        <v>2220</v>
      </c>
      <c r="C150" s="337" t="str">
        <f>IF(ISBLANK(input_flt_vidb_cert_common_name),"Value Missing",input_flt_vidb_cert_common_name)</f>
        <v>Value Missing</v>
      </c>
      <c r="E150" s="4" t="s">
        <v>2221</v>
      </c>
      <c r="F150" s="337" t="str">
        <f>IF(ISBLANK(input_wld_nsxt_lm_admin_password),"Value Missing",input_wld_nsxt_lm_admin_password)</f>
        <v>Value Missing</v>
      </c>
      <c r="H150" s="22" t="s">
        <v>885</v>
      </c>
      <c r="I150" s="337" t="str">
        <f>IF(ISBLANK(cluster_az1_vsan_storage_client_uplink2),"Value Missing",cluster_az1_vsan_storage_client_uplink2)</f>
        <v>Active</v>
      </c>
      <c r="K150" s="4" t="s">
        <v>2222</v>
      </c>
      <c r="L150" s="337" t="str">
        <f>IF(ISBLANK('Active Directory Inputs'!E104),"Value Missing",'Active Directory Inputs'!E104)</f>
        <v>Value Missing</v>
      </c>
      <c r="Q150" s="8"/>
      <c r="R150" s="8"/>
      <c r="T150" s="4" t="s">
        <v>2223</v>
      </c>
      <c r="U150" s="337" t="str">
        <f>IF(ISBLANK(input_cbr_vcdr_email_recipient),"Value Missing",input_cbr_vcdr_email_recipient)</f>
        <v>Value Missing</v>
      </c>
      <c r="V150" s="3"/>
    </row>
    <row r="151" spans="2:27" s="2" customFormat="1" ht="20.05" customHeight="1" x14ac:dyDescent="0.35">
      <c r="B151" s="4" t="s">
        <v>2224</v>
      </c>
      <c r="C151" s="337" t="str">
        <f>IF(ISBLANK(input_flt_vidb_cert_organisation),"Value Missing",input_flt_vidb_cert_organisation)</f>
        <v>Value Missing</v>
      </c>
      <c r="E151" s="4" t="s">
        <v>2225</v>
      </c>
      <c r="F151" s="337" t="str">
        <f>wld_nsx_ha_mode_chosen</f>
        <v>High-Availability</v>
      </c>
      <c r="H151" s="336" t="s">
        <v>2226</v>
      </c>
      <c r="I151" s="336"/>
      <c r="K151" s="4" t="s">
        <v>2227</v>
      </c>
      <c r="L151" s="337" t="str">
        <f>IF(ISBLANK('Active Directory Inputs'!E105),"Value Missing",'Active Directory Inputs'!E105)</f>
        <v>Value Missing</v>
      </c>
      <c r="Q151" s="8"/>
      <c r="R151" s="8"/>
      <c r="T151" s="4" t="s">
        <v>2228</v>
      </c>
      <c r="U151" s="337" t="str">
        <f>IF(ISBLANK(input_cbr_vcdr_email_sender),"Value Missing",input_cbr_vcdr_email_sender)</f>
        <v>Value Missing</v>
      </c>
      <c r="V151" s="3"/>
    </row>
    <row r="152" spans="2:27" s="2" customFormat="1" ht="20.05" customHeight="1" x14ac:dyDescent="0.35">
      <c r="B152" s="4" t="s">
        <v>2229</v>
      </c>
      <c r="C152" s="337" t="str">
        <f>IF(ISBLANK(input_flt_vidb_ou_cert),"Value Missing",input_flt_vidb_ou_cert)</f>
        <v>Value Missing</v>
      </c>
      <c r="E152" s="4" t="s">
        <v>2230</v>
      </c>
      <c r="F152" s="337"/>
      <c r="H152" s="4" t="s">
        <v>891</v>
      </c>
      <c r="I152" s="337" t="str">
        <f>cluster_nsx_default_operation_mode_chosen</f>
        <v>Selected</v>
      </c>
      <c r="K152" s="4" t="s">
        <v>2231</v>
      </c>
      <c r="L152" s="337" t="str">
        <f>IF(ISBLANK(input_gg_vcf_admins_group),"Value Missing",input_gg_vcf_admins_group)</f>
        <v>Value Missing</v>
      </c>
      <c r="Q152" s="8"/>
      <c r="R152" s="8"/>
      <c r="T152" s="4" t="s">
        <v>2232</v>
      </c>
      <c r="U152" s="337" t="str">
        <f>IF(ISBLANK(input_cbr_aria_logs_url),"Value Missing",input_cbr_aria_logs_url)</f>
        <v>Value Missing</v>
      </c>
      <c r="V152" s="3"/>
    </row>
    <row r="153" spans="2:27" s="2" customFormat="1" ht="20.05" customHeight="1" x14ac:dyDescent="0.35">
      <c r="B153" s="4" t="s">
        <v>2233</v>
      </c>
      <c r="C153" s="337" t="str">
        <f>IF(ISBLANK(input_flt_vidb_cert_country_code),"Value Missing",input_flt_vidb_cert_country_code)</f>
        <v>Value Missing</v>
      </c>
      <c r="E153" s="4" t="s">
        <v>2234</v>
      </c>
      <c r="F153" s="337" t="str">
        <f>IF(ISBLANK(input_wld_ec_rp_name),"Value Missing",input_wld_ec_rp_name)</f>
        <v>Value Missing</v>
      </c>
      <c r="H153" s="4" t="s">
        <v>538</v>
      </c>
      <c r="I153" s="337" t="str">
        <f>cluster_nsx_operation_mode_chosen</f>
        <v>Standard</v>
      </c>
      <c r="K153" s="4" t="s">
        <v>2235</v>
      </c>
      <c r="L153" s="337" t="str">
        <f>IF(ISBLANK(input_gg_vcf_operators_group),"Value Missing",input_gg_vcf_operators_group)</f>
        <v>Value Missing</v>
      </c>
      <c r="Q153" s="8"/>
      <c r="R153" s="8"/>
      <c r="T153" s="4" t="s">
        <v>2236</v>
      </c>
      <c r="U153" s="337" t="str">
        <f>IF(ISBLANK(input_cbr_aria_logs_key),"Value Missing",input_cbr_aria_logs_key)</f>
        <v>Value Missing</v>
      </c>
      <c r="V153" s="3"/>
    </row>
    <row r="154" spans="2:27" s="2" customFormat="1" ht="20.05" customHeight="1" x14ac:dyDescent="0.35">
      <c r="B154" s="4" t="s">
        <v>2237</v>
      </c>
      <c r="C154" s="337" t="str">
        <f>IF(ISBLANK(input_flt_vidb_cert_locality),"Value Missing",input_flt_vidb_cert_locality)</f>
        <v>Value Missing</v>
      </c>
      <c r="E154" s="4" t="s">
        <v>2238</v>
      </c>
      <c r="F154" s="337" t="str">
        <f>IF(ISBLANK(wld_ec01_host_group_affinity_rule_chosen),"Value Missing",wld_ec01_host_group_affinity_rule_chosen)</f>
        <v>No</v>
      </c>
      <c r="H154" s="4" t="s">
        <v>1174</v>
      </c>
      <c r="I154" s="337"/>
      <c r="K154" s="4" t="s">
        <v>2239</v>
      </c>
      <c r="L154" s="337" t="str">
        <f>IF(ISBLANK(input_gg_vcf_viewers_group),"Value Missing",input_gg_vcf_viewers_group)</f>
        <v>Value Missing</v>
      </c>
      <c r="Q154" s="8"/>
      <c r="R154" s="8"/>
      <c r="T154" s="8"/>
      <c r="U154" s="8"/>
      <c r="V154" s="3"/>
    </row>
    <row r="155" spans="2:27" s="2" customFormat="1" ht="20.05" customHeight="1" x14ac:dyDescent="0.35">
      <c r="B155" s="4" t="s">
        <v>2240</v>
      </c>
      <c r="C155" s="337" t="str">
        <f>IF(ISBLANK(input_flt_vidb_cert_state),"Value Missing",input_flt_vidb_cert_state)</f>
        <v>Value Missing</v>
      </c>
      <c r="E155" s="4" t="s">
        <v>2241</v>
      </c>
      <c r="F155" s="337" t="str">
        <f>IF(ISBLANK(input_wld_ec01_en01_host_group_affinity_rule_name),"Value Missing",input_wld_ec01_en01_host_group_affinity_rule_name)</f>
        <v>Value Missing</v>
      </c>
      <c r="H155" s="4" t="s">
        <v>893</v>
      </c>
      <c r="I155" s="337"/>
      <c r="K155" s="4" t="s">
        <v>2242</v>
      </c>
      <c r="L155" s="337" t="str">
        <f>IF(ISBLANK(input_gg_vc_admins_group),"Value Missing",input_gg_vc_admins_group)</f>
        <v>Value Missing</v>
      </c>
      <c r="Q155" s="8"/>
      <c r="R155" s="8"/>
      <c r="T155" s="579" t="s">
        <v>2243</v>
      </c>
      <c r="U155" s="581"/>
      <c r="V155" s="3"/>
    </row>
    <row r="156" spans="2:27" s="2" customFormat="1" ht="20.05" customHeight="1" x14ac:dyDescent="0.35">
      <c r="B156" s="4" t="s">
        <v>2244</v>
      </c>
      <c r="C156" s="337" t="str">
        <f>IF(ISBLANK(flt_vidb_cert_key_length_chosen),"Value Missing",flt_vidb_cert_key_length_chosen)</f>
        <v>4096</v>
      </c>
      <c r="E156" s="17" t="s">
        <v>2245</v>
      </c>
      <c r="F156" s="337" t="str">
        <f>IF(ISBLANK(input_wld_ec01_en02_host_group_affinity_rule_name),"Value Missing",input_wld_ec01_en02_host_group_affinity_rule_name)</f>
        <v>Value Missing</v>
      </c>
      <c r="H156" s="336" t="s">
        <v>894</v>
      </c>
      <c r="I156" s="336"/>
      <c r="K156" s="4" t="s">
        <v>2246</v>
      </c>
      <c r="L156" s="337" t="str">
        <f>IF(ISBLANK(input_gg_vc_read_only_group),"Value Missing",input_gg_vc_read_only_group)</f>
        <v>Value Missing</v>
      </c>
      <c r="Q156" s="8"/>
      <c r="R156" s="8"/>
      <c r="T156" s="166" t="s">
        <v>261</v>
      </c>
      <c r="U156" s="167" t="s">
        <v>19</v>
      </c>
      <c r="V156" s="3"/>
      <c r="Z156" s="8"/>
      <c r="AA156" s="8"/>
    </row>
    <row r="157" spans="2:27" s="2" customFormat="1" ht="20.05" customHeight="1" x14ac:dyDescent="0.35">
      <c r="B157" s="4" t="s">
        <v>2247</v>
      </c>
      <c r="C157" s="337" t="str">
        <f>IF(ISBLANK(input_flt_vidb_folder),"Value Missing",input_flt_vidb_folder)</f>
        <v>Value Missing</v>
      </c>
      <c r="E157" s="4" t="s">
        <v>2248</v>
      </c>
      <c r="F157" s="337" t="str">
        <f>IF(ISBLANK(wld_ec01_use_host_overlay_chosen),"Value Missing",wld_ec01_use_host_overlay_chosen)</f>
        <v xml:space="preserve">Unselected </v>
      </c>
      <c r="H157" s="4" t="s">
        <v>895</v>
      </c>
      <c r="I157" s="337" t="str">
        <f>IF(ISBLANK(input_cluster_host_overlay_transportzone),"Value Missing",input_cluster_host_overlay_transportzone)</f>
        <v>Value Missing</v>
      </c>
      <c r="K157" s="4" t="s">
        <v>2249</v>
      </c>
      <c r="L157" s="337" t="str">
        <f>IF(ISBLANK(input_gg_sso_admins_group),"Value Missing",input_gg_sso_admins_group)</f>
        <v>Value Missing</v>
      </c>
      <c r="Q157" s="8"/>
      <c r="R157" s="8"/>
      <c r="T157" s="4" t="s">
        <v>2250</v>
      </c>
      <c r="U157" s="337" t="str">
        <f>IF(ISBLANK(input_ccm_hcx_vsphere_role),"Value Missing",input_ccm_hcx_vsphere_role)</f>
        <v>Value Missing</v>
      </c>
      <c r="V157" s="3"/>
    </row>
    <row r="158" spans="2:27" s="2" customFormat="1" ht="20.05" customHeight="1" x14ac:dyDescent="0.35">
      <c r="B158" s="4" t="s">
        <v>611</v>
      </c>
      <c r="C158" s="337" t="str">
        <f>IF(ISBLANK(input_flt_vidb_gateway_ip),"Value Missing",input_flt_vidb_gateway_ip)</f>
        <v>Value Missing</v>
      </c>
      <c r="E158" s="4" t="s">
        <v>2251</v>
      </c>
      <c r="F158" s="337" t="str">
        <f>wld_gateway_routing_type_chosen</f>
        <v>BGP</v>
      </c>
      <c r="H158" s="4" t="s">
        <v>85</v>
      </c>
      <c r="I158" s="337" t="str">
        <f>IF(ISBLANK(input_cluster_az1_host_overlay_vlan),"Value Missing",input_cluster_az1_host_overlay_vlan)</f>
        <v>Value Missing</v>
      </c>
      <c r="K158" s="4" t="s">
        <v>2252</v>
      </c>
      <c r="L158" s="337" t="str">
        <f>IF(ISBLANK(input_gg_nsx_enterprise_admins_group),"Value Missing",input_gg_nsx_enterprise_admins_group)</f>
        <v>Value Missing</v>
      </c>
      <c r="Q158" s="8"/>
      <c r="R158" s="8"/>
      <c r="T158" s="4" t="s">
        <v>2253</v>
      </c>
      <c r="U158" s="337" t="str">
        <f>IF(ISBLANK(input_svc_ccm_hcx_vsphere_user),"Value Missing",input_svc_ccm_hcx_vsphere_user)</f>
        <v>Value Missing</v>
      </c>
      <c r="V158" s="3"/>
    </row>
    <row r="159" spans="2:27" s="2" customFormat="1" ht="20.05" customHeight="1" x14ac:dyDescent="0.35">
      <c r="B159" s="4" t="s">
        <v>612</v>
      </c>
      <c r="C159" s="337" t="str">
        <f>IF(ISBLANK(input_flt_vidb_mask),"Value Missing",input_flt_vidb_mask)</f>
        <v>Value Missing</v>
      </c>
      <c r="E159" s="336" t="s">
        <v>2254</v>
      </c>
      <c r="F159" s="336" t="s">
        <v>19</v>
      </c>
      <c r="H159" s="4" t="s">
        <v>896</v>
      </c>
      <c r="I159" s="337" t="str">
        <f>IF(ISBLANK(cluster_host_overlay_addressing_chosen),"Value Missing",cluster_host_overlay_addressing_chosen)</f>
        <v>Static IP Pool</v>
      </c>
      <c r="K159" s="4" t="s">
        <v>2255</v>
      </c>
      <c r="L159" s="337" t="str">
        <f>IF(ISBLANK(input_gg_nsx_network_admins_group),"Value Missing",input_gg_nsx_network_admins_group)</f>
        <v>Value Missing</v>
      </c>
      <c r="Q159" s="8"/>
      <c r="R159" s="8"/>
      <c r="T159" s="4" t="s">
        <v>2256</v>
      </c>
      <c r="U159" s="337" t="str">
        <f>IF(ISBLANK(input_svc_ccm_hcx_vsphere_password),"Value Missing",input_svc_ccm_hcx_vsphere_password)</f>
        <v>Value Missing</v>
      </c>
      <c r="V159" s="3"/>
    </row>
    <row r="160" spans="2:27" s="2" customFormat="1" ht="20.05" customHeight="1" x14ac:dyDescent="0.35">
      <c r="B160" s="4" t="s">
        <v>2257</v>
      </c>
      <c r="C160" s="337" t="str">
        <f>IF(ISBLANK(input_flt_vidb_resource_pool),"Value Missing",input_flt_vidb_resource_pool)</f>
        <v>Value Missing</v>
      </c>
      <c r="E160" s="17" t="s">
        <v>891</v>
      </c>
      <c r="F160" s="337" t="str">
        <f>wld_nsx_default_operation_mode_chosen</f>
        <v>Selected</v>
      </c>
      <c r="H160" s="4" t="s">
        <v>897</v>
      </c>
      <c r="I160" s="337" t="str">
        <f>IF(ISBLANK(cluster_az1_host_overlay_new_pool_chosen),"Value Missing",cluster_az1_host_overlay_new_pool_chosen)</f>
        <v>Re-use an existing Pool</v>
      </c>
      <c r="K160" s="4" t="s">
        <v>2258</v>
      </c>
      <c r="L160" s="337" t="str">
        <f>IF(ISBLANK(input_gg_nsx_auditors_group),"Value Missing",input_gg_nsx_auditors_group)</f>
        <v>Value Missing</v>
      </c>
      <c r="Q160" s="8"/>
      <c r="R160" s="8"/>
      <c r="T160" s="4" t="s">
        <v>2259</v>
      </c>
      <c r="U160" s="337" t="str">
        <f>IF(ISBLANK(input_ccm_vm_folder),"Value Missing",input_ccm_vm_folder)</f>
        <v>Value Missing</v>
      </c>
      <c r="V160" s="3"/>
    </row>
    <row r="161" spans="2:31" s="2" customFormat="1" ht="20.05" customHeight="1" x14ac:dyDescent="0.35">
      <c r="B161" s="4" t="s">
        <v>107</v>
      </c>
      <c r="C161" s="337" t="str">
        <f>IF(ISBLANK(input_flt_vidb_pg),"Value Missing",input_flt_vidb_pg)</f>
        <v>Value Missing</v>
      </c>
      <c r="E161" s="17" t="s">
        <v>2260</v>
      </c>
      <c r="F161" s="337" t="str">
        <f>IF(ISBLANK(mgmt_nsx_operation_mode_chosen),"Value Missing",mgmt_nsx_operation_mode_chosen)</f>
        <v>Enhanced Datapath Standard</v>
      </c>
      <c r="H161" s="4" t="s">
        <v>898</v>
      </c>
      <c r="I161" s="337" t="str">
        <f>IF(ISBLANK(input_cluster_az1_host_overlay_network_pool_name),"Value Missing",input_cluster_az1_host_overlay_network_pool_name)</f>
        <v>Value Missing</v>
      </c>
      <c r="M161" s="8"/>
      <c r="P161" s="8"/>
      <c r="T161" s="4" t="s">
        <v>2261</v>
      </c>
      <c r="U161" s="337" t="str">
        <f>IF(ISBLANK(input_ccm_hcx_vm_folder),"Value Missing",input_ccm_hcx_vm_folder)</f>
        <v>Value Missing</v>
      </c>
      <c r="V161" s="3"/>
    </row>
    <row r="162" spans="2:31" s="2" customFormat="1" ht="20.05" customHeight="1" x14ac:dyDescent="0.35">
      <c r="B162" s="4" t="s">
        <v>814</v>
      </c>
      <c r="C162" s="337" t="str">
        <f>IF(ISBLANK(input_flt_vidb_vcenter_fqdn),"Value Missing",input_flt_vidb_vcenter_fqdn)</f>
        <v>Value Missing</v>
      </c>
      <c r="E162" s="17" t="s">
        <v>2262</v>
      </c>
      <c r="F162" s="337" t="str">
        <f>wld_domain_password_creation_chosen</f>
        <v>Unselected</v>
      </c>
      <c r="H162" s="4" t="s">
        <v>1176</v>
      </c>
      <c r="I162" s="337" t="str">
        <f>IF(ISBLANK(input_cluster_az1_host_overlay_network_pool_description),"Value Missing",input_cluster_az1_host_overlay_network_pool_description)</f>
        <v>Value Missing</v>
      </c>
      <c r="K162" s="579" t="s">
        <v>2263</v>
      </c>
      <c r="L162" s="581"/>
      <c r="M162" s="8"/>
      <c r="P162" s="8"/>
      <c r="T162" s="4" t="s">
        <v>2264</v>
      </c>
      <c r="U162" s="337" t="str">
        <f>IF(ISBLANK(input_ccm_hcx_resource_pool),"Value Missing",input_ccm_hcx_resource_pool)</f>
        <v>Value Missing</v>
      </c>
      <c r="V162" s="3"/>
      <c r="X162" s="8"/>
      <c r="Y162" s="8"/>
    </row>
    <row r="163" spans="2:31" s="2" customFormat="1" ht="20.05" customHeight="1" x14ac:dyDescent="0.35">
      <c r="B163" s="4" t="s">
        <v>732</v>
      </c>
      <c r="C163" s="337" t="str">
        <f>IF(ISBLANK(input_flt_vidb_cluster),"Value Missing",input_flt_vidb_cluster)</f>
        <v>Value Missing</v>
      </c>
      <c r="E163" s="17" t="s">
        <v>2265</v>
      </c>
      <c r="F163" s="337" t="str">
        <f>wld_az1_en1_edge_overlay_network_ip_allocation_chosen</f>
        <v>Static IP List</v>
      </c>
      <c r="H163" s="4" t="s">
        <v>460</v>
      </c>
      <c r="I163" s="337" t="str">
        <f>IF(ISBLANK(input_cluster_az1_host_overlay_cidr),"Value Missing",input_cluster_az1_host_overlay_cidr)</f>
        <v>Value Missing</v>
      </c>
      <c r="K163" s="166" t="s">
        <v>261</v>
      </c>
      <c r="L163" s="167" t="s">
        <v>19</v>
      </c>
      <c r="M163" s="8"/>
      <c r="P163" s="8"/>
      <c r="T163" s="4" t="s">
        <v>2266</v>
      </c>
      <c r="U163" s="337" t="str">
        <f>IF(ISBLANK(input_svc_ccm_hcx_nsx_user),"Value Missing",input_svc_ccm_hcx_nsx_user)</f>
        <v>Value Missing</v>
      </c>
      <c r="V163" s="3"/>
      <c r="AE163" s="6"/>
    </row>
    <row r="164" spans="2:31" s="2" customFormat="1" ht="20.05" customHeight="1" x14ac:dyDescent="0.35">
      <c r="B164" s="4" t="s">
        <v>103</v>
      </c>
      <c r="C164" s="337" t="str">
        <f>IF(ISBLANK(input_flt_vidb_datastore),"Value Missing",input_flt_vidb_datastore)</f>
        <v>Value Missing</v>
      </c>
      <c r="E164" s="17" t="s">
        <v>2267</v>
      </c>
      <c r="F164" s="337" t="str">
        <f>wld_az1_en1_ip_allocation_chosen</f>
        <v>Static</v>
      </c>
      <c r="H164" s="4" t="s">
        <v>255</v>
      </c>
      <c r="I164" s="337" t="str">
        <f>IF(ISBLANK(input_cluster_az1_host_overlay_pool_start_ip),"Value Missing",input_cluster_az1_host_overlay_pool_start_ip)</f>
        <v>Value Missing</v>
      </c>
      <c r="K164" s="4" t="s">
        <v>2268</v>
      </c>
      <c r="L164" s="337"/>
      <c r="M164" s="8"/>
      <c r="P164" s="8"/>
      <c r="T164" s="4" t="s">
        <v>2269</v>
      </c>
      <c r="U164" s="337" t="str">
        <f t="array" ref="U164">IF(ISBLANK(input_svc_ccm_hcx_nsx_password),"Value Missing",input_svc_ccm_hcx_nsx_password)</f>
        <v>Value Missing</v>
      </c>
      <c r="V164" s="3"/>
    </row>
    <row r="165" spans="2:31" s="2" customFormat="1" ht="20.05" customHeight="1" x14ac:dyDescent="0.35">
      <c r="B165" s="4" t="s">
        <v>2270</v>
      </c>
      <c r="C165" s="337"/>
      <c r="E165" s="17" t="s">
        <v>2271</v>
      </c>
      <c r="F165" s="337"/>
      <c r="H165" s="4" t="s">
        <v>256</v>
      </c>
      <c r="I165" s="337" t="str">
        <f>IF(ISBLANK(input_cluster_az1_host_overlay_pool_end_ip),"Value Missing",input_cluster_az1_host_overlay_pool_end_ip)</f>
        <v>Value Missing</v>
      </c>
      <c r="M165" s="8"/>
      <c r="N165" s="8"/>
      <c r="O165" s="8"/>
      <c r="P165" s="8"/>
      <c r="T165" s="4" t="s">
        <v>2272</v>
      </c>
      <c r="U165" s="337" t="str">
        <f>IF(ISBLANK(input_ccm_aws_sddc_name),"Value Missing",input_ccm_aws_sddc_name)</f>
        <v>Value Missing</v>
      </c>
      <c r="V165" s="3"/>
    </row>
    <row r="166" spans="2:31" s="2" customFormat="1" ht="20.05" customHeight="1" x14ac:dyDescent="0.35">
      <c r="B166" s="4" t="s">
        <v>2273</v>
      </c>
      <c r="C166" s="337" t="str">
        <f>flt_vidb_identity_provider_chosen</f>
        <v>AD/LDAP</v>
      </c>
      <c r="E166" s="17" t="s">
        <v>2274</v>
      </c>
      <c r="F166" s="337" t="str">
        <f>wld_az1_en2_ip_allocation_chosen</f>
        <v>Static</v>
      </c>
      <c r="H166" s="4" t="s">
        <v>461</v>
      </c>
      <c r="I166" s="337" t="str">
        <f>IF(ISBLANK(input_cluster_az1_host_overlay_gateway_ip),"Value Missing",input_cluster_az1_host_overlay_gateway_ip)</f>
        <v>Value Missing</v>
      </c>
      <c r="K166" s="582" t="s">
        <v>2275</v>
      </c>
      <c r="L166" s="586"/>
      <c r="M166" s="8"/>
      <c r="N166" s="8"/>
      <c r="O166" s="8"/>
      <c r="P166" s="8"/>
      <c r="T166" s="4" t="s">
        <v>2154</v>
      </c>
      <c r="U166" s="337" t="str">
        <f>IF(ISBLANK(input_ccm_aws_region),"Value Missing",input_ccm_aws_region)</f>
        <v>Value Missing</v>
      </c>
      <c r="V166" s="3"/>
    </row>
    <row r="167" spans="2:31" s="2" customFormat="1" ht="20.05" customHeight="1" x14ac:dyDescent="0.35">
      <c r="B167" s="4" t="s">
        <v>2276</v>
      </c>
      <c r="C167" s="337" t="str">
        <f>IF(ISBLANK(input_flt_vidb_directory_name),"Value Missing",input_flt_vidb_directory_name)</f>
        <v>Value Missing</v>
      </c>
      <c r="E167" s="17" t="s">
        <v>2277</v>
      </c>
      <c r="F167" s="337" t="s">
        <v>2277</v>
      </c>
      <c r="H167" s="4" t="s">
        <v>895</v>
      </c>
      <c r="I167" s="337" t="str">
        <f>IF(ISBLANK(input_cluster_nsx_vlan_transport_zone_name),"Value Missing",input_cluster_nsx_vlan_transport_zone_name)</f>
        <v>Value Missing</v>
      </c>
      <c r="K167" s="4" t="s">
        <v>2278</v>
      </c>
      <c r="L167" s="337" t="str">
        <f>IF(ISBLANK(input_mgmt_witness_zone_vc_fqdn),"Value Missing",input_mgmt_witness_zone_vc_fqdn)</f>
        <v>Value Missing</v>
      </c>
      <c r="M167" s="8"/>
      <c r="N167" s="8"/>
      <c r="O167" s="8"/>
      <c r="P167" s="8"/>
      <c r="T167" s="4" t="s">
        <v>2157</v>
      </c>
      <c r="U167" s="337" t="str">
        <f>IF(ISBLANK(input_ccm_aws_host_type),"Value Missing",input_ccm_aws_host_type)</f>
        <v>Value Missing</v>
      </c>
      <c r="V167" s="3"/>
    </row>
    <row r="168" spans="2:31" s="2" customFormat="1" ht="20.05" customHeight="1" x14ac:dyDescent="0.35">
      <c r="B168" s="4" t="s">
        <v>2279</v>
      </c>
      <c r="C168" s="337" t="str">
        <f>flt_vidb_server_location_chosen</f>
        <v>Selected</v>
      </c>
      <c r="E168" s="17" t="s">
        <v>2280</v>
      </c>
      <c r="F168" s="337" t="str">
        <f>IF(ISBLANK(wld_az1_host_overlay_new_pool_chosen),"Value Missing",wld_az1_host_overlay_new_pool_chosen)</f>
        <v>Create New Static IP Pool</v>
      </c>
      <c r="H168" s="4" t="s">
        <v>903</v>
      </c>
      <c r="I168" s="337" t="str">
        <f>IF(ISBLANK(input_cluster_az1_nsx_uplink_count),"Value Missing",input_cluster_az1_nsx_uplink_count)</f>
        <v>Value Missing</v>
      </c>
      <c r="K168" s="4" t="s">
        <v>2281</v>
      </c>
      <c r="L168" s="337" t="str">
        <f>IF(ISBLANK(input_mgmt_witness_zone_vc_fqdn),"Value Missing",input_mgmt_witness_zone_vc_fqdn)</f>
        <v>Value Missing</v>
      </c>
      <c r="M168" s="8"/>
      <c r="N168" s="8"/>
      <c r="O168" s="8"/>
      <c r="P168" s="8"/>
      <c r="Q168" s="8"/>
      <c r="T168" s="4" t="s">
        <v>2161</v>
      </c>
      <c r="U168" s="337" t="str">
        <f>IF(ISBLANK(input_ccm_aws_host_count),"Value Missing",input_ccm_aws_host_count)</f>
        <v>Value Missing</v>
      </c>
      <c r="V168" s="3"/>
    </row>
    <row r="169" spans="2:31" s="2" customFormat="1" ht="20.05" customHeight="1" x14ac:dyDescent="0.35">
      <c r="B169" s="4" t="s">
        <v>2282</v>
      </c>
      <c r="C169" s="337" t="str">
        <f>flt_vidb_global_catalog_chosen</f>
        <v>Unselected</v>
      </c>
      <c r="E169" s="17" t="s">
        <v>2283</v>
      </c>
      <c r="F169" s="337" t="str">
        <f>wld_nsx_default_operation_mode_chosen</f>
        <v>Selected</v>
      </c>
      <c r="H169" s="4" t="s">
        <v>904</v>
      </c>
      <c r="I169" s="337" t="str">
        <f>IF(ISBLANK(input_cluster_az1_nsx_uplink1),"Value Missing",input_cluster_az1_nsx_uplink1)</f>
        <v>Value Missing</v>
      </c>
      <c r="K169" s="4" t="s">
        <v>2284</v>
      </c>
      <c r="L169" s="337" t="str">
        <f>IF(ISBLANK(input_mgmt_witness_zone_vc_fqdn),"Value Missing",input_mgmt_witness_zone_vc_fqdn)</f>
        <v>Value Missing</v>
      </c>
      <c r="M169" s="8"/>
      <c r="O169" s="8"/>
      <c r="P169" s="8"/>
      <c r="Q169" s="8"/>
      <c r="T169" s="4" t="s">
        <v>2166</v>
      </c>
      <c r="U169" s="337" t="str">
        <f>IF(ISBLANK(input_ccm_aws_vpc),"Value Missing",input_ccm_aws_vpc)</f>
        <v>Value Missing</v>
      </c>
      <c r="V169" s="3"/>
    </row>
    <row r="170" spans="2:31" s="2" customFormat="1" ht="20.05" customHeight="1" x14ac:dyDescent="0.35">
      <c r="B170" s="4" t="s">
        <v>2285</v>
      </c>
      <c r="C170" s="337" t="str">
        <f>flt_vidb_encrypted_connection_chosen</f>
        <v>Unselected</v>
      </c>
      <c r="E170" s="17" t="s">
        <v>2286</v>
      </c>
      <c r="F170" s="337"/>
      <c r="H170" s="4" t="s">
        <v>905</v>
      </c>
      <c r="I170" s="337" t="str">
        <f>IF(ISBLANK(input_cluster_az1_nsx_uplink2),"Value Missing",input_cluster_az1_nsx_uplink2)</f>
        <v>Value Missing</v>
      </c>
      <c r="K170" s="4" t="s">
        <v>2287</v>
      </c>
      <c r="L170" s="337" t="str">
        <f>IF(ISBLANK(input_mgmt_witnessaz_mgmt_mtu),"Value Missing",input_mgmt_witnessaz_mgmt_mtu)</f>
        <v>Value Missing</v>
      </c>
      <c r="M170" s="8"/>
      <c r="O170" s="8"/>
      <c r="P170" s="8"/>
      <c r="Q170" s="8"/>
      <c r="T170" s="4" t="s">
        <v>2170</v>
      </c>
      <c r="U170" s="337" t="str">
        <f>IF(ISBLANK(input_ccm_aws_subnet),"Value Missing",input_ccm_aws_subnet)</f>
        <v>Value Missing</v>
      </c>
      <c r="V170" s="3"/>
      <c r="X170" s="8"/>
      <c r="Y170" s="8"/>
    </row>
    <row r="171" spans="2:31" s="2" customFormat="1" ht="20.05" customHeight="1" x14ac:dyDescent="0.35">
      <c r="B171" s="4" t="s">
        <v>2288</v>
      </c>
      <c r="C171" s="337" t="str">
        <f>IF(ISBLANK(input_flt_vidb_encrypted_cert),"Value Missing",input_flt_vidb_encrypted_cert)</f>
        <v>Value Missing</v>
      </c>
      <c r="E171" s="17" t="s">
        <v>2289</v>
      </c>
      <c r="F171" s="337" t="str">
        <f>wld_cl01_vds_copy_profile_chosen</f>
        <v>Unselected</v>
      </c>
      <c r="H171" s="17" t="s">
        <v>906</v>
      </c>
      <c r="I171" s="337" t="str">
        <f>IF(ISBLANK(input_cluster_az1_host_overlay_uplink_profile_name),"Value Missing",input_cluster_az1_host_overlay_uplink_profile_name)</f>
        <v>Value Missing</v>
      </c>
      <c r="K171" s="4" t="s">
        <v>2290</v>
      </c>
      <c r="L171" s="337" t="str">
        <f>IF(ISBLANK(input_mgmt_witnessaz_mgmt_vlan),"Value Missing",input_mgmt_witnessaz_mgmt_vlan)</f>
        <v>Value Missing</v>
      </c>
      <c r="M171" s="8"/>
      <c r="O171" s="8"/>
      <c r="P171" s="8"/>
      <c r="Q171" s="8"/>
      <c r="T171" s="4" t="s">
        <v>2175</v>
      </c>
      <c r="U171" s="337" t="str">
        <f>IF(ISBLANK(input_ccm_aws_management_subnet),"Value Missing",input_ccm_aws_management_subnet)</f>
        <v>Value Missing</v>
      </c>
      <c r="V171" s="3"/>
      <c r="X171" s="8"/>
      <c r="Y171" s="8"/>
    </row>
    <row r="172" spans="2:31" s="2" customFormat="1" ht="20.05" customHeight="1" x14ac:dyDescent="0.35">
      <c r="B172" s="4" t="s">
        <v>2291</v>
      </c>
      <c r="C172" s="337" t="str">
        <f>IF(ISBLANK(input_flt_vidb_primary_domain_controller),"Value Missing",input_flt_vidb_primary_domain_controller)</f>
        <v>Value Missing</v>
      </c>
      <c r="E172" s="17" t="s">
        <v>903</v>
      </c>
      <c r="F172" s="337" t="str">
        <f>IF(ISBLANK(input_wld_cl01_az1_nsx_uplink_count),"Value Missing",input_wld_cl01_az1_nsx_uplink_count)</f>
        <v>Value Missing</v>
      </c>
      <c r="H172" s="4" t="s">
        <v>882</v>
      </c>
      <c r="I172" s="337" t="str">
        <f>IF(ISBLANK(cluster_az1_nsx_lbt_chosen),"Value Missing",cluster_az1_nsx_lbt_chosen)</f>
        <v>Load Balance Source</v>
      </c>
      <c r="K172" s="4" t="s">
        <v>2292</v>
      </c>
      <c r="L172" s="337"/>
      <c r="M172" s="8"/>
      <c r="O172" s="8"/>
      <c r="P172" s="8"/>
      <c r="Q172" s="8"/>
      <c r="T172" s="4" t="s">
        <v>2179</v>
      </c>
      <c r="U172" s="337" t="str">
        <f>IF(ISBLANK(input_ccm_firewall_rule_vcenter),"Value Missing",input_ccm_firewall_rule_vcenter)</f>
        <v>Value Missing</v>
      </c>
      <c r="V172" s="3"/>
      <c r="X172" s="8"/>
      <c r="Y172" s="8"/>
    </row>
    <row r="173" spans="2:31" s="2" customFormat="1" ht="20.05" customHeight="1" x14ac:dyDescent="0.35">
      <c r="B173" s="4" t="s">
        <v>2293</v>
      </c>
      <c r="C173" s="337" t="str">
        <f>IF(ISBLANK(input_flt_vidb_primary_domain_controller_port),"Value Missing",input_flt_vidb_primary_domain_controller_port)</f>
        <v>Value Missing</v>
      </c>
      <c r="E173" s="17" t="s">
        <v>900</v>
      </c>
      <c r="F173" s="337" t="str">
        <f>IF(ISBLANK(input_wld_nsx_vlan_transport_zone_name),"Value Missing",input_wld_nsx_vlan_transport_zone_name)</f>
        <v>Value Missing</v>
      </c>
      <c r="H173" s="4" t="s">
        <v>2294</v>
      </c>
      <c r="I173" s="337" t="str">
        <f>IF(ISBLANK(input_cluster_az1_nsx_uplink1_active),"Value Missing",input_cluster_az1_nsx_uplink1_active)</f>
        <v>Value Missing</v>
      </c>
      <c r="K173" s="4" t="s">
        <v>2295</v>
      </c>
      <c r="L173" s="337" t="str">
        <f>IF(mgmt_witnessaz_mgmt_cidr="Value Missing",mgmt_witnessaz_mgmt_cidr,(LEFT(mgmt_witnessaz_mgmt_cidr,(FIND("/",mgmt_witnessaz_mgmt_cidr)-1))))</f>
        <v>Value Missing</v>
      </c>
      <c r="M173" s="8"/>
      <c r="O173" s="8"/>
      <c r="P173" s="8"/>
      <c r="Q173" s="8"/>
      <c r="T173" s="4" t="s">
        <v>2296</v>
      </c>
      <c r="U173" s="337" t="str">
        <f>IF(ISBLANK(input_ccm_firewall_rule_hcx),"Value Missing",input_ccm_firewall_rule_hcx)</f>
        <v>Value Missing</v>
      </c>
      <c r="V173" s="3"/>
      <c r="X173" s="8"/>
      <c r="Y173" s="8"/>
    </row>
    <row r="174" spans="2:31" s="2" customFormat="1" ht="20.05" customHeight="1" x14ac:dyDescent="0.35">
      <c r="B174" s="4" t="s">
        <v>2297</v>
      </c>
      <c r="C174" s="337" t="str">
        <f>IF(ISBLANK(input_flt_vidb_secondary_domain_controller),"Value Missing",input_flt_vidb_secondary_domain_controller)</f>
        <v>Value Missing</v>
      </c>
      <c r="E174" s="4" t="s">
        <v>909</v>
      </c>
      <c r="F174" s="337" t="str">
        <f>IF(ISBLANK(wld_az1_nsx_uplink1_active_chosen),"Value Missing",wld_az1_nsx_uplink1_active_chosen)</f>
        <v>Selected</v>
      </c>
      <c r="H174" s="4" t="s">
        <v>1179</v>
      </c>
      <c r="I174" s="337" t="str">
        <f>IF(ISBLANK(input_cluster_az1_nsx_uplink2_active),"Value Missing",input_cluster_az1_nsx_uplink2_active)</f>
        <v>Value Missing</v>
      </c>
      <c r="K174" s="4"/>
      <c r="L174" s="337"/>
      <c r="M174" s="8"/>
      <c r="O174" s="8"/>
      <c r="P174" s="8"/>
      <c r="Q174" s="8"/>
      <c r="T174" s="4" t="s">
        <v>2298</v>
      </c>
      <c r="U174" s="337" t="str">
        <f>IF(ISBLANK(input_ccm_firewall_group),"Value Missing",input_ccm_firewall_group)</f>
        <v>Value Missing</v>
      </c>
      <c r="V174" s="3"/>
      <c r="X174" s="8"/>
      <c r="Y174" s="8"/>
    </row>
    <row r="175" spans="2:31" s="2" customFormat="1" ht="20.05" customHeight="1" x14ac:dyDescent="0.35">
      <c r="B175" s="4" t="s">
        <v>2299</v>
      </c>
      <c r="C175" s="337" t="str">
        <f>IF(ISBLANK(input_flt_vidb_secondary_domain_controller_port),"Value Missing",input_flt_vidb_secondary_domain_controller_port)</f>
        <v>Value Missing</v>
      </c>
      <c r="E175" s="4" t="s">
        <v>910</v>
      </c>
      <c r="F175" s="337" t="str">
        <f>IF(ISBLANK(wld_az1_nsx_uplink2_active_chosen),"Value Missing",wld_az1_nsx_uplink2_active_chosen)</f>
        <v>Selected</v>
      </c>
      <c r="K175" s="4" t="s">
        <v>2300</v>
      </c>
      <c r="L175" s="337" t="str">
        <f>IF(mgmt_witnessaz_mgmt_cidr="Value Missing",mgmt_witnessaz_mgmt_cidr,VLOOKUP(INT(RIGHT(mgmt_witnessaz_mgmt_cidr,LEN(mgmt_witnessaz_mgmt_cidr)-FIND("/",mgmt_witnessaz_mgmt_cidr))),table_cidr_to_mask,2,FALSE))</f>
        <v>Value Missing</v>
      </c>
      <c r="M175" s="8"/>
      <c r="O175" s="8"/>
      <c r="P175" s="8"/>
      <c r="Q175" s="8"/>
      <c r="T175" s="4" t="s">
        <v>2301</v>
      </c>
      <c r="U175" s="337" t="str">
        <f>IF(ISBLANK(input_ccm_firewall_ip_addresses),"Value Missing",input_ccm_firewall_ip_addresses)</f>
        <v>Value Missing</v>
      </c>
      <c r="V175" s="3"/>
      <c r="X175" s="8"/>
      <c r="Y175" s="8"/>
    </row>
    <row r="176" spans="2:31" s="2" customFormat="1" ht="20.05" customHeight="1" x14ac:dyDescent="0.35">
      <c r="B176" s="4" t="s">
        <v>2302</v>
      </c>
      <c r="C176" s="337" t="str">
        <f>flt_vidb_directory_search_chosen</f>
        <v>sAMAccountName</v>
      </c>
      <c r="D176" s="8"/>
      <c r="E176" s="28" t="s">
        <v>2303</v>
      </c>
      <c r="F176" s="337" t="str">
        <f>IF(ISBLANK(input_wld_nsxt_en_admin_password),"Value Missing",input_wld_nsxt_en_admin_password)</f>
        <v>Value Missing</v>
      </c>
      <c r="H176" s="391" t="s">
        <v>2304</v>
      </c>
      <c r="I176" s="391"/>
      <c r="K176" s="4" t="s">
        <v>2305</v>
      </c>
      <c r="L176" s="337" t="str">
        <f>IF(ISBLANK(input_mgmt_witness_ip),"Value Missing",input_mgmt_witness_ip)</f>
        <v>Value Missing</v>
      </c>
      <c r="M176" s="8"/>
      <c r="O176" s="8"/>
      <c r="P176" s="8"/>
      <c r="Q176" s="8"/>
      <c r="T176" s="4" t="s">
        <v>2306</v>
      </c>
      <c r="U176" s="337" t="str">
        <f>IF(ISBLANK(input_ccm_hcx_license),"Value Missing",input_ccm_hcx_license)</f>
        <v>Value Missing</v>
      </c>
      <c r="V176" s="3"/>
      <c r="X176" s="8"/>
      <c r="Y176" s="8"/>
    </row>
    <row r="177" spans="2:30" s="2" customFormat="1" ht="20.05" customHeight="1" x14ac:dyDescent="0.35">
      <c r="B177" s="4" t="s">
        <v>2307</v>
      </c>
      <c r="C177" s="337" t="str">
        <f>IF(ISBLANK(input_flt_vidb_base_dn),"Value Missing",input_flt_vidb_base_dn)</f>
        <v>Value Missing</v>
      </c>
      <c r="D177" s="8"/>
      <c r="E177" s="261" t="s">
        <v>2308</v>
      </c>
      <c r="F177" s="337" t="str">
        <f>IF(ISBLANK(input_wld_nsxt_en_root_password),"Value Missing",input_wld_nsxt_en_root_password)</f>
        <v>Value Missing</v>
      </c>
      <c r="H177" s="336" t="s">
        <v>261</v>
      </c>
      <c r="I177" s="184" t="s">
        <v>19</v>
      </c>
      <c r="K177" s="4" t="s">
        <v>2309</v>
      </c>
      <c r="L177" s="337" t="str">
        <f>IF(ISBLANK(input_mgmt_witnessaz_mgmt_cidr),"Value Missing",input_mgmt_witnessaz_mgmt_cidr)</f>
        <v>Value Missing</v>
      </c>
      <c r="M177" s="8"/>
      <c r="O177" s="8"/>
      <c r="P177" s="8"/>
      <c r="Q177" s="8"/>
      <c r="T177" s="4" t="s">
        <v>2310</v>
      </c>
      <c r="U177" s="337" t="str">
        <f>IF(ISBLANK(input_ccm_hcx_dc_location),"Value Missing",input_ccm_hcx_dc_location)</f>
        <v>Value Missing</v>
      </c>
      <c r="V177" s="3"/>
      <c r="X177" s="8"/>
      <c r="Y177" s="8"/>
    </row>
    <row r="178" spans="2:30" s="2" customFormat="1" ht="20.05" customHeight="1" x14ac:dyDescent="0.35">
      <c r="B178" s="4" t="s">
        <v>2311</v>
      </c>
      <c r="C178" s="337" t="str">
        <f>IF(ISBLANK(input_flt_vidb_bind_username),"Value Missing",input_flt_vidb_bind_username)</f>
        <v>Value Missing</v>
      </c>
      <c r="D178" s="8"/>
      <c r="E178" s="261" t="s">
        <v>2312</v>
      </c>
      <c r="F178" s="337" t="str">
        <f>IF(ISBLANK(input_wld_ec_mtu),"Value Missing",input_wld_ec_mtu)</f>
        <v>Value Missing</v>
      </c>
      <c r="H178" s="4" t="s">
        <v>771</v>
      </c>
      <c r="I178" s="337" t="str">
        <f>wld_bf_vcenter_type_chosen</f>
        <v>Specify an external vCenter</v>
      </c>
      <c r="K178" s="4" t="s">
        <v>2313</v>
      </c>
      <c r="L178" s="337" t="str">
        <f>IF(ISBLANK(input_mgmt_witnessaz_mgmt_gateway_ip),"Value Missing",input_mgmt_witnessaz_mgmt_gateway_ip)</f>
        <v>Value Missing</v>
      </c>
      <c r="M178" s="8"/>
      <c r="O178" s="8"/>
      <c r="P178" s="8"/>
      <c r="Q178" s="8"/>
      <c r="T178" s="189" t="s">
        <v>2314</v>
      </c>
      <c r="U178" s="337" t="str">
        <f>IF(ISBLANK(input_ccm_hcx_cdp_hostname),"Value Missing",input_ccm_hcx_cdp_hostname)</f>
        <v>Value Missing</v>
      </c>
      <c r="V178" s="3"/>
      <c r="X178" s="8"/>
      <c r="Y178" s="8"/>
    </row>
    <row r="179" spans="2:30" s="2" customFormat="1" ht="20.05" customHeight="1" x14ac:dyDescent="0.35">
      <c r="B179" s="4" t="s">
        <v>2315</v>
      </c>
      <c r="C179" s="337" t="str">
        <f>IF(ISBLANK(input_flt_vidb_bind_password),"Value Missing",input_flt_vidb_bind_password)</f>
        <v>Value Missing</v>
      </c>
      <c r="D179" s="8"/>
      <c r="E179" s="17" t="s">
        <v>818</v>
      </c>
      <c r="F179" s="337" t="str">
        <f>IF(ISBLANK(input_wld_cl01_cluster_zn_name),"Value Missing",input_wld_cl01_cluster_zn_name)</f>
        <v>Value Missing</v>
      </c>
      <c r="H179" s="4" t="s">
        <v>773</v>
      </c>
      <c r="I179" s="337" t="str">
        <f>IF(ISBLANK(input_wld_bf_vc_fqdn),"Value Missing",input_wld_bf_vc_fqdn)</f>
        <v>Value Missing</v>
      </c>
      <c r="K179" s="4" t="s">
        <v>2316</v>
      </c>
      <c r="L179" s="337" t="str">
        <f>IF(ISBLANK(input_sftp_server),"Value Missing",input_sftp_server)</f>
        <v>Value Missing</v>
      </c>
      <c r="M179" s="8"/>
      <c r="O179" s="8"/>
      <c r="P179" s="8"/>
      <c r="Q179" s="8"/>
      <c r="T179" s="4" t="s">
        <v>2317</v>
      </c>
      <c r="U179" s="337" t="str">
        <f>IF(ISBLANK(input_ccm_hcx_admin_password),"Value Missing",input_ccm_hcx_admin_password)</f>
        <v>Value Missing</v>
      </c>
      <c r="V179" s="3"/>
      <c r="X179" s="8"/>
      <c r="Y179" s="8"/>
    </row>
    <row r="180" spans="2:30" s="2" customFormat="1" ht="20.05" customHeight="1" x14ac:dyDescent="0.35">
      <c r="B180" s="4" t="s">
        <v>2318</v>
      </c>
      <c r="C180" s="337" t="str">
        <f>IF(ISBLANK(input_flt_vidb_user_name),"Value Missing",input_flt_vidb_user_name)</f>
        <v>Value Missing</v>
      </c>
      <c r="D180" s="8"/>
      <c r="E180" s="17" t="s">
        <v>918</v>
      </c>
      <c r="F180" s="337" t="str">
        <f>IF(ISBLANK(input_wld_cl01_supervisor_control_plane_ip_range),"Value Missing",input_wld_cl01_supervisor_control_plane_ip_range)</f>
        <v>Value Missing</v>
      </c>
      <c r="H180" s="4" t="s">
        <v>774</v>
      </c>
      <c r="I180" s="337" t="str">
        <f>IF(ISBLANK(input_wld_bf_vc_root_password),"Value Missing",input_wld_bf_vc_root_password)</f>
        <v>Value Missing</v>
      </c>
      <c r="L180" s="8"/>
      <c r="M180" s="8"/>
      <c r="O180" s="8"/>
      <c r="P180" s="8"/>
      <c r="Q180" s="8"/>
      <c r="T180" s="4" t="s">
        <v>2319</v>
      </c>
      <c r="U180" s="337" t="str">
        <f>IF(ISBLANK(input_ccm_hcx_root_password),"Value Missing",input_ccm_hcx_root_password)</f>
        <v>Value Missing</v>
      </c>
      <c r="V180" s="3"/>
      <c r="X180" s="8"/>
      <c r="Y180" s="8"/>
      <c r="AD180" s="8"/>
    </row>
    <row r="181" spans="2:30" s="2" customFormat="1" ht="20.05" customHeight="1" x14ac:dyDescent="0.35">
      <c r="B181" s="4" t="s">
        <v>2320</v>
      </c>
      <c r="C181" s="337" t="str">
        <f>IF(ISBLANK(input_flt_vidb_first_name),"Value Missing",input_flt_vidb_first_name)</f>
        <v>Value Missing</v>
      </c>
      <c r="D181" s="8"/>
      <c r="E181" s="17" t="s">
        <v>929</v>
      </c>
      <c r="F181" s="337" t="str">
        <f>IF(ISBLANK(input_wld_cl01_supervisor_dns),"Value Missing",input_wld_cl01_supervisor_dns)</f>
        <v>Value Missing</v>
      </c>
      <c r="H181" s="4" t="s">
        <v>775</v>
      </c>
      <c r="I181" s="337" t="str">
        <f>IF(ISBLANK(input_wld_bf_vc_sso_username),"Value Missing",input_wld_bf_vc_sso_username)</f>
        <v>Value Missing</v>
      </c>
      <c r="K181" s="391" t="s">
        <v>2321</v>
      </c>
      <c r="L181" s="391"/>
      <c r="M181" s="8"/>
      <c r="O181" s="8"/>
      <c r="P181" s="8"/>
      <c r="Q181" s="8"/>
      <c r="T181" s="4" t="s">
        <v>2322</v>
      </c>
      <c r="U181" s="337" t="str">
        <f>IF(ISBLANK(input_ccm_hcx_cdp_ip),"Value Missing",input_ccm_hcx_cdp_ip)</f>
        <v>Value Missing</v>
      </c>
      <c r="V181" s="8"/>
      <c r="X181" s="8"/>
      <c r="Y181" s="8"/>
      <c r="AD181" s="8"/>
    </row>
    <row r="182" spans="2:30" s="2" customFormat="1" ht="20.05" customHeight="1" x14ac:dyDescent="0.35">
      <c r="B182" s="4" t="s">
        <v>2323</v>
      </c>
      <c r="C182" s="337" t="str">
        <f>IF(ISBLANK(input_flt_vidb_last_name),"Value Missing",input_flt_vidb_last_name)</f>
        <v>Value Missing</v>
      </c>
      <c r="D182" s="8"/>
      <c r="E182" s="17" t="s">
        <v>913</v>
      </c>
      <c r="F182" s="337" t="str">
        <f>IF(ISBLANK(input_wld_cl01_supervisor_name),"Value Missing",input_wld_cl01_supervisor_name)</f>
        <v>Value Missing</v>
      </c>
      <c r="H182" s="4" t="s">
        <v>776</v>
      </c>
      <c r="I182" s="337" t="str">
        <f>IF(ISBLANK(input_wld_bf_vc_sso_password),"Value Missing",input_wld_bf_vc_sso_password)</f>
        <v>Value Missing</v>
      </c>
      <c r="J182" s="8"/>
      <c r="K182" s="336" t="s">
        <v>261</v>
      </c>
      <c r="L182" s="184" t="s">
        <v>19</v>
      </c>
      <c r="M182" s="8"/>
      <c r="O182" s="8"/>
      <c r="P182" s="8"/>
      <c r="Q182" s="8"/>
      <c r="T182" s="4" t="s">
        <v>2324</v>
      </c>
      <c r="U182" s="337" t="str">
        <f>IF(ISBLANK(input_ccm_hcx_remote_url),"Value Missing",input_ccm_hcx_remote_url)</f>
        <v>Value Missing</v>
      </c>
      <c r="V182" s="8"/>
      <c r="X182" s="8"/>
      <c r="Y182" s="8"/>
      <c r="AD182" s="8"/>
    </row>
    <row r="183" spans="2:30" ht="20.05" customHeight="1" x14ac:dyDescent="0.35">
      <c r="B183" s="4" t="s">
        <v>2325</v>
      </c>
      <c r="C183" s="337" t="str">
        <f>IF(ISBLANK(input_flt_vidb_distinguished_name),"Value Missing",input_flt_vidb_distinguished_name)</f>
        <v>Value Missing</v>
      </c>
      <c r="E183" s="17" t="s">
        <v>920</v>
      </c>
      <c r="F183" s="337" t="str">
        <f>IF(ISBLANK(input_wld_cl01_supervisor_nsx_project),"Value Missing",input_wld_cl01_supervisor_nsx_project)</f>
        <v>Value Missing</v>
      </c>
      <c r="H183" s="4" t="s">
        <v>777</v>
      </c>
      <c r="I183" s="337" t="str">
        <f>IF(ISBLANK(wld_bf_nsx_existing_chosen),"Value Missing",wld_bf_nsx_existing_chosen)</f>
        <v>Selected</v>
      </c>
      <c r="K183" s="4" t="s">
        <v>585</v>
      </c>
      <c r="L183" s="337" t="str">
        <f>IF(ISBLANK(input_flt_logs_cert_alias),"Value Missing",input_flt_logs_cert_alias)</f>
        <v>Value Missing</v>
      </c>
      <c r="N183" s="2"/>
      <c r="T183" s="4" t="s">
        <v>2326</v>
      </c>
      <c r="U183" s="337" t="str">
        <f>IF(ISBLANK(input_ccm_aws_admin_ssouser),"Value Missing",input_ccm_aws_admin_ssouser)</f>
        <v>Value Missing</v>
      </c>
      <c r="Z183" s="2"/>
      <c r="AA183" s="2"/>
      <c r="AB183" s="2"/>
      <c r="AC183" s="2"/>
    </row>
    <row r="184" spans="2:30" ht="20.05" customHeight="1" x14ac:dyDescent="0.35">
      <c r="B184" s="4" t="s">
        <v>2327</v>
      </c>
      <c r="C184" s="337" t="str">
        <f>IF(ISBLANK(input_flt_vidb_employeeID),"Value Missing",input_flt_vidb_employeeID)</f>
        <v>Value Missing</v>
      </c>
      <c r="E184" s="17" t="s">
        <v>930</v>
      </c>
      <c r="F184" s="337" t="str">
        <f>IF(ISBLANK(input_wld_cl01_supervisor_ntp),"Value Missing",input_wld_cl01_supervisor_ntp)</f>
        <v>Value Missing</v>
      </c>
      <c r="H184" s="17" t="s">
        <v>780</v>
      </c>
      <c r="I184" s="337" t="str">
        <f>IF(ISBLANK(wld_bf_nsx_join_manager_chosen),"Value Missing",wld_bf_nsx_join_manager_chosen)</f>
        <v>Create new NSX Manager Instance</v>
      </c>
      <c r="K184" s="4" t="s">
        <v>587</v>
      </c>
      <c r="L184" s="337" t="str">
        <f>IF(ISBLANK(input_flt_logs_common_name),"Value Missing",input_flt_logs_common_name)</f>
        <v>Value Missing</v>
      </c>
      <c r="N184" s="2"/>
      <c r="T184" s="4" t="s">
        <v>2328</v>
      </c>
      <c r="U184" s="337" t="str">
        <f>IF(ISBLANK(input_ccm_aws_admin_password),"Value Missing",input_ccm_aws_admin_password)</f>
        <v>Value Missing</v>
      </c>
      <c r="Z184" s="2"/>
      <c r="AA184" s="2"/>
      <c r="AB184" s="2"/>
      <c r="AC184" s="2"/>
    </row>
    <row r="185" spans="2:30" ht="20.05" customHeight="1" x14ac:dyDescent="0.35">
      <c r="B185" s="4" t="s">
        <v>2329</v>
      </c>
      <c r="C185" s="337" t="str">
        <f>IF(ISBLANK(input_flt_vidb_mail),"Value Missing",input_flt_vidb_mail)</f>
        <v>Value Missing</v>
      </c>
      <c r="E185" s="17" t="s">
        <v>927</v>
      </c>
      <c r="F185" s="337" t="str">
        <f>IF(ISBLANK(input_wld_cl01_supervisor_private_cidr),"Value Missing",input_wld_cl01_supervisor_private_cidr)</f>
        <v>Value Missing</v>
      </c>
      <c r="H185" s="17" t="s">
        <v>782</v>
      </c>
      <c r="I185" s="337" t="str">
        <f>IF(ISBLANK(wld_bf_nsx_ha_mode_chosen),"Value Missing",wld_bf_nsx_ha_mode_chosen)</f>
        <v>NSX Management Cluster</v>
      </c>
      <c r="K185" s="4" t="s">
        <v>588</v>
      </c>
      <c r="L185" s="337" t="str">
        <f>IF(ISBLANK(input_flt_logs_cert_organisation),"Value Missing",input_flt_logs_cert_organisation)</f>
        <v>Value Missing</v>
      </c>
      <c r="N185" s="2"/>
      <c r="T185" s="4" t="s">
        <v>2330</v>
      </c>
      <c r="U185" s="337" t="str">
        <f t="array" ref="U185">IF(ISBLANK(input_ccm_hcx_mgmt_network_ip_range),"Value Missing",input_ccm_hcx_mgmt_network_ip_range)</f>
        <v>Value Missing</v>
      </c>
      <c r="Z185" s="2"/>
      <c r="AA185" s="2"/>
      <c r="AB185" s="2"/>
      <c r="AC185" s="2"/>
    </row>
    <row r="186" spans="2:30" ht="20.05" customHeight="1" x14ac:dyDescent="0.35">
      <c r="B186" s="4" t="s">
        <v>2331</v>
      </c>
      <c r="C186" s="337" t="str">
        <f>IF(ISBLANK(input_flt_vidb_user_principal_name),"Value Missing",input_flt_vidb_user_principal_name)</f>
        <v>Value Missing</v>
      </c>
      <c r="E186" s="17" t="s">
        <v>924</v>
      </c>
      <c r="F186" s="337" t="str">
        <f>IF(ISBLANK(input_wld_cl01_supervisor_private_transit_gateway_cidr),"Value Missing",input_wld_cl01_supervisor_private_transit_gateway_cidr)</f>
        <v>Value Missing</v>
      </c>
      <c r="H186" s="17" t="s">
        <v>784</v>
      </c>
      <c r="I186" s="337" t="str">
        <f>IF(ISBLANK(wld_bf_nsx_appliance_size_chosen),"Value Missing",wld_bf_nsx_appliance_size_chosen)</f>
        <v>Medium</v>
      </c>
      <c r="K186" s="4" t="s">
        <v>589</v>
      </c>
      <c r="L186" s="337" t="str">
        <f>IF(ISBLANK(input_flt_logs_ou_cert),"Value Missing",input_flt_logs_ou_cert)</f>
        <v>Value Missing</v>
      </c>
      <c r="N186" s="2"/>
      <c r="T186" s="4" t="s">
        <v>2332</v>
      </c>
      <c r="U186" s="337" t="str">
        <f t="array" ref="U186">IF(ISBLANK(input_ccm_hcx_vmotion_network_ip_range),"Value Missing",input_ccm_hcx_vmotion_network_ip_range)</f>
        <v>Value Missing</v>
      </c>
      <c r="Z186" s="2"/>
      <c r="AA186" s="2"/>
      <c r="AB186" s="2"/>
      <c r="AC186" s="2"/>
    </row>
    <row r="187" spans="2:30" ht="20.05" customHeight="1" x14ac:dyDescent="0.35">
      <c r="B187" s="4" t="s">
        <v>2333</v>
      </c>
      <c r="C187" s="337" t="str">
        <f>IF(ISBLANK(input_flt_vidb_group_base_dn),"Value Missing",input_flt_vidb_group_base_dn)</f>
        <v>Value Missing</v>
      </c>
      <c r="E187" s="17" t="s">
        <v>915</v>
      </c>
      <c r="F187" s="337" t="str">
        <f>IF(ISBLANK(input_wld_cl01_supervisor_service_cidr),"Value Missing",input_wld_cl01_supervisor_service_cidr)</f>
        <v>Value Missing</v>
      </c>
      <c r="H187" s="17" t="s">
        <v>785</v>
      </c>
      <c r="I187" s="337" t="str">
        <f>IF(ISBLANK(input_wld_bf_nsxt_mgra_fqdn),"Value Missing",input_wld_bf_nsxt_mgra_fqdn)</f>
        <v>Value Missing</v>
      </c>
      <c r="K187" s="4" t="s">
        <v>590</v>
      </c>
      <c r="L187" s="337" t="str">
        <f>IF(ISBLANK(input_flt_logs_cert_country_code),"Value Missing",input_flt_logs_cert_country_code)</f>
        <v>Value Missing</v>
      </c>
      <c r="N187" s="2"/>
      <c r="T187" s="4" t="s">
        <v>2334</v>
      </c>
      <c r="U187" s="337" t="str">
        <f>IF(ISBLANK(input_ccm_hcx_compute_profile),"Value Missing",input_ccm_hcx_compute_profile)</f>
        <v>Value Missing</v>
      </c>
      <c r="AB187" s="2"/>
      <c r="AC187" s="2"/>
    </row>
    <row r="188" spans="2:30" ht="20.05" customHeight="1" x14ac:dyDescent="0.35">
      <c r="B188" s="4" t="s">
        <v>2335</v>
      </c>
      <c r="C188" s="337" t="str">
        <f>IF(ISBLANK(input_flt_vidb_user_base_dn),"Value Missing",input_flt_vidb_user_base_dn)</f>
        <v>Value Missing</v>
      </c>
      <c r="E188" s="17" t="s">
        <v>917</v>
      </c>
      <c r="F188" s="337" t="str">
        <f>IF(ISBLANK(wld_cl01_supervisor_use_mgmt_vmk_chosen),"Value Missing",wld_cl01_supervisor_use_mgmt_vmk_chosen)</f>
        <v>Unselected</v>
      </c>
      <c r="H188" s="17" t="s">
        <v>787</v>
      </c>
      <c r="I188" s="337" t="str">
        <f>IF(ISBLANK(input_wld_bf_nsxt_mgrb_fqdn),"Value Missing",input_wld_bf_nsxt_mgrb_fqdn)</f>
        <v>Value Missing</v>
      </c>
      <c r="J188" s="2"/>
      <c r="K188" s="4" t="s">
        <v>591</v>
      </c>
      <c r="L188" s="337" t="str">
        <f>IF(ISBLANK(input_flt_logs_cert_locality),"Value Missing",input_flt_logs_cert_locality)</f>
        <v>Value Missing</v>
      </c>
      <c r="N188" s="2"/>
      <c r="T188" s="4" t="s">
        <v>2336</v>
      </c>
      <c r="U188" s="337" t="str">
        <f>IF(ISBLANK(input_ccm_hcx_service_mesh),"Value Missing",input_ccm_hcx_service_mesh)</f>
        <v>Value Missing</v>
      </c>
      <c r="AB188" s="2"/>
      <c r="AC188" s="2"/>
    </row>
    <row r="189" spans="2:30" ht="20.05" customHeight="1" x14ac:dyDescent="0.35">
      <c r="E189" s="17" t="s">
        <v>922</v>
      </c>
      <c r="F189" s="337" t="str">
        <f>IF(ISBLANK(input_wld_cl01_supervisor_vpc_profile),"Value Missing",input_wld_cl01_supervisor_vpc_profile)</f>
        <v>Value Missing</v>
      </c>
      <c r="H189" s="17" t="s">
        <v>789</v>
      </c>
      <c r="I189" s="337" t="str">
        <f>IF(ISBLANK(input_wld_bf_nsxt_mgrc_fqdn),"Value Missing",input_wld_bf_nsxt_mgrc_fqdn)</f>
        <v>Value Missing</v>
      </c>
      <c r="J189" s="2"/>
      <c r="K189" s="4" t="s">
        <v>592</v>
      </c>
      <c r="L189" s="337" t="str">
        <f>IF(ISBLANK(input_flt_logs_cert_state),"Value Missing",input_flt_logs_cert_state)</f>
        <v>Value Missing</v>
      </c>
      <c r="N189" s="2"/>
    </row>
    <row r="190" spans="2:30" ht="20.05" customHeight="1" x14ac:dyDescent="0.35">
      <c r="B190" s="384" t="s">
        <v>2337</v>
      </c>
      <c r="C190" s="389"/>
      <c r="E190" s="28" t="s">
        <v>2312</v>
      </c>
      <c r="F190" s="337" t="str">
        <f>IF(ISBLANK(input_wld_ec_mtu),"Value Missing",input_wld_ec_mtu)</f>
        <v>Value Missing</v>
      </c>
      <c r="H190" s="17" t="s">
        <v>791</v>
      </c>
      <c r="I190" s="337" t="str">
        <f>IF(ISBLANK(input_wld_bf_nsxt_vip_fqdn),"Value Missing",input_wld_bf_nsxt_vip_fqdn)</f>
        <v>Value Missing</v>
      </c>
      <c r="J190" s="2"/>
      <c r="K190" s="4" t="s">
        <v>593</v>
      </c>
      <c r="L190" s="337" t="str">
        <f>IF(ISBLANK(flt_logs_cert_key_length_chosen),"Value Missing",flt_logs_cert_key_length_chosen)</f>
        <v>4096</v>
      </c>
      <c r="N190" s="2"/>
      <c r="T190" s="579" t="s">
        <v>2338</v>
      </c>
      <c r="U190" s="581"/>
    </row>
    <row r="191" spans="2:30" ht="20.05" customHeight="1" x14ac:dyDescent="0.35">
      <c r="B191" s="166" t="s">
        <v>261</v>
      </c>
      <c r="C191" s="167" t="s">
        <v>19</v>
      </c>
      <c r="D191" s="2"/>
      <c r="E191" s="28" t="s">
        <v>2303</v>
      </c>
      <c r="F191" s="337" t="str">
        <f>IF(ISBLANK(input_wld_nsxt_en_admin_password),"Value Missing",input_wld_nsxt_en_admin_password)</f>
        <v>Value Missing</v>
      </c>
      <c r="H191" s="4" t="s">
        <v>793</v>
      </c>
      <c r="I191" s="337" t="str">
        <f>IF(ISBLANK(wld_bf_nsxt_enable_edge_sync_chosen),"Value Missing",wld_bf_nsxt_enable_edge_sync_chosen)</f>
        <v>Selected</v>
      </c>
      <c r="J191" s="2"/>
      <c r="K191" s="4" t="s">
        <v>723</v>
      </c>
      <c r="L191" s="337" t="str">
        <f>IF(ISBLANK(input_flt_logs_vip_fqdn),"Value Missing",input_flt_logs_vip_fqdn)</f>
        <v>Value Missing</v>
      </c>
      <c r="T191" s="33" t="s">
        <v>2339</v>
      </c>
      <c r="U191" s="337" t="str">
        <f>IF(ISBLANK(input_mgmt_rwr_vc_fqdn),"Value Missing",input_mgmt_rwr_vc_fqdn)</f>
        <v>Value Missing</v>
      </c>
    </row>
    <row r="192" spans="2:30" ht="20.05" customHeight="1" x14ac:dyDescent="0.35">
      <c r="B192" s="361" t="s">
        <v>1657</v>
      </c>
      <c r="C192" s="337" t="str">
        <f>IF(ISBLANK('Configure Management Domain'!D310),"Value Missing",'Configure Management Domain'!D310)</f>
        <v>Value Missing</v>
      </c>
      <c r="D192" s="2"/>
      <c r="E192" s="261" t="s">
        <v>2308</v>
      </c>
      <c r="F192" s="337" t="str">
        <f>IF(ISBLANK(input_wld_nsxt_en_root_password),"Value Missing",input_wld_nsxt_en_root_password)</f>
        <v>Value Missing</v>
      </c>
      <c r="H192" s="17" t="s">
        <v>795</v>
      </c>
      <c r="I192" s="337" t="str">
        <f>IF(ISBLANK(wld_bf_nsxt_enable_edge_sync_chosen),"Value Missing",wld_bf_nsxt_configure_overlay_on_mgmt_pg_chosen)</f>
        <v>Selected</v>
      </c>
      <c r="J192" s="2"/>
      <c r="K192" s="4" t="s">
        <v>2340</v>
      </c>
      <c r="L192" s="337" t="str">
        <f>IF(ISBLANK(input_flt_logs_nodea_fqdn),"Value Missing",input_flt_logs_nodea_fqdn)</f>
        <v>Value Missing</v>
      </c>
      <c r="T192" s="33" t="s">
        <v>2341</v>
      </c>
      <c r="U192" s="337" t="str">
        <f>IF(ISBLANK(input_wld_rwr_vc_fqdn),"Value Missing",input_wld_rwr_vc_fqdn)</f>
        <v>Value Missing</v>
      </c>
    </row>
    <row r="193" spans="2:32" ht="20.05" customHeight="1" x14ac:dyDescent="0.35">
      <c r="B193" s="361" t="s">
        <v>278</v>
      </c>
      <c r="C193" s="337" t="str">
        <f>IF(ISBLANK(input_mgmt_witness_hostname),"Value Missing",input_mgmt_witness_hostname)</f>
        <v>Value Missing</v>
      </c>
      <c r="D193" s="2"/>
      <c r="H193" s="17" t="s">
        <v>797</v>
      </c>
      <c r="I193" s="337" t="str">
        <f>IF(ISBLANK(wld_bf_nsx_create_passwords_chosen),"Value Missing",wld_bf_nsx_create_passwords_chosen)</f>
        <v>Unselected</v>
      </c>
      <c r="J193" s="2"/>
      <c r="K193" s="4" t="s">
        <v>2342</v>
      </c>
      <c r="L193" s="337" t="str">
        <f>IF(ISBLANK(input_flt_logs_nodeb_fqdn),"Value Missing",input_flt_logs_nodeb_fqdn)</f>
        <v>Value Missing</v>
      </c>
      <c r="T193" s="33" t="s">
        <v>2343</v>
      </c>
      <c r="U193" s="337" t="str">
        <f>IF(ISBLANK(input_wld_vlr_hostname),"Value Missing",input_wld_vlr_hostname)</f>
        <v>Value Missing</v>
      </c>
    </row>
    <row r="194" spans="2:32" ht="20.05" customHeight="1" x14ac:dyDescent="0.35">
      <c r="B194" s="2"/>
      <c r="C194" s="2"/>
      <c r="D194" s="2"/>
      <c r="H194" s="4" t="s">
        <v>798</v>
      </c>
      <c r="I194" s="337" t="str">
        <f>IF(ISBLANK(input_wld_bf_nsxt_admin_password),"Value Missing",input_wld_bf_nsxt_admin_password)</f>
        <v>Value Missing</v>
      </c>
      <c r="J194" s="2"/>
      <c r="K194" s="4" t="s">
        <v>2344</v>
      </c>
      <c r="L194" s="337" t="str">
        <f>IF(ISBLANK(input_flt_logs_nodec_fqdn),"Value Missing",input_flt_logs_nodec_fqdn)</f>
        <v>Value Missing</v>
      </c>
      <c r="T194" s="33" t="s">
        <v>2345</v>
      </c>
      <c r="U194" s="337" t="str">
        <f>CONCATENATE(wld_vlr_hostname,".",rwr_child_dns_zone)</f>
        <v>Value Missing.Value Missing</v>
      </c>
    </row>
    <row r="195" spans="2:32" ht="20.05" customHeight="1" x14ac:dyDescent="0.35">
      <c r="B195" s="391" t="s">
        <v>2346</v>
      </c>
      <c r="C195" s="391"/>
      <c r="D195" s="2"/>
      <c r="H195" s="4" t="s">
        <v>799</v>
      </c>
      <c r="I195" s="337" t="str">
        <f>IF(ISBLANK(input_wld_bf_nsxt_root_password),"Value Missing",input_wld_bf_nsxt_root_password)</f>
        <v>Value Missing</v>
      </c>
      <c r="J195" s="2"/>
      <c r="K195" s="4" t="s">
        <v>283</v>
      </c>
      <c r="L195" s="337" t="str">
        <f>IF(ISBLANK(input_flt_logs_vip_ip),"Value Missing",input_flt_logs_vip_ip)</f>
        <v>Value Missing</v>
      </c>
      <c r="T195" s="33" t="s">
        <v>2347</v>
      </c>
      <c r="U195" s="337" t="str">
        <f t="array" ref="U195">IF(ISBLANK(input_wld_rwr_cl02_cluster),"Value Missing",input_wld_rwr_cl02_cluster)</f>
        <v>Value Missing</v>
      </c>
    </row>
    <row r="196" spans="2:32" ht="20.05" customHeight="1" x14ac:dyDescent="0.35">
      <c r="B196" s="336" t="s">
        <v>261</v>
      </c>
      <c r="C196" s="184" t="s">
        <v>19</v>
      </c>
      <c r="H196" s="4" t="s">
        <v>800</v>
      </c>
      <c r="I196" s="337" t="str">
        <f>IF(ISBLANK(input_wld_bf_nsxt_audit_password),"Value Missing",input_wld_bf_nsxt_audit_password)</f>
        <v>Value Missing</v>
      </c>
      <c r="J196" s="2"/>
      <c r="K196" s="4" t="s">
        <v>283</v>
      </c>
      <c r="L196" s="337" t="str">
        <f>IF(ISBLANK(input_flt_logs_nodea_ip),"Value Missing",input_flt_logs_nodea_ip)</f>
        <v>Value Missing</v>
      </c>
      <c r="T196" s="33" t="s">
        <v>2348</v>
      </c>
      <c r="U196" s="337" t="str">
        <f>IF(ISBLANK(input_wld_rwr_cl02_vds01),"Value Missing",input_wld_rwr_cl02_vds01)</f>
        <v>Value Missing</v>
      </c>
      <c r="AE196" s="2"/>
      <c r="AF196" s="2"/>
    </row>
    <row r="197" spans="2:32" ht="20.05" customHeight="1" x14ac:dyDescent="0.35">
      <c r="B197" s="4" t="s">
        <v>2094</v>
      </c>
      <c r="C197" s="337" t="str">
        <f>IF(ISBLANK('Configure Management Domain'!D345),"Value Missing",'Configure Management Domain'!D345)</f>
        <v>Value Missing</v>
      </c>
      <c r="H197" s="17" t="s">
        <v>769</v>
      </c>
      <c r="I197" s="337" t="str">
        <f>IF(ISBLANK(input_wld_bf_sddc_domain),"Value Missing",input_wld_bf_sddc_domain)</f>
        <v>Value Missing</v>
      </c>
      <c r="J197" s="2"/>
      <c r="K197" s="4" t="s">
        <v>283</v>
      </c>
      <c r="L197" s="337" t="str">
        <f>IF(ISBLANK(input_flt_logs_nodeb_ip),"Value Missing",input_flt_logs_nodeb_ip)</f>
        <v>Value Missing</v>
      </c>
      <c r="T197" s="33"/>
      <c r="U197" s="337" t="str">
        <f>IF(ISBLANK(input_rwr_sso_domain_name),"Value Missing",input_rwr_sso_domain_name)</f>
        <v>Value Missing</v>
      </c>
    </row>
    <row r="198" spans="2:32" ht="20.05" customHeight="1" x14ac:dyDescent="0.35">
      <c r="B198" s="4" t="s">
        <v>2097</v>
      </c>
      <c r="C198" s="337" t="str">
        <f>IF(ISBLANK('Configure Management Domain'!D346),"Value Missing",'Configure Management Domain'!D346)</f>
        <v>Value Missing</v>
      </c>
      <c r="J198" s="2"/>
      <c r="K198" s="4" t="s">
        <v>283</v>
      </c>
      <c r="L198" s="337" t="str">
        <f>IF(ISBLANK(input_flt_logs_nodec_ip),"Value Missing",input_flt_logs_nodec_ip)</f>
        <v>Value Missing</v>
      </c>
      <c r="U198" s="337" t="str">
        <f>IF(ISBLANK(input_wld_vlr_replication_user),"Value Missing",input_wld_vlr_replication_user)</f>
        <v>Value Missing</v>
      </c>
    </row>
    <row r="199" spans="2:32" ht="20.05" customHeight="1" x14ac:dyDescent="0.35">
      <c r="B199" s="4" t="s">
        <v>2102</v>
      </c>
      <c r="C199" s="337" t="str">
        <f>IF(ISBLANK('Configure Management Domain'!D347),"Value Missing",'Configure Management Domain'!D347)</f>
        <v>Value Missing</v>
      </c>
      <c r="H199" s="391" t="s">
        <v>2349</v>
      </c>
      <c r="I199" s="391"/>
      <c r="J199" s="2"/>
      <c r="K199" s="4" t="s">
        <v>601</v>
      </c>
      <c r="L199" s="337" t="str">
        <f>IF(ISBLANK(input_flt_logs_folder),"Value Missing",input_flt_logs_folder)</f>
        <v>Value Missing</v>
      </c>
      <c r="U199" s="337" t="str">
        <f>IF(ISBLANK(input_rwr_child_dns_zone),"Value Missing",input_rwr_child_dns_zone)</f>
        <v>Value Missing</v>
      </c>
    </row>
    <row r="200" spans="2:32" ht="20.05" customHeight="1" x14ac:dyDescent="0.35">
      <c r="B200" s="4" t="s">
        <v>2105</v>
      </c>
      <c r="C200" s="337" t="str">
        <f>IF(ISBLANK('Configure Management Domain'!D348),"Value Missing",'Configure Management Domain'!D348)</f>
        <v>Value Missing</v>
      </c>
      <c r="H200" s="336" t="s">
        <v>261</v>
      </c>
      <c r="I200" s="184" t="s">
        <v>19</v>
      </c>
      <c r="J200" s="2"/>
      <c r="K200" s="4" t="s">
        <v>603</v>
      </c>
      <c r="L200" s="337" t="str">
        <f>IF(ISBLANK(input_flt_logs_resource_pool),"Value Missing",input_flt_logs_resource_pool)</f>
        <v>Value Missing</v>
      </c>
      <c r="U200" s="337" t="str">
        <f>IF(ISBLANK(input_rwr_vlr_replication_password),"Value Missing",input_rwr_vlr_replication_password)</f>
        <v>Value Missing</v>
      </c>
    </row>
    <row r="201" spans="2:32" ht="20.05" customHeight="1" x14ac:dyDescent="0.35">
      <c r="B201" s="4" t="s">
        <v>351</v>
      </c>
      <c r="C201" s="337" t="str">
        <f>IF(ISBLANK('Configure Management Domain'!D374),"Value Missing",'Configure Management Domain'!D374)</f>
        <v>Value Missing</v>
      </c>
      <c r="H201" s="22" t="s">
        <v>85</v>
      </c>
      <c r="I201" s="337" t="str">
        <f>IF(ISBLANK(input_cluster_az2_mgmt_vlan),"Value Missing",input_cluster_az2_mgmt_vlan)</f>
        <v>Value Missing</v>
      </c>
      <c r="J201" s="2"/>
      <c r="K201" s="4" t="s">
        <v>2350</v>
      </c>
      <c r="L201" s="337" t="str">
        <f>IF(ISBLANK(input_flt_logs_portgroup),"Value Missing",input_flt_logs_portgroup)</f>
        <v>Value Missing</v>
      </c>
      <c r="U201" s="337" t="str">
        <f>IF(ISBLANK(input_rwr_vrms_pg),"Value Missing",input_rwr_vrms_pg)</f>
        <v>Value Missing</v>
      </c>
    </row>
    <row r="202" spans="2:32" ht="20.05" customHeight="1" x14ac:dyDescent="0.35">
      <c r="B202" s="4" t="s">
        <v>1441</v>
      </c>
      <c r="C202" s="337" t="str">
        <f>IF(ISBLANK('Configure Management Domain'!D363),"Value Missing",'Configure Management Domain'!D363)</f>
        <v>Value Missing</v>
      </c>
      <c r="H202" s="22" t="s">
        <v>187</v>
      </c>
      <c r="I202" s="337" t="str">
        <f>IF(ISBLANK(input_cluster_az2_mgmt_gateway_ip),"Value Missing",input_cluster_az2_mgmt_gateway_ip)</f>
        <v>Value Missing</v>
      </c>
      <c r="J202" s="2"/>
      <c r="K202" s="4" t="s">
        <v>2351</v>
      </c>
      <c r="L202" s="337" t="str">
        <f>IF(ISBLANK(input_flt_logs_gateway_ip),"Value Missing",input_flt_logs_gateway_ip)</f>
        <v>Value Missing</v>
      </c>
      <c r="U202" s="337" t="str">
        <f>IF(ISBLANK(input_wld_rwr_recovery_site_vc_fqdn),"Value Missing",input_wld_rwr_recovery_site_vc_fqdn)</f>
        <v>Value Missing</v>
      </c>
    </row>
    <row r="203" spans="2:32" ht="20.05" customHeight="1" x14ac:dyDescent="0.35">
      <c r="B203" s="2"/>
      <c r="C203" s="2"/>
      <c r="H203" s="22" t="s">
        <v>188</v>
      </c>
      <c r="I203" s="337" t="str">
        <f>IF(ISBLANK(input_cluster_az2_mgmt_cidr),"Value Missing",input_cluster_az2_mgmt_cidr)</f>
        <v>Value Missing</v>
      </c>
      <c r="J203" s="2"/>
      <c r="K203" s="4" t="s">
        <v>2352</v>
      </c>
      <c r="L203" s="337" t="str">
        <f>IF(ISBLANK(input_flt_logs_mask),"Value Missing",input_flt_logs_mask)</f>
        <v>Value Missing</v>
      </c>
      <c r="U203" s="337" t="str">
        <f>IF(ISBLANK(input_rwr_datacenter),"Value Missing",input_rwr_datacenter)</f>
        <v>Value Missing</v>
      </c>
    </row>
    <row r="204" spans="2:32" ht="20.05" customHeight="1" x14ac:dyDescent="0.35">
      <c r="B204" s="387" t="s">
        <v>2353</v>
      </c>
      <c r="C204" s="387"/>
      <c r="H204" s="22" t="s">
        <v>160</v>
      </c>
      <c r="I204" s="337" t="str">
        <f>IF(ISBLANK(input_cluster_az2_mgmt_mtu),"Value Missing",input_cluster_az2_mgmt_mtu)</f>
        <v>Value Missing</v>
      </c>
      <c r="J204" s="2"/>
      <c r="K204" s="4" t="s">
        <v>814</v>
      </c>
      <c r="L204" s="337" t="str">
        <f>IF(ISBLANK(input_flt_logs_vcenter_fqdn),"Value Missing",input_flt_logs_vcenter_fqdn)</f>
        <v>Value Missing</v>
      </c>
      <c r="U204" s="337" t="str">
        <f>IF(ISBLANK(input_wld_rwr_recoverysite_fd),"Value Missing",input_wld_rwr_recoverysite_fd)</f>
        <v>Value Missing</v>
      </c>
    </row>
    <row r="205" spans="2:32" ht="20.05" customHeight="1" x14ac:dyDescent="0.35">
      <c r="B205" s="166" t="s">
        <v>261</v>
      </c>
      <c r="C205" s="167" t="s">
        <v>19</v>
      </c>
      <c r="H205" s="22" t="s">
        <v>215</v>
      </c>
      <c r="I205" s="337" t="str">
        <f>IF(ISBLANK(input_cluster_az2_host1_mgmt_ip),"Value Missing",input_cluster_az2_host1_mgmt_ip)</f>
        <v>Value Missing</v>
      </c>
      <c r="J205" s="2"/>
      <c r="K205" s="4" t="s">
        <v>732</v>
      </c>
      <c r="L205" s="337" t="str">
        <f>IF(ISBLANK(input_flt_logs_cluster),"Value Missing",input_flt_logs_cluster)</f>
        <v>Value Missing</v>
      </c>
      <c r="T205" s="4" t="s">
        <v>2354</v>
      </c>
      <c r="U205" s="337" t="str">
        <f>IF(AND(this_instance="sfo",wld_domain_number_chosen=1),"10.23.",IF(AND(this_instance="sfo",wld_domain_number_chosen=2),"10.25.",IF(AND(this_instance="sfo",wld_domain_number_chosen=3),"10.27.",IF(AND(this_instance="lax",wld_domain_number_chosen=1),"10.13.",IF(AND(this_instance="lax",wld_domain_number_chosen=2),"10.15.",IF(AND(this_instance="lax",wld_domain_number_chosen=3),"10.17."))))))</f>
        <v>10.23.</v>
      </c>
    </row>
    <row r="206" spans="2:32" ht="20.05" customHeight="1" x14ac:dyDescent="0.35">
      <c r="B206" s="4" t="s">
        <v>606</v>
      </c>
      <c r="C206" s="337" t="str">
        <f>IF(ISBLANK(input_mgmt_sddc_domain),"Value Missing",input_mgmt_sddc_domain)</f>
        <v>Value Missing</v>
      </c>
      <c r="H206" s="22" t="s">
        <v>217</v>
      </c>
      <c r="I206" s="337" t="str">
        <f>IF(ISBLANK(input_cluster_az2_host2_mgmt_ip),"Value Missing",input_cluster_az2_host2_mgmt_ip)</f>
        <v>Value Missing</v>
      </c>
      <c r="J206" s="2"/>
      <c r="K206" s="4" t="s">
        <v>103</v>
      </c>
      <c r="L206" s="337" t="str">
        <f>IF(ISBLANK(input_flt_logs_datastore),"Value Missing",input_flt_logs_datastore)</f>
        <v>Value Missing</v>
      </c>
      <c r="T206" s="8" t="s">
        <v>2355</v>
      </c>
      <c r="U206" s="337" t="str">
        <f>IF(ISBLANK(input_wld_rwr_az1_vrms_gateway_ip),"Value Missing",input_wld_rwr_az1_vrms_gateway_ip)</f>
        <v>Value Missing</v>
      </c>
    </row>
    <row r="207" spans="2:32" ht="20.05" customHeight="1" x14ac:dyDescent="0.35">
      <c r="B207" s="4" t="s">
        <v>279</v>
      </c>
      <c r="C207" s="337" t="str">
        <f>IF(ISBLANK('Configure Management Domain'!D315),"Value Missing",'Configure Management Domain'!D315)</f>
        <v>Value Missing</v>
      </c>
      <c r="H207" s="22" t="s">
        <v>219</v>
      </c>
      <c r="I207" s="337" t="str">
        <f>IF(ISBLANK(input_cluster_az2_host3_mgmt_ip),"Value Missing",input_cluster_az2_host3_mgmt_ip)</f>
        <v>Value Missing</v>
      </c>
      <c r="J207" s="2"/>
      <c r="K207" s="17" t="s">
        <v>706</v>
      </c>
      <c r="L207" s="337" t="str">
        <f>IF(ISBLANK(input_flt_logs_admin_password_alias),"Value Missing",input_flt_logs_admin_password_alias)</f>
        <v>Value Missing</v>
      </c>
      <c r="T207" s="8" t="s">
        <v>2356</v>
      </c>
      <c r="U207" s="337" t="str">
        <f>IF(ISBLANK(input_wld_rwr_recovery_site_az1_vrms_cidr),"Value Missing",input_wld_rwr_recovery_site_az1_vrms_cidr)</f>
        <v>Value Missing</v>
      </c>
    </row>
    <row r="208" spans="2:32" ht="20.05" customHeight="1" x14ac:dyDescent="0.35">
      <c r="B208" s="4" t="s">
        <v>210</v>
      </c>
      <c r="C208" s="337" t="str">
        <f>IF(ISBLANK('Configure Management Domain'!D313),"Value Missing",'Configure Management Domain'!D313)</f>
        <v>Value Missing</v>
      </c>
      <c r="H208" s="22" t="s">
        <v>221</v>
      </c>
      <c r="I208" s="337" t="str">
        <f>IF(ISBLANK(input_cluster_az2_host4_mgmt_ip),"Value Missing",input_cluster_az2_host4_mgmt_ip)</f>
        <v>Value Missing</v>
      </c>
      <c r="J208" s="2"/>
      <c r="K208" s="22" t="s">
        <v>199</v>
      </c>
      <c r="L208" s="337" t="str">
        <f>IF(ISBLANK(input_flt_logs_admin_password),"Value Missing",input_flt_logs_admin_password)</f>
        <v>Value Missing</v>
      </c>
      <c r="T208" s="8" t="s">
        <v>2357</v>
      </c>
      <c r="U208" s="337" t="str">
        <f>IF(ISBLANK(input_wld_rwr_az1_vrms_gateway_mask),"Value Missing",input_wld_rwr_az1_vrms_gateway_mask)</f>
        <v>Value Missing</v>
      </c>
    </row>
    <row r="209" spans="2:21" ht="20.05" customHeight="1" x14ac:dyDescent="0.35">
      <c r="B209" s="4" t="s">
        <v>278</v>
      </c>
      <c r="C209" s="337" t="str">
        <f>IF(ISBLANK(input_mgmt_witness_vm_folder),"Value Missing",input_mgmt_witness_vm_folder)</f>
        <v>Value Missing</v>
      </c>
      <c r="H209" s="22" t="s">
        <v>223</v>
      </c>
      <c r="I209" s="337" t="str">
        <f>IF(ISBLANK(input_cluster_az2_host5_mgmt_ip),"Value Missing",input_cluster_az2_host5_mgmt_ip)</f>
        <v>Value Missing</v>
      </c>
      <c r="J209" s="2"/>
      <c r="K209" s="22" t="s">
        <v>707</v>
      </c>
      <c r="L209" s="337" t="str">
        <f>IF(ISBLANK(input_flt_logs_admin_password_description),"Value Missing",input_flt_logs_admin_password_description)</f>
        <v>Value Missing</v>
      </c>
      <c r="U209" s="337" t="str">
        <f>IF(ISBLANK(input_mgmt_rwr_recovery_site_az1_mgmt_cidr),"Value Missing",input_mgmt_rwr_recovery_site_az1_mgmt_cidr)</f>
        <v>Value Missing</v>
      </c>
    </row>
    <row r="210" spans="2:21" ht="20.05" customHeight="1" x14ac:dyDescent="0.35">
      <c r="H210" s="22" t="s">
        <v>225</v>
      </c>
      <c r="I210" s="337" t="str">
        <f>IF(ISBLANK(input_cluster_az2_host6_mgmt_ip),"Value Missing",input_cluster_az2_host6_mgmt_ip)</f>
        <v>Value Missing</v>
      </c>
      <c r="J210" s="2"/>
      <c r="K210" s="22" t="s">
        <v>709</v>
      </c>
      <c r="L210" s="337" t="str">
        <f>IF(ISBLANK(input_flt_logs_admin_username),"Value Missing",input_flt_logs_admin_username)</f>
        <v>Value Missing</v>
      </c>
      <c r="T210" s="8" t="s">
        <v>2358</v>
      </c>
      <c r="U210" s="337" t="str">
        <f>IF(ISBLANK(input_wld_rwr_vcfops_vlsr_username),"Value Missing",input_wld_rwr_vcfops_vlsr_username)</f>
        <v>Value Missing</v>
      </c>
    </row>
    <row r="211" spans="2:21" ht="20.05" customHeight="1" x14ac:dyDescent="0.35">
      <c r="B211" s="387" t="s">
        <v>2359</v>
      </c>
      <c r="C211" s="387"/>
      <c r="H211" s="22" t="s">
        <v>227</v>
      </c>
      <c r="I211" s="337" t="str">
        <f>IF(ISBLANK(input_cluster_az2_host7_mgmt_ip),"Value Missing",input_cluster_az2_host7_mgmt_ip)</f>
        <v>Value Missing</v>
      </c>
      <c r="J211" s="2"/>
      <c r="K211" s="22" t="s">
        <v>620</v>
      </c>
      <c r="L211" s="337" t="str">
        <f>IF(ISBLANK(input_flt_logs_root_password_alias),"Value Missing",input_flt_logs_root_password_alias)</f>
        <v>Value Missing</v>
      </c>
      <c r="U211" s="337" t="str">
        <f>IF(ISBLANK(input_wld_rwr_vcfops_vr_username),"Value Missing",input_wld_rwr_vcfops_vr_username)</f>
        <v>Value Missing</v>
      </c>
    </row>
    <row r="212" spans="2:21" ht="20.05" customHeight="1" x14ac:dyDescent="0.35">
      <c r="B212" s="166" t="s">
        <v>261</v>
      </c>
      <c r="C212" s="167" t="s">
        <v>19</v>
      </c>
      <c r="D212" s="2"/>
      <c r="H212" s="22" t="s">
        <v>229</v>
      </c>
      <c r="I212" s="337" t="str">
        <f>IF(ISBLANK(input_cluster_az2_host8_mgmt_ip),"Value Missing",input_cluster_az2_host8_mgmt_ip)</f>
        <v>Value Missing</v>
      </c>
      <c r="J212" s="2"/>
      <c r="K212" s="22" t="s">
        <v>562</v>
      </c>
      <c r="L212" s="337" t="str">
        <f>IF(ISBLANK(input_flt_logs_root_password),"Value Missing",input_flt_logs_root_password)</f>
        <v>Value Missing</v>
      </c>
      <c r="T212" s="362" t="s">
        <v>632</v>
      </c>
      <c r="U212" s="347"/>
    </row>
    <row r="213" spans="2:21" ht="20.05" customHeight="1" x14ac:dyDescent="0.35">
      <c r="B213" s="361" t="s">
        <v>1657</v>
      </c>
      <c r="C213" s="337" t="str">
        <f>IF(ISBLANK(input_mgmt_witness_zone_vc_ip),"Value Missing",input_mgmt_witness_zone_vc_ip)</f>
        <v>Value Missing</v>
      </c>
      <c r="D213" s="2"/>
      <c r="H213" s="22" t="s">
        <v>231</v>
      </c>
      <c r="I213" s="337" t="str">
        <f>IF(ISBLANK(input_cluster_az2_host9_mgmt_ip),"Value Missing",input_cluster_az2_host9_mgmt_ip)</f>
        <v>Value Missing</v>
      </c>
      <c r="J213" s="2"/>
      <c r="K213" s="22" t="s">
        <v>621</v>
      </c>
      <c r="L213" s="337" t="str">
        <f>IF(ISBLANK(input_flt_logs_root_password_description),"Value Missing",input_flt_logs_root_password_description)</f>
        <v>Value Missing</v>
      </c>
    </row>
    <row r="214" spans="2:21" ht="20.05" customHeight="1" x14ac:dyDescent="0.35">
      <c r="B214" s="361" t="s">
        <v>2360</v>
      </c>
      <c r="C214" s="337" t="str">
        <f>IF(ISBLANK('Configure Management Domain'!D319),"Value Missing",'Configure Management Domain'!D319)</f>
        <v>Value Missing</v>
      </c>
      <c r="D214" s="2"/>
      <c r="H214" s="22" t="s">
        <v>233</v>
      </c>
      <c r="I214" s="337" t="str">
        <f>IF(ISBLANK(input_cluster_az2_host10_mgmt_ip),"Value Missing",input_cluster_az2_host10_mgmt_ip)</f>
        <v>Value Missing</v>
      </c>
      <c r="J214" s="2"/>
      <c r="K214" s="22" t="s">
        <v>623</v>
      </c>
      <c r="L214" s="337" t="str">
        <f>IF(ISBLANK(input_flt_logs_root_username),"Value Missing",input_flt_logs_root_username)</f>
        <v>Value Missing</v>
      </c>
    </row>
    <row r="215" spans="2:21" ht="20.05" customHeight="1" x14ac:dyDescent="0.35">
      <c r="B215" s="4" t="s">
        <v>2123</v>
      </c>
      <c r="C215" s="337" t="str">
        <f>IF(ISBLANK(input_mgmt_witness_dns1_ip),"Value Missing",input_mgmt_witness_dns1_ip)</f>
        <v>Value Missing</v>
      </c>
      <c r="D215" s="2"/>
      <c r="H215" s="22" t="s">
        <v>235</v>
      </c>
      <c r="I215" s="337" t="str">
        <f>IF(ISBLANK(input_cluster_az2_host11_mgmt_ip),"Value Missing",input_cluster_az2_host11_mgmt_ip)</f>
        <v>Value Missing</v>
      </c>
      <c r="J215" s="2"/>
      <c r="K215" s="4" t="s">
        <v>712</v>
      </c>
      <c r="L215" s="337" t="str">
        <f>IF(ISBLANK(flt_logs_node_size_chosen),"Value Missing",flt_logs_node_size_chosen)</f>
        <v>Medium</v>
      </c>
    </row>
    <row r="216" spans="2:21" ht="20.05" customHeight="1" x14ac:dyDescent="0.35">
      <c r="B216" s="4" t="s">
        <v>2123</v>
      </c>
      <c r="C216" s="337" t="str">
        <f>IF(ISBLANK(input_mgmt_witness_dns2_ip),"Value Missing",input_mgmt_witness_dns2_ip)</f>
        <v>Value Missing</v>
      </c>
      <c r="D216" s="2"/>
      <c r="H216" s="22" t="s">
        <v>237</v>
      </c>
      <c r="I216" s="337" t="str">
        <f>IF(ISBLANK(input_cluster_az2_host12_mgmt_ip),"Value Missing",input_cluster_az2_host12_mgmt_ip)</f>
        <v>Value Missing</v>
      </c>
      <c r="J216" s="2"/>
      <c r="K216" s="4" t="s">
        <v>721</v>
      </c>
      <c r="L216" s="337" t="str">
        <f>IF(ISBLANK(input_flt_logs_admin_email),"Value Missing",input_flt_logs_admin_email)</f>
        <v>Value Missing</v>
      </c>
    </row>
    <row r="217" spans="2:21" ht="20.05" customHeight="1" x14ac:dyDescent="0.35">
      <c r="B217" s="4" t="s">
        <v>2128</v>
      </c>
      <c r="C217" s="337" t="str">
        <f>IF(ISBLANK(sample_mgmt_witness_ntp1_server),"Value Missing",sample_mgmt_witness_ntp1_server)</f>
        <v>ntp0.sfo.rainpole.io</v>
      </c>
      <c r="H217" s="22" t="s">
        <v>239</v>
      </c>
      <c r="I217" s="337" t="str">
        <f>IF(ISBLANK(input_cluster_az2_host13_mgmt_ip),"Value Missing",input_cluster_az2_host13_mgmt_ip)</f>
        <v>Value Missing</v>
      </c>
      <c r="J217" s="2"/>
      <c r="K217" s="4" t="s">
        <v>2361</v>
      </c>
      <c r="L217" s="337" t="str">
        <f>IF(ISBLANK(input_flt_logs_nodea_hostname),"Value Missing",input_flt_logs_nodea_hostname)</f>
        <v>Value Missing</v>
      </c>
    </row>
    <row r="218" spans="2:21" ht="20.05" customHeight="1" x14ac:dyDescent="0.35">
      <c r="B218" s="4" t="s">
        <v>2128</v>
      </c>
      <c r="C218" s="337" t="str">
        <f>IF(ISBLANK(sample_mgmt_witness_ntp2_server),"Value Missing",sample_mgmt_witness_ntp2_server)</f>
        <v>ntp1.sfo.rainpole.io</v>
      </c>
      <c r="H218" s="22" t="s">
        <v>241</v>
      </c>
      <c r="I218" s="337" t="str">
        <f>IF(ISBLANK(input_cluster_az2_host14_mgmt_ip),"Value Missing",input_cluster_az2_host14_mgmt_ip)</f>
        <v>Value Missing</v>
      </c>
      <c r="J218" s="2"/>
      <c r="K218" s="4" t="s">
        <v>2362</v>
      </c>
      <c r="L218" s="337" t="str">
        <f>IF(ISBLANK(input_flt_logs_nodeb_hostname),"Value Missing",input_flt_logs_nodeb_hostname)</f>
        <v>Value Missing</v>
      </c>
    </row>
    <row r="219" spans="2:21" ht="20.05" customHeight="1" x14ac:dyDescent="0.35">
      <c r="B219" s="23"/>
      <c r="H219" s="22" t="s">
        <v>243</v>
      </c>
      <c r="I219" s="337" t="str">
        <f>IF(ISBLANK(input_cluster_az2_host15_mgmt_ip),"Value Missing",input_cluster_az2_host15_mgmt_ip)</f>
        <v>Value Missing</v>
      </c>
      <c r="J219" s="2"/>
      <c r="K219" s="4" t="s">
        <v>2363</v>
      </c>
      <c r="L219" s="337" t="str">
        <f>IF(ISBLANK(input_flt_logs_nodec_hostname),"Value Missing",input_flt_logs_nodec_hostname)</f>
        <v>Value Missing</v>
      </c>
    </row>
    <row r="220" spans="2:21" ht="20.05" customHeight="1" x14ac:dyDescent="0.35">
      <c r="B220" s="391" t="s">
        <v>2364</v>
      </c>
      <c r="C220" s="391"/>
      <c r="H220" s="22" t="s">
        <v>245</v>
      </c>
      <c r="I220" s="337" t="str">
        <f>IF(ISBLANK(input_cluster_az2_host16_mgmt_ip),"Value Missing",input_cluster_az2_host16_mgmt_ip)</f>
        <v>Value Missing</v>
      </c>
      <c r="J220" s="2"/>
      <c r="K220" s="4" t="s">
        <v>2365</v>
      </c>
      <c r="L220" s="337" t="str">
        <f>IF(ISBLANK(input_flt_logs_vip_ip),"Value Missing",input_flt_logs_vip_ip)</f>
        <v>Value Missing</v>
      </c>
    </row>
    <row r="221" spans="2:21" ht="20.05" customHeight="1" x14ac:dyDescent="0.35">
      <c r="B221" s="336" t="s">
        <v>261</v>
      </c>
      <c r="C221" s="184" t="s">
        <v>19</v>
      </c>
      <c r="H221" s="22" t="s">
        <v>250</v>
      </c>
      <c r="I221" s="337" t="str">
        <f>IF(ISBLANK(input_cluster_az2_pool_name),"Value Missing",input_cluster_az2_pool_name)</f>
        <v>Value Missing</v>
      </c>
      <c r="J221" s="2"/>
      <c r="K221" s="4" t="s">
        <v>2366</v>
      </c>
      <c r="L221" s="337" t="str">
        <f>IF(ISBLANK(input_flt_logs_nodea_ip),"Value Missing",input_flt_logs_nodea_ip)</f>
        <v>Value Missing</v>
      </c>
    </row>
    <row r="222" spans="2:21" ht="20.05" customHeight="1" x14ac:dyDescent="0.35">
      <c r="B222" s="361" t="s">
        <v>2367</v>
      </c>
      <c r="C222" s="337" t="str">
        <f>IF(ISBLANK(input_wld_esx_root_username),"Value Missing",input_wld_esx_root_username)</f>
        <v>Value Missing</v>
      </c>
      <c r="H222" s="532" t="s">
        <v>251</v>
      </c>
      <c r="I222" s="534"/>
      <c r="J222" s="2"/>
      <c r="K222" s="4" t="s">
        <v>2368</v>
      </c>
      <c r="L222" s="337" t="str">
        <f>IF(ISBLANK(input_flt_logs_nodeb_ip),"Value Missing",input_flt_logs_nodeb_ip)</f>
        <v>Value Missing</v>
      </c>
    </row>
    <row r="223" spans="2:21" ht="20.05" customHeight="1" x14ac:dyDescent="0.35">
      <c r="B223" s="361" t="s">
        <v>2369</v>
      </c>
      <c r="C223" s="337" t="str">
        <f>IF(ISBLANK(input_wld_esx_root_password),"Value Missing",input_wld_esx_root_password)</f>
        <v>Value Missing</v>
      </c>
      <c r="H223" s="22" t="s">
        <v>2370</v>
      </c>
      <c r="I223" s="337" t="str">
        <f>IF(ISBLANK(input_cluster_az2_vmotion_vlan),"Value Missing",input_cluster_az2_vmotion_vlan)</f>
        <v>Value Missing</v>
      </c>
      <c r="J223" s="2"/>
      <c r="K223" s="4" t="s">
        <v>2371</v>
      </c>
      <c r="L223" s="337" t="str">
        <f>IF(ISBLANK(input_flt_logs_nodec_ip),"Value Missing",input_flt_logs_nodec_ip)</f>
        <v>Value Missing</v>
      </c>
    </row>
    <row r="224" spans="2:21" ht="20.05" customHeight="1" x14ac:dyDescent="0.35">
      <c r="B224" s="361" t="s">
        <v>816</v>
      </c>
      <c r="C224" s="337" t="str">
        <f>IF(ISBLANK(input_wld_vcenter_root_password),"Value Missing",input_wld_vcenter_root_password)</f>
        <v>Value Missing</v>
      </c>
      <c r="H224" s="22" t="s">
        <v>160</v>
      </c>
      <c r="I224" s="337" t="str">
        <f>IF(ISBLANK(input_cluster_az2_vmotion_mtu),"Value Missing",input_cluster_az2_vmotion_mtu)</f>
        <v>Value Missing</v>
      </c>
      <c r="J224" s="2"/>
      <c r="K224" s="4" t="s">
        <v>2372</v>
      </c>
      <c r="L224" s="337" t="str">
        <f>IF(ISBLANK(flt_logs_disk_mode_chosen),"Value Missing",flt_logs_disk_mode_chosen)</f>
        <v>Thin</v>
      </c>
    </row>
    <row r="225" spans="2:12" ht="20.05" customHeight="1" x14ac:dyDescent="0.35">
      <c r="B225" s="361" t="s">
        <v>2373</v>
      </c>
      <c r="C225" s="337" t="str">
        <f>IF(ISBLANK(input_xreg_vra_admin_password),"Value Missing",input_xreg_vra_admin_password)</f>
        <v>Value Missing</v>
      </c>
      <c r="H225" s="22" t="s">
        <v>2374</v>
      </c>
      <c r="I225" s="337" t="str">
        <f>IF(ISBLANK(input_cluster_az2_vmotion_network),"Value Missing",input_cluster_az2_vmotion_network)</f>
        <v>Value Missing</v>
      </c>
      <c r="J225" s="2"/>
    </row>
    <row r="226" spans="2:12" ht="20.05" customHeight="1" x14ac:dyDescent="0.35">
      <c r="B226" s="361" t="s">
        <v>2375</v>
      </c>
      <c r="C226" s="337" t="str">
        <f>IF(ISBLANK(input_xreg_vrops_admin_password),"Value Missing",input_xreg_vrops_admin_password)</f>
        <v>Value Missing</v>
      </c>
      <c r="H226" s="22" t="s">
        <v>253</v>
      </c>
      <c r="I226" s="337" t="str">
        <f>IF(ISBLANK(input_cluster_az2_vmotion_mask),"Value Missing",input_cluster_az2_vmotion_mask)</f>
        <v>Value Missing</v>
      </c>
      <c r="J226" s="2"/>
      <c r="K226" s="391" t="s">
        <v>2376</v>
      </c>
      <c r="L226" s="391"/>
    </row>
    <row r="227" spans="2:12" ht="20.05" customHeight="1" x14ac:dyDescent="0.35">
      <c r="B227" s="361" t="s">
        <v>2377</v>
      </c>
      <c r="C227" s="337" t="str">
        <f>IF(ISBLANK(input_xreg_vrops_root_password),"Value Missing",input_xreg_vrops_root_password)</f>
        <v>Value Missing</v>
      </c>
      <c r="H227" s="4" t="s">
        <v>460</v>
      </c>
      <c r="I227" s="337" t="str">
        <f>IF(OR(cluster_az2_vmotion_network="Value Missing",cluster_az2_vmotion_mask="Value Missing"),"Value Missing",(CONCATENATE(cluster_az2_vmotion_network,"/",VLOOKUP(cluster_az2_vmotion_mask,table_mask_to_cidr,2,FALSE))))</f>
        <v>Value Missing</v>
      </c>
      <c r="J227" s="2"/>
      <c r="K227" s="336" t="s">
        <v>261</v>
      </c>
      <c r="L227" s="184" t="s">
        <v>19</v>
      </c>
    </row>
    <row r="228" spans="2:12" ht="20.05" customHeight="1" x14ac:dyDescent="0.35">
      <c r="B228" s="361" t="s">
        <v>2378</v>
      </c>
      <c r="C228" s="337" t="str">
        <f>IF(ISBLANK(input_vrslcm_admin_password),"Value Missing",input_vrslcm_admin_password)</f>
        <v>Value Missing</v>
      </c>
      <c r="H228" s="22" t="s">
        <v>254</v>
      </c>
      <c r="I228" s="337" t="str">
        <f>IF(ISBLANK(input_cluster_az2_vmotion_gateway_ip),"Value Missing",input_cluster_az2_vmotion_gateway_ip)</f>
        <v>Value Missing</v>
      </c>
      <c r="J228" s="2"/>
      <c r="K228" s="4" t="s">
        <v>583</v>
      </c>
    </row>
    <row r="229" spans="2:12" ht="20.05" customHeight="1" x14ac:dyDescent="0.35">
      <c r="B229" s="361" t="s">
        <v>2379</v>
      </c>
      <c r="C229" s="337" t="str">
        <f>IF(ISBLANK(input_vrslcm_root_password),"Value Missing",input_vrslcm_root_password)</f>
        <v>Value Missing</v>
      </c>
      <c r="H229" s="22" t="s">
        <v>255</v>
      </c>
      <c r="I229" s="337" t="str">
        <f>IF(ISBLANK(input_cluster_az2_vmotion_pool_start_ip),"Value Missing",input_cluster_az2_vmotion_pool_start_ip)</f>
        <v>Value Missing</v>
      </c>
      <c r="K229" s="4" t="s">
        <v>585</v>
      </c>
      <c r="L229" s="337" t="str">
        <f>IF(ISBLANK(input_flt_net_cert_alias),"Value Missing",input_flt_net_cert_alias)</f>
        <v>Value Missing</v>
      </c>
    </row>
    <row r="230" spans="2:12" ht="20.05" customHeight="1" x14ac:dyDescent="0.35">
      <c r="B230" s="361" t="s">
        <v>2380</v>
      </c>
      <c r="C230" s="337" t="str">
        <f>IF(ISBLANK(input_wld_administrator_vsphere_local_password),"Value Missing",input_wld_administrator_vsphere_local_password)</f>
        <v>Value Missing</v>
      </c>
      <c r="H230" s="22" t="s">
        <v>256</v>
      </c>
      <c r="I230" s="337" t="str">
        <f>IF(ISBLANK(input_cluster_az2_vmotion_pool_end_ip),"Value Missing",input_cluster_az2_vmotion_pool_end_ip)</f>
        <v>Value Missing</v>
      </c>
      <c r="K230" s="4" t="s">
        <v>695</v>
      </c>
    </row>
    <row r="231" spans="2:12" ht="20.05" customHeight="1" x14ac:dyDescent="0.35">
      <c r="H231" s="532" t="s">
        <v>2381</v>
      </c>
      <c r="I231" s="534"/>
      <c r="K231" s="4" t="s">
        <v>586</v>
      </c>
    </row>
    <row r="232" spans="2:12" ht="20.05" customHeight="1" x14ac:dyDescent="0.35">
      <c r="B232" s="361" t="s">
        <v>2382</v>
      </c>
      <c r="C232" s="337" t="str">
        <f>IF(ISBLANK(input_mgmt_nsxt_en_admin_password),"Value Missing",input_mgmt_nsxt_en_admin_password)</f>
        <v>Value Missing</v>
      </c>
      <c r="H232" s="22" t="s">
        <v>2383</v>
      </c>
      <c r="I232" s="337" t="str">
        <f>IF(ISBLANK(input_cluster_az2_principal_storage_vlan),"Value Missing",input_cluster_az2_principal_storage_vlan)</f>
        <v>Value Missing</v>
      </c>
      <c r="K232" s="4" t="s">
        <v>2384</v>
      </c>
    </row>
    <row r="233" spans="2:12" ht="20.05" customHeight="1" x14ac:dyDescent="0.35">
      <c r="B233" s="361" t="s">
        <v>2385</v>
      </c>
      <c r="C233" s="337" t="str">
        <f>IF(ISBLANK(input_mgmt_nsxt_en_root_password),"Value Missing",input_mgmt_nsxt_en_root_password)</f>
        <v>Value Missing</v>
      </c>
      <c r="H233" s="22" t="s">
        <v>160</v>
      </c>
      <c r="I233" s="337" t="str">
        <f>IF(ISBLANK(input_cluster_az2_principal_storage_mtu),"Value Missing",input_cluster_az2_principal_storage_mtu)</f>
        <v>Value Missing</v>
      </c>
      <c r="J233" s="2"/>
      <c r="K233" s="4" t="s">
        <v>2386</v>
      </c>
    </row>
    <row r="234" spans="2:12" ht="20.05" customHeight="1" x14ac:dyDescent="0.35">
      <c r="B234" s="361" t="s">
        <v>2387</v>
      </c>
      <c r="C234" s="337" t="str">
        <f>IF(ISBLANK(input_flt_vidb_additional_vips),"Value Missing",input_flt_vidb_additional_vips)</f>
        <v>Value Missing</v>
      </c>
      <c r="H234" s="22" t="s">
        <v>2388</v>
      </c>
      <c r="I234" s="337" t="str">
        <f>IF(ISBLANK(input_cluster_az2_principal_storage_network),"Value Missing",input_cluster_az2_principal_storage_network)</f>
        <v>Value Missing</v>
      </c>
      <c r="K234" s="4" t="s">
        <v>587</v>
      </c>
      <c r="L234" s="337" t="str">
        <f>IF(ISBLANK(input_flt_net_common_name),"Value Missing",input_flt_net_common_name)</f>
        <v>Value Missing</v>
      </c>
    </row>
    <row r="235" spans="2:12" ht="20.05" customHeight="1" x14ac:dyDescent="0.35">
      <c r="B235" s="361" t="s">
        <v>2389</v>
      </c>
      <c r="C235" s="337" t="str">
        <f>IF(ISBLANK(input_flt_vidb_node_prefix),"Value Missing",input_flt_vidb_node_prefix)</f>
        <v>Value Missing</v>
      </c>
      <c r="H235" s="22" t="s">
        <v>253</v>
      </c>
      <c r="I235" s="337" t="str">
        <f>IF(ISBLANK(input_cluster_az2_principal_storage_mask),"Value Missing",input_cluster_az2_principal_storage_mask)</f>
        <v>Value Missing</v>
      </c>
      <c r="K235" s="4" t="s">
        <v>588</v>
      </c>
      <c r="L235" s="337" t="str">
        <f>IF(ISBLANK(input_flt_net_cert_organisation),"Value Missing",input_flt_net_cert_organisation)</f>
        <v>Value Missing</v>
      </c>
    </row>
    <row r="236" spans="2:12" ht="20.05" customHeight="1" x14ac:dyDescent="0.35">
      <c r="B236" s="361" t="s">
        <v>2390</v>
      </c>
      <c r="C236" s="337" t="str">
        <f>IF(ISBLANK(input_flt_vidb_password),"Value Missing",input_flt_vidb_password)</f>
        <v>Value Missing</v>
      </c>
      <c r="H236" s="22" t="s">
        <v>188</v>
      </c>
      <c r="I236" s="337" t="str">
        <f>IF(OR(cluster_az2_principal_storage_network="Value Missing",cluster_az2_principal_storage_mask="Value Missing"),"Value Missing",(CONCATENATE(cluster_az2_principal_storage_network,"/",VLOOKUP(cluster_az2_principal_storage_mask,table_mask_to_cidr,2,FALSE))))</f>
        <v>Value Missing</v>
      </c>
      <c r="K236" s="4" t="s">
        <v>589</v>
      </c>
      <c r="L236" s="337" t="str">
        <f>IF(ISBLANK(input_flt_net_ou_cert),"Value Missing",input_flt_net_ou_cert)</f>
        <v>Value Missing</v>
      </c>
    </row>
    <row r="237" spans="2:12" ht="20.05" customHeight="1" x14ac:dyDescent="0.35">
      <c r="B237" s="361" t="s">
        <v>2391</v>
      </c>
      <c r="C237" s="337" t="str">
        <f>IF(ISBLANK(input_flt_vidb_password_alias),"Value Missing",input_flt_vidb_password_alias)</f>
        <v>Value Missing</v>
      </c>
      <c r="H237" s="22" t="s">
        <v>254</v>
      </c>
      <c r="I237" s="337" t="str">
        <f>IF(ISBLANK(input_cluster_az2_principal_storage_gateway_ip),"Value Missing",input_cluster_az2_principal_storage_gateway_ip)</f>
        <v>Value Missing</v>
      </c>
      <c r="K237" s="4" t="s">
        <v>590</v>
      </c>
      <c r="L237" s="337" t="str">
        <f>IF(ISBLANK(input_flt_net_cert_country_code),"Value Missing",input_flt_net_cert_country_code)</f>
        <v>Value Missing</v>
      </c>
    </row>
    <row r="238" spans="2:12" ht="20.05" customHeight="1" x14ac:dyDescent="0.35">
      <c r="B238" s="361" t="s">
        <v>2392</v>
      </c>
      <c r="C238" s="337" t="str">
        <f>IF(ISBLANK(input_flt_vidb_password_description),"Value Missing",input_flt_vidb_password_description)</f>
        <v>Value Missing</v>
      </c>
      <c r="H238" s="22" t="s">
        <v>255</v>
      </c>
      <c r="I238" s="337" t="str">
        <f>IF(ISBLANK(input_cluster_az2_principal_storage_pool_start_ip),"Value Missing",input_cluster_az2_principal_storage_pool_start_ip)</f>
        <v>Value Missing</v>
      </c>
      <c r="K238" s="4" t="s">
        <v>591</v>
      </c>
      <c r="L238" s="337" t="str">
        <f>IF(ISBLANK(input_flt_net_cert_locality),"Value Missing",input_flt_net_cert_locality)</f>
        <v>Value Missing</v>
      </c>
    </row>
    <row r="239" spans="2:12" ht="20.05" customHeight="1" x14ac:dyDescent="0.35">
      <c r="B239" s="361" t="s">
        <v>2393</v>
      </c>
      <c r="C239" s="337" t="str">
        <f>IF(ISBLANK(input_flt_vidb_root_username),"Value Missing",input_flt_vidb_root_username)</f>
        <v>Value Missing</v>
      </c>
      <c r="H239" s="22" t="s">
        <v>256</v>
      </c>
      <c r="I239" s="337" t="str">
        <f>IF(ISBLANK(input_cluster_az2_principal_storage_pool_end_ip),"Value Missing",input_cluster_az2_principal_storage_pool_end_ip)</f>
        <v>Value Missing</v>
      </c>
      <c r="K239" s="4" t="s">
        <v>592</v>
      </c>
      <c r="L239" s="337" t="str">
        <f>IF(ISBLANK(input_flt_net_cert_state),"Value Missing",input_flt_net_cert_state)</f>
        <v>Value Missing</v>
      </c>
    </row>
    <row r="240" spans="2:12" ht="20.05" customHeight="1" x14ac:dyDescent="0.35">
      <c r="B240" s="17" t="s">
        <v>2394</v>
      </c>
      <c r="C240" s="337" t="str">
        <f>IF(ISBLANK(input_flt_vidb_system_user_alias),"Value Missing",input_flt_vidb_system_user_alias)</f>
        <v>Value Missing</v>
      </c>
      <c r="H240" s="532" t="s">
        <v>2395</v>
      </c>
      <c r="I240" s="534"/>
      <c r="K240" s="4" t="s">
        <v>593</v>
      </c>
      <c r="L240" s="337" t="str">
        <f>IF(ISBLANK(flt_net_cert_key_length_chosen),"Value Missing",flt_net_cert_key_length_chosen)</f>
        <v>4096</v>
      </c>
    </row>
    <row r="241" spans="2:12" ht="20.05" customHeight="1" x14ac:dyDescent="0.35">
      <c r="B241" s="22" t="s">
        <v>2396</v>
      </c>
      <c r="C241" s="337" t="str">
        <f>IF(ISBLANK(input_flt_vidb_system_user_password),"Value Missing",input_flt_vidb_system_user_password)</f>
        <v>Value Missing</v>
      </c>
      <c r="H241" s="22" t="s">
        <v>2397</v>
      </c>
      <c r="I241" s="337" t="str">
        <f>IF(ISBLANK(input_cluster_az2_secondary_storage_vlan),"Value Missing",input_cluster_az2_secondary_storage_vlan)</f>
        <v>Value Missing</v>
      </c>
      <c r="K241" s="4" t="s">
        <v>733</v>
      </c>
      <c r="L241" s="337" t="str">
        <f>IF(ISBLANK(input_flt_net_nodea_fqdn),"Value Missing",input_flt_net_nodea_fqdn)</f>
        <v>Value Missing</v>
      </c>
    </row>
    <row r="242" spans="2:12" ht="20.05" customHeight="1" x14ac:dyDescent="0.35">
      <c r="B242" s="22" t="s">
        <v>2398</v>
      </c>
      <c r="C242" s="337" t="str">
        <f>IF(ISBLANK(input_flt_vidb_system_user_description),"Value Missing",input_flt_vidb_system_user_description)</f>
        <v>Value Missing</v>
      </c>
      <c r="H242" s="22" t="s">
        <v>160</v>
      </c>
      <c r="I242" s="337" t="str">
        <f>IF(ISBLANK(input_cluster_az2_secondary_storage_mtu),"Value Missing",input_cluster_az2_secondary_storage_mtu)</f>
        <v>Value Missing</v>
      </c>
      <c r="K242" s="4" t="s">
        <v>734</v>
      </c>
      <c r="L242" s="337" t="str">
        <f>IF(ISBLANK(input_flt_net_nodeb_fqdn),"Value Missing",input_flt_net_nodeb_fqdn)</f>
        <v>Value Missing</v>
      </c>
    </row>
    <row r="243" spans="2:12" ht="20.05" customHeight="1" x14ac:dyDescent="0.35">
      <c r="B243" s="32"/>
      <c r="C243" s="32"/>
      <c r="H243" s="22" t="s">
        <v>2399</v>
      </c>
      <c r="I243" s="337" t="str">
        <f>IF(ISBLANK(input_cluster_az2_secondary_storage_network),"Value Missing",input_cluster_az2_secondary_storage_network)</f>
        <v>Value Missing</v>
      </c>
      <c r="K243" s="4" t="s">
        <v>735</v>
      </c>
      <c r="L243" s="337" t="str">
        <f>IF(ISBLANK(input_flt_net_nodec_fqdn),"Value Missing",input_flt_net_nodec_fqdn)</f>
        <v>Value Missing</v>
      </c>
    </row>
    <row r="244" spans="2:12" ht="20.05" customHeight="1" x14ac:dyDescent="0.35">
      <c r="B244" s="361" t="s">
        <v>2400</v>
      </c>
      <c r="C244" s="337" t="str">
        <f>IF(ISBLANK(input_mgmt_az1_en1_eth0_uplink0),"Value Missing",input_mgmt_az1_en1_eth0_uplink0)</f>
        <v>Value Missing</v>
      </c>
      <c r="H244" s="22" t="s">
        <v>253</v>
      </c>
      <c r="I244" s="337" t="str">
        <f>IF(ISBLANK(input_cluster_az2_secondary_storage_mask),"Value Missing",input_cluster_az2_secondary_storage_mask)</f>
        <v>Value Missing</v>
      </c>
      <c r="K244" s="4" t="s">
        <v>2401</v>
      </c>
      <c r="L244" s="337" t="str">
        <f>IF(ISBLANK(input_flt_net_prxy_fqdn),"Value Missing",input_flt_net_prxy_fqdn)</f>
        <v>Value Missing</v>
      </c>
    </row>
    <row r="245" spans="2:12" ht="20.05" customHeight="1" x14ac:dyDescent="0.35">
      <c r="B245" s="361" t="s">
        <v>2402</v>
      </c>
      <c r="C245" s="337" t="str">
        <f>IF(ISBLANK(input_mgmt_az1_en1_eth0_uplink1),"Value Missing",input_mgmt_az1_en1_eth0_uplink1)</f>
        <v>Value Missing</v>
      </c>
      <c r="H245" s="22" t="s">
        <v>254</v>
      </c>
      <c r="I245" s="337" t="str">
        <f>IF(ISBLANK(input_cluster_az2_secondary_storage_gateway_ip),"Value Missing",input_cluster_az2_secondary_storage_gateway_ip)</f>
        <v>Value Missing</v>
      </c>
      <c r="K245" s="4" t="s">
        <v>737</v>
      </c>
      <c r="L245" s="337" t="str">
        <f>IF(ISBLANK(input_flt_net_nodea_ip),"Value Missing",input_flt_net_nodea_ip)</f>
        <v>Value Missing</v>
      </c>
    </row>
    <row r="246" spans="2:12" ht="20.05" customHeight="1" x14ac:dyDescent="0.35">
      <c r="B246" s="361" t="s">
        <v>2403</v>
      </c>
      <c r="C246" s="337" t="str">
        <f>IF(ISBLANK(input_mgmt_az1_en1_eth1_uplink0),"Value Missing",input_mgmt_az1_en1_eth1_uplink0)</f>
        <v>Value Missing</v>
      </c>
      <c r="H246" s="22" t="s">
        <v>255</v>
      </c>
      <c r="I246" s="337" t="str">
        <f>IF(ISBLANK(input_cluster_az2_secondary_storage_pool_start_ip),"Value Missing",input_cluster_az2_secondary_storage_pool_start_ip)</f>
        <v>Value Missing</v>
      </c>
      <c r="K246" s="4" t="s">
        <v>738</v>
      </c>
      <c r="L246" s="337" t="str">
        <f>IF(ISBLANK(input_flt_net_nodeb_ip),"Value Missing",input_flt_net_nodeb_ip)</f>
        <v>Value Missing</v>
      </c>
    </row>
    <row r="247" spans="2:12" ht="20.05" customHeight="1" x14ac:dyDescent="0.35">
      <c r="B247" s="361" t="s">
        <v>2404</v>
      </c>
      <c r="C247" s="337" t="str">
        <f>IF(ISBLANK(input_mgmt_az1_en1_eth1_uplink1),"Value Missing",input_mgmt_az1_en1_eth1_uplink1)</f>
        <v>Value Missing</v>
      </c>
      <c r="H247" s="22" t="s">
        <v>256</v>
      </c>
      <c r="I247" s="337" t="str">
        <f>IF(ISBLANK(input_cluster_az2_secondary_storage_pool_end_ip),"Value Missing",input_cluster_az2_secondary_storage_pool_end_ip)</f>
        <v>Value Missing</v>
      </c>
      <c r="K247" s="4" t="s">
        <v>739</v>
      </c>
      <c r="L247" s="337" t="str">
        <f>IF(ISBLANK(input_flt_net_nodec_ip),"Value Missing",input_flt_net_nodec_ip)</f>
        <v>Value Missing</v>
      </c>
    </row>
    <row r="248" spans="2:12" ht="20.05" customHeight="1" x14ac:dyDescent="0.35">
      <c r="B248" s="361" t="s">
        <v>2405</v>
      </c>
      <c r="C248" s="337" t="str">
        <f>IF(ISBLANK(input_mgmt_az1_en2_eth0_uplink0),"Value Missing",input_mgmt_az1_en2_eth0_uplink0)</f>
        <v>Value Missing</v>
      </c>
      <c r="H248" s="532" t="s">
        <v>805</v>
      </c>
      <c r="I248" s="534"/>
      <c r="K248" s="4" t="s">
        <v>2406</v>
      </c>
      <c r="L248" s="337" t="str">
        <f>IF(ISBLANK(input_flt_net_prxy_ip),"Value Missing",input_flt_net_prxy_ip)</f>
        <v>Value Missing</v>
      </c>
    </row>
    <row r="249" spans="2:12" ht="20.05" customHeight="1" x14ac:dyDescent="0.35">
      <c r="B249" s="361" t="s">
        <v>2407</v>
      </c>
      <c r="C249" s="337" t="str">
        <f>IF(ISBLANK(input_mgmt_az1_en2_eth0_uplink1),"Value Missing",input_mgmt_az1_en2_eth0_uplink1)</f>
        <v>Value Missing</v>
      </c>
      <c r="H249" s="4" t="s">
        <v>85</v>
      </c>
      <c r="I249" s="337" t="str">
        <f>IF(ISBLANK(input_cluster_az2_storage_cluster_vlan),"Value Missing",input_cluster_az2_storage_cluster_vlan)</f>
        <v>Value Missing</v>
      </c>
      <c r="K249" s="4" t="s">
        <v>2408</v>
      </c>
      <c r="L249" s="337" t="str">
        <f>IF(flt_net_nodea_fqdn="Value Missing",flt_net_nodea_fqdn,LEFT(flt_net_nodea_fqdn,FIND(".",flt_net_nodea_fqdn)-1))</f>
        <v>Value Missing</v>
      </c>
    </row>
    <row r="250" spans="2:12" ht="20.05" customHeight="1" x14ac:dyDescent="0.35">
      <c r="B250" s="361" t="s">
        <v>2409</v>
      </c>
      <c r="C250" s="337" t="str">
        <f>IF(ISBLANK(input_mgmt_az1_en2_eth1_uplink0),"Value Missing",input_mgmt_az1_en2_eth1_uplink0)</f>
        <v>Value Missing</v>
      </c>
      <c r="H250" s="4" t="s">
        <v>160</v>
      </c>
      <c r="I250" s="337" t="str">
        <f>IF(ISBLANK(input_cluster_az2_storage_cluster_mtu),"Value Missing",input_cluster_az2_storage_cluster_mtu)</f>
        <v>Value Missing</v>
      </c>
      <c r="K250" s="4" t="s">
        <v>2410</v>
      </c>
      <c r="L250" s="337" t="str">
        <f>IF(flt_net_nodeb_fqdn="Value Missing",flt_net_nodeb_fqdn,LEFT(flt_net_nodeb_fqdn,FIND(".",flt_net_nodeb_fqdn)-1))</f>
        <v>Value Missing</v>
      </c>
    </row>
    <row r="251" spans="2:12" ht="20.05" customHeight="1" x14ac:dyDescent="0.35">
      <c r="B251" s="361" t="s">
        <v>2411</v>
      </c>
      <c r="C251" s="337" t="str">
        <f>IF(ISBLANK(input_mgmt_az1_en2_eth1_uplink1),"Value Missing",input_mgmt_az1_en2_eth1_uplink1)</f>
        <v>Value Missing</v>
      </c>
      <c r="H251" s="4" t="s">
        <v>252</v>
      </c>
      <c r="I251" s="337" t="str">
        <f>IF(ISBLANK(input_cluster_az2_storage_cluster_network),"Value Missing",input_cluster_az2_storage_cluster_network)</f>
        <v>Value Missing</v>
      </c>
      <c r="K251" s="4" t="s">
        <v>2412</v>
      </c>
      <c r="L251" s="337" t="str">
        <f>IF(flt_net_nodec_fqdn="Value Missing",flt_net_nodec_fqdn,LEFT(flt_net_nodec_fqdn,FIND(".",flt_net_nodec_fqdn)-1))</f>
        <v>Value Missing</v>
      </c>
    </row>
    <row r="252" spans="2:12" ht="20.05" customHeight="1" x14ac:dyDescent="0.35">
      <c r="B252" s="361"/>
      <c r="H252" s="4" t="s">
        <v>285</v>
      </c>
      <c r="I252" s="337" t="str">
        <f>IF(ISBLANK(input_cluster_az2_storage_cluster_mask),"Value Missing",input_cluster_az2_storage_cluster_mask)</f>
        <v>Value Missing</v>
      </c>
      <c r="K252" s="4" t="s">
        <v>2413</v>
      </c>
      <c r="L252" s="337" t="str">
        <f>IF(flt_net_prxy_fqdn="Value Missing",flt_net_prxy_fqdn,LEFT(flt_net_prxy_fqdn,FIND(".",flt_net_prxy_fqdn)-1))</f>
        <v>Value Missing</v>
      </c>
    </row>
    <row r="253" spans="2:12" ht="20.05" customHeight="1" x14ac:dyDescent="0.35">
      <c r="B253" s="361" t="s">
        <v>2414</v>
      </c>
      <c r="C253" s="337" t="str">
        <f>IF(ISBLANK(input_wld_az1_en1_eth0_uplink0),"Value Missing",input_wld_az1_en1_eth0_uplink0)</f>
        <v>Value Missing</v>
      </c>
      <c r="H253" s="4" t="s">
        <v>460</v>
      </c>
      <c r="I253" s="337" t="str">
        <f>IF(OR(cluster_az2_storage_cluster_network="Value Missing",cluster_az2_storage_cluster_mask="Value Missing"),"Value Missing",(CONCATENATE(cluster_az2_storage_cluster_network,"/",VLOOKUP(cluster_az2_storage_cluster_mask,table_mask_to_cidr,2,FALSE))))</f>
        <v>Value Missing</v>
      </c>
      <c r="K253" s="4" t="s">
        <v>599</v>
      </c>
    </row>
    <row r="254" spans="2:12" ht="20.05" customHeight="1" x14ac:dyDescent="0.35">
      <c r="B254" s="361" t="s">
        <v>2415</v>
      </c>
      <c r="C254" s="337" t="str">
        <f>IF(ISBLANK(input_wld_az1_en1_eth0_uplink1),"Value Missing",input_wld_az1_en1_eth0_uplink1)</f>
        <v>Value Missing</v>
      </c>
      <c r="H254" s="4" t="s">
        <v>187</v>
      </c>
      <c r="I254" s="337" t="str">
        <f>IF(ISBLANK(input_cluster_az2_storage_cluster_gateway_ip),"Value Missing",input_cluster_az2_storage_cluster_gateway_ip)</f>
        <v>Value Missing</v>
      </c>
      <c r="K254" s="4" t="s">
        <v>600</v>
      </c>
      <c r="L254" s="337" t="str">
        <f>IF(ISBLANK(input_flt_net_cluster),"Value Missing",input_flt_net_cluster)</f>
        <v>Value Missing</v>
      </c>
    </row>
    <row r="255" spans="2:12" ht="20.05" customHeight="1" x14ac:dyDescent="0.35">
      <c r="B255" s="361" t="s">
        <v>2416</v>
      </c>
      <c r="C255" s="337" t="str">
        <f>IF(ISBLANK(input_wld_az1_en1_eth1_uplink0),"Value Missing",input_wld_az1_en1_eth1_uplink0)</f>
        <v>Value Missing</v>
      </c>
      <c r="H255" s="17" t="s">
        <v>255</v>
      </c>
      <c r="I255" s="337" t="str">
        <f>IF(ISBLANK(input_cluster_az2_storage_cluster_pool_start_ip),"Value Missing",input_cluster_az2_storage_cluster_pool_start_ip)</f>
        <v>Value Missing</v>
      </c>
      <c r="K255" s="4" t="s">
        <v>601</v>
      </c>
      <c r="L255" s="337" t="str">
        <f>IF(ISBLANK(input_flt_net_folder),"Value Missing",input_flt_net_folder)</f>
        <v>Value Missing</v>
      </c>
    </row>
    <row r="256" spans="2:12" ht="20.05" customHeight="1" x14ac:dyDescent="0.35">
      <c r="B256" s="361" t="s">
        <v>2417</v>
      </c>
      <c r="C256" s="337" t="str">
        <f>IF(ISBLANK(input_wld_az1_en1_eth1_uplink1),"Value Missing",input_wld_az1_en1_eth1_uplink1)</f>
        <v>Value Missing</v>
      </c>
      <c r="H256" s="17" t="s">
        <v>256</v>
      </c>
      <c r="I256" s="337" t="str">
        <f>IF(ISBLANK(input_cluster_az2_storage_cluster_pool_end_ip),"Value Missing",input_cluster_az2_storage_cluster_pool_end_ip)</f>
        <v>Value Missing</v>
      </c>
      <c r="K256" s="4" t="s">
        <v>603</v>
      </c>
      <c r="L256" s="337" t="str">
        <f>IF(ISBLANK(input_flt_net_resource_pool),"Value Missing",input_flt_net_resource_pool)</f>
        <v>Value Missing</v>
      </c>
    </row>
    <row r="257" spans="2:12" ht="20.05" customHeight="1" x14ac:dyDescent="0.35">
      <c r="B257" s="361" t="s">
        <v>2418</v>
      </c>
      <c r="C257" s="337" t="str">
        <f>IF(ISBLANK(input_wld_az1_en2_eth0_uplink0),"Value Missing",input_wld_az1_en2_eth0_uplink0)</f>
        <v>Value Missing</v>
      </c>
      <c r="H257" s="22" t="s">
        <v>264</v>
      </c>
      <c r="I257" s="337"/>
      <c r="K257" s="4" t="s">
        <v>103</v>
      </c>
      <c r="L257" s="337" t="str">
        <f>IF(ISBLANK(input_flt_net_datastore),"Value Missing",input_flt_net_datastore)</f>
        <v>Value Missing</v>
      </c>
    </row>
    <row r="258" spans="2:12" ht="20.05" customHeight="1" x14ac:dyDescent="0.35">
      <c r="B258" s="361" t="s">
        <v>2419</v>
      </c>
      <c r="C258" s="337" t="str">
        <f>IF(ISBLANK(input_wld_az1_en2_eth0_uplink1),"Value Missing",input_wld_az1_en2_eth0_uplink1)</f>
        <v>Value Missing</v>
      </c>
      <c r="H258" s="22" t="s">
        <v>266</v>
      </c>
      <c r="I258" s="337"/>
      <c r="K258" s="4" t="s">
        <v>814</v>
      </c>
      <c r="L258" s="337" t="str">
        <f>IF(ISBLANK(input_flt_net_vcenter_fqdn),"Value Missing",input_flt_net_vcenter_fqdn)</f>
        <v>Value Missing</v>
      </c>
    </row>
    <row r="259" spans="2:12" ht="20.05" customHeight="1" x14ac:dyDescent="0.35">
      <c r="B259" s="361" t="s">
        <v>2420</v>
      </c>
      <c r="C259" s="337" t="str">
        <f>IF(ISBLANK(input_wld_az1_en2_eth1_uplink0),"Value Missing",input_wld_az1_en2_eth1_uplink0)</f>
        <v>Value Missing</v>
      </c>
      <c r="H259" s="22" t="s">
        <v>268</v>
      </c>
      <c r="I259" s="337"/>
      <c r="K259" s="4" t="s">
        <v>604</v>
      </c>
      <c r="L259" s="337" t="str">
        <f>IF(ISBLANK(input_flt_net_node_portgroup),"Value Missing",input_flt_net_node_portgroup)</f>
        <v>Value Missing</v>
      </c>
    </row>
    <row r="260" spans="2:12" ht="20.05" customHeight="1" x14ac:dyDescent="0.35">
      <c r="B260" s="361" t="s">
        <v>2421</v>
      </c>
      <c r="C260" s="337" t="str">
        <f>IF(ISBLANK(input_wld_az1_en2_eth1_uplink1),"Value Missing",input_wld_az1_en2_eth1_uplink1)</f>
        <v>Value Missing</v>
      </c>
      <c r="H260" s="22" t="s">
        <v>2422</v>
      </c>
      <c r="I260" s="337" t="str">
        <f>IF(ISBLANK(input_cluster_witnessaz_mgmt_vlan),"Value Missing",input_cluster_witnessaz_mgmt_vlan)</f>
        <v>Value Missing</v>
      </c>
      <c r="K260" s="4" t="s">
        <v>2372</v>
      </c>
      <c r="L260" s="337" t="str">
        <f>IF(ISBLANK(flt_net_disk_mode_chosen),"Value Missing",flt_net_disk_mode_chosen)</f>
        <v>Thin</v>
      </c>
    </row>
    <row r="261" spans="2:12" ht="20.05" customHeight="1" x14ac:dyDescent="0.35">
      <c r="H261" s="22" t="s">
        <v>2423</v>
      </c>
      <c r="I261" s="337" t="str">
        <f>IF(ISBLANK(input_cluster_witnessaz_mgmt_gateway_ip),"Value Missing",input_cluster_witnessaz_mgmt_gateway_ip)</f>
        <v>Value Missing</v>
      </c>
      <c r="K261" s="4" t="s">
        <v>2351</v>
      </c>
      <c r="L261" s="337" t="str">
        <f>IF(ISBLANK(input_flt_net_node_gateway_ip),"Value Missing",input_flt_net_node_gateway_ip)</f>
        <v>Value Missing</v>
      </c>
    </row>
    <row r="262" spans="2:12" ht="20.05" customHeight="1" x14ac:dyDescent="0.35">
      <c r="H262" s="22" t="s">
        <v>2424</v>
      </c>
      <c r="I262" s="337" t="str">
        <f>IF(ISBLANK(input_cluster_witnessaz_mgmt_cidr),"Value Missing",input_cluster_witnessaz_mgmt_cidr)</f>
        <v>Value Missing</v>
      </c>
      <c r="K262" s="4" t="s">
        <v>2352</v>
      </c>
      <c r="L262" s="337" t="str">
        <f>IF(ISBLANK(input_flt_net_node_mask),"Value Missing",input_flt_net_node_mask)</f>
        <v>Value Missing</v>
      </c>
    </row>
    <row r="263" spans="2:12" ht="20.05" customHeight="1" x14ac:dyDescent="0.35">
      <c r="H263" s="22" t="s">
        <v>2425</v>
      </c>
      <c r="I263" s="337" t="str">
        <f>IF(ISBLANK(input_cluster_witnessaz_mgmt_mtu),"Value Missing",input_cluster_witnessaz_mgmt_mtu)</f>
        <v>Value Missing</v>
      </c>
      <c r="K263" s="4" t="s">
        <v>606</v>
      </c>
    </row>
    <row r="264" spans="2:12" ht="20.05" customHeight="1" x14ac:dyDescent="0.35">
      <c r="H264" s="22" t="s">
        <v>273</v>
      </c>
      <c r="I264" s="337" t="str">
        <f>IF(ISBLANK(input_cluster_witness_zone_vc_fqdn),"Value Missing",input_cluster_witness_zone_vc_fqdn)</f>
        <v>Value Missing</v>
      </c>
      <c r="K264" s="4" t="s">
        <v>607</v>
      </c>
    </row>
    <row r="265" spans="2:12" ht="20.05" customHeight="1" x14ac:dyDescent="0.35">
      <c r="H265" s="22" t="s">
        <v>276</v>
      </c>
      <c r="I265" s="337" t="str">
        <f t="array" ref="I265">IF(ISBLANK(input_cluster_witness_hostname),"Value Missing",input_cluster_witness_hostname)</f>
        <v>Value Missing</v>
      </c>
      <c r="K265" s="4" t="s">
        <v>608</v>
      </c>
    </row>
    <row r="266" spans="2:12" ht="20.05" customHeight="1" x14ac:dyDescent="0.35">
      <c r="H266" s="22" t="s">
        <v>277</v>
      </c>
      <c r="I266" s="337" t="str">
        <f>IF(ISBLANK(input_cluster_witness_cluster),"Value Missing",input_cluster_witness_cluster)</f>
        <v>Value Missing</v>
      </c>
      <c r="K266" s="4" t="s">
        <v>299</v>
      </c>
    </row>
    <row r="267" spans="2:12" ht="20.05" customHeight="1" x14ac:dyDescent="0.35">
      <c r="H267" s="22" t="s">
        <v>278</v>
      </c>
      <c r="I267" s="337" t="str">
        <f>IF(ISBLANK(input_cluster_witness_vm_folder),"Value Missing",input_cluster_witness_vm_folder)</f>
        <v>Value Missing</v>
      </c>
      <c r="K267" s="4" t="s">
        <v>611</v>
      </c>
    </row>
    <row r="268" spans="2:12" ht="20.05" customHeight="1" x14ac:dyDescent="0.35">
      <c r="H268" s="22" t="s">
        <v>279</v>
      </c>
      <c r="I268" s="337" t="str">
        <f>IF(ISBLANK(input_cluster_witness_vsan_datastore),"Value Missing",input_cluster_witness_vsan_datastore)</f>
        <v>Value Missing</v>
      </c>
      <c r="K268" s="4" t="s">
        <v>612</v>
      </c>
    </row>
    <row r="269" spans="2:12" ht="20.05" customHeight="1" x14ac:dyDescent="0.35">
      <c r="H269" s="22" t="s">
        <v>280</v>
      </c>
      <c r="I269" s="337" t="str">
        <f>IF(ISBLANK(input_cluster_witness_mgmt_pg),"Value Missing",input_cluster_witness_mgmt_pg)</f>
        <v>Value Missing</v>
      </c>
      <c r="K269" s="4" t="s">
        <v>706</v>
      </c>
      <c r="L269" s="337" t="str">
        <f>IF(ISBLANK(input_flt_net_admin_password_alias),"Value Missing",input_flt_net_admin_password_alias)</f>
        <v>Value Missing</v>
      </c>
    </row>
    <row r="270" spans="2:12" ht="20.05" customHeight="1" x14ac:dyDescent="0.35">
      <c r="H270" s="22" t="s">
        <v>281</v>
      </c>
      <c r="I270" s="337"/>
      <c r="K270" s="4" t="s">
        <v>199</v>
      </c>
      <c r="L270" s="337" t="str">
        <f>IF(ISBLANK(input_flt_net_admin_password),"Value Missing",input_flt_net_admin_password)</f>
        <v>Value Missing</v>
      </c>
    </row>
    <row r="271" spans="2:12" ht="20.05" customHeight="1" x14ac:dyDescent="0.35">
      <c r="H271" s="22" t="s">
        <v>283</v>
      </c>
      <c r="I271" s="337"/>
      <c r="K271" s="4" t="s">
        <v>707</v>
      </c>
      <c r="L271" s="337" t="str">
        <f>IF(ISBLANK(input_flt_net_admin_password_description),"Value Missing",input_flt_net_admin_password_description)</f>
        <v>Value Missing</v>
      </c>
    </row>
    <row r="272" spans="2:12" ht="20.05" customHeight="1" x14ac:dyDescent="0.35">
      <c r="H272" s="22" t="s">
        <v>285</v>
      </c>
      <c r="I272" s="337" t="str">
        <f>IF(cluster_witnessaz_mgmt_cidr="Value Missing","Value Missing",VLOOKUP(INT(RIGHT(cluster_witnessaz_mgmt_cidr,LEN(cluster_witnessaz_mgmt_cidr)-FIND("/",cluster_witnessaz_mgmt_cidr))),table_cidr_to_mask,2,FALSE))</f>
        <v>Value Missing</v>
      </c>
      <c r="K272" s="4" t="s">
        <v>709</v>
      </c>
      <c r="L272" s="337" t="str">
        <f>IF(ISBLANK(input_flt_net_admin_username),"Value Missing",input_flt_net_admin_username)</f>
        <v>Value Missing</v>
      </c>
    </row>
    <row r="273" spans="8:12" ht="20.05" customHeight="1" x14ac:dyDescent="0.35">
      <c r="H273" s="22" t="s">
        <v>287</v>
      </c>
      <c r="I273" s="337" t="str">
        <f>IF(ISBLANK(input_cluster_witness_ip),"Value Missing",input_cluster_witness_ip)</f>
        <v>Value Missing</v>
      </c>
      <c r="K273" s="4" t="s">
        <v>299</v>
      </c>
    </row>
    <row r="274" spans="8:12" ht="20.05" customHeight="1" x14ac:dyDescent="0.35">
      <c r="H274" s="22"/>
      <c r="I274" s="337"/>
      <c r="K274" s="4" t="s">
        <v>744</v>
      </c>
      <c r="L274" s="337" t="str">
        <f t="array" ref="L274">IF(ISBLANK(input_flt_net_platform_password),"Value Missing",input_flt_net_platform_password)</f>
        <v>Value Missing</v>
      </c>
    </row>
    <row r="275" spans="8:12" ht="20.05" customHeight="1" x14ac:dyDescent="0.35">
      <c r="H275" s="22" t="s">
        <v>288</v>
      </c>
      <c r="I275" s="337" t="str">
        <f>IF(ISBLANK(input_cluster_witness_dns1_ip),"Value Missing",input_cluster_witness_dns1_ip)</f>
        <v>Value Missing</v>
      </c>
      <c r="K275" s="4" t="s">
        <v>745</v>
      </c>
      <c r="L275" s="337" t="str">
        <f>IF(ISBLANK(input_flt_net_support_password),"Value Missing",input_flt_net_support_password)</f>
        <v>Value Missing</v>
      </c>
    </row>
    <row r="276" spans="8:12" ht="20.05" customHeight="1" x14ac:dyDescent="0.35">
      <c r="H276" s="22" t="s">
        <v>290</v>
      </c>
      <c r="I276" s="337" t="str">
        <f t="array" ref="I276">IF(ISBLANK(input_cluster_witness_dns2_ip),"Value Missing",input_cluster_witness_dns2_ip)</f>
        <v>Value Missing</v>
      </c>
      <c r="K276" s="4" t="s">
        <v>746</v>
      </c>
      <c r="L276" s="337" t="str">
        <f>IF(ISBLANK(input_flt_net_console_password),"Value Missing",input_flt_net_console_password)</f>
        <v>Value Missing</v>
      </c>
    </row>
    <row r="277" spans="8:12" ht="20.05" customHeight="1" x14ac:dyDescent="0.35">
      <c r="H277" s="22" t="s">
        <v>292</v>
      </c>
      <c r="I277" s="337" t="str">
        <f>IF(ISBLANK(input_cluster_witness_ntp1_server),"Value Missing",input_cluster_witness_ntp1_server)</f>
        <v>Value Missing</v>
      </c>
      <c r="K277" s="4" t="s">
        <v>624</v>
      </c>
      <c r="L277" s="337" t="str">
        <f>IF(ISBLANK(input_flt_net_vcenter_list),"Value Missing",input_flt_net_vcenter_list)</f>
        <v>Value Missing</v>
      </c>
    </row>
    <row r="278" spans="8:12" ht="20.05" customHeight="1" x14ac:dyDescent="0.35">
      <c r="H278" s="22" t="s">
        <v>293</v>
      </c>
      <c r="I278" s="337" t="str">
        <f>IF(ISBLANK(input_cluster_witness_ntp2_server),"Value Missing",input_cluster_witness_ntp2_server)</f>
        <v>Value Missing</v>
      </c>
      <c r="K278" s="4" t="s">
        <v>2426</v>
      </c>
      <c r="L278" s="337" t="str">
        <f>IF(ISBLANK(input_flt_net_prxy_portgroup),"Value Missing",input_flt_net_prxy_portgroup)</f>
        <v>Value Missing</v>
      </c>
    </row>
    <row r="279" spans="8:12" ht="20.05" customHeight="1" x14ac:dyDescent="0.35">
      <c r="H279" s="22" t="s">
        <v>273</v>
      </c>
      <c r="I279" s="337" t="str">
        <f>IF(ISBLANK(input_cluster_vc_fqdn),"Value Missing",input_cluster_vc_fqdn)</f>
        <v>Value Missing</v>
      </c>
      <c r="K279" s="4" t="s">
        <v>2170</v>
      </c>
      <c r="L279" s="337" t="str">
        <f>IF(ISBLANK(input_flt_net_prxy_mask),"Value Missing",input_flt_net_prxy_mask)</f>
        <v>Value Missing</v>
      </c>
    </row>
    <row r="280" spans="8:12" ht="20.05" customHeight="1" x14ac:dyDescent="0.35">
      <c r="H280" s="22" t="s">
        <v>295</v>
      </c>
      <c r="I280" s="337" t="str">
        <f>IF(ISBLANK(input_cluster_datacenter),"Value Missing",input_cluster_datacenter)</f>
        <v>Value Missing</v>
      </c>
      <c r="K280" s="4" t="s">
        <v>543</v>
      </c>
      <c r="L280" s="337" t="str">
        <f>IF(ISBLANK(input_flt_net_prxy_gateway_ip),"Value Missing",input_flt_net_prxy_gateway_ip)</f>
        <v>Value Missing</v>
      </c>
    </row>
    <row r="281" spans="8:12" ht="20.05" customHeight="1" x14ac:dyDescent="0.35">
      <c r="H281" s="22" t="s">
        <v>38</v>
      </c>
      <c r="I281" s="337" t="str">
        <f>IF(ISBLANK(input_cluster_witness_fqdn),"Value Missing",input_cluster_witness_fqdn)</f>
        <v>Value Missing</v>
      </c>
      <c r="K281" s="4" t="s">
        <v>2427</v>
      </c>
      <c r="L281" s="337" t="str">
        <f>IF(ISBLANK(flt_net_nodea_size_chosen),"Value Missing",flt_net_nodea_size_chosen)</f>
        <v>Large</v>
      </c>
    </row>
    <row r="282" spans="8:12" ht="20.05" customHeight="1" x14ac:dyDescent="0.35">
      <c r="H282" s="22" t="s">
        <v>337</v>
      </c>
      <c r="I282" s="337" t="str">
        <f>IF(ISBLANK(input_cluster_az2_host_overlay_network_profile_name),"Value Missing",input_cluster_az2_host_overlay_network_profile_name)</f>
        <v>Value Missing</v>
      </c>
      <c r="K282" s="4" t="s">
        <v>2428</v>
      </c>
      <c r="L282" s="337" t="str">
        <f>IF(ISBLANK(flt_net_nodeb_size_chosen),"Value Missing",flt_net_nodeb_size_chosen)</f>
        <v>Large</v>
      </c>
    </row>
    <row r="283" spans="8:12" ht="20.05" customHeight="1" x14ac:dyDescent="0.35">
      <c r="H283" s="22" t="s">
        <v>340</v>
      </c>
      <c r="I283" s="337" t="str">
        <f>IF(ISBLANK(input_cluster_az2_host_overlay_network_pool_name),"Value Missing",input_cluster_az2_host_overlay_network_pool_name)</f>
        <v>Value Missing</v>
      </c>
      <c r="K283" s="4" t="s">
        <v>2429</v>
      </c>
      <c r="L283" s="337" t="str">
        <f>IF(ISBLANK(flt_net_nodec_size_chosen),"Value Missing",flt_net_nodec_size_chosen)</f>
        <v>Large</v>
      </c>
    </row>
    <row r="284" spans="8:12" ht="20.05" customHeight="1" x14ac:dyDescent="0.35">
      <c r="H284" s="22" t="s">
        <v>341</v>
      </c>
      <c r="I284" s="337" t="str">
        <f>IF(ISBLANK(input_cluster_az2_host_overlay_uplink_profile_name),"Value Missing",input_cluster_az2_host_overlay_uplink_profile_name)</f>
        <v>Value Missing</v>
      </c>
      <c r="K284" s="4" t="s">
        <v>2430</v>
      </c>
      <c r="L284" s="337" t="str">
        <f>IF(ISBLANK(flt_net_prxy_size_chosen),"Value Missing",flt_net_prxy_size_chosen)</f>
        <v>Medium</v>
      </c>
    </row>
    <row r="285" spans="8:12" ht="20.05" customHeight="1" x14ac:dyDescent="0.35">
      <c r="H285" s="22" t="s">
        <v>2431</v>
      </c>
      <c r="I285" s="337" t="str">
        <f>IF(ISBLANK(input_cluster_az2_host_overlay_vlan),"Value Missing",input_cluster_az2_host_overlay_vlan)</f>
        <v>Value Missing</v>
      </c>
    </row>
    <row r="286" spans="8:12" ht="20.05" customHeight="1" x14ac:dyDescent="0.35">
      <c r="H286" s="22" t="s">
        <v>188</v>
      </c>
      <c r="I286" s="337" t="str">
        <f>IF(ISBLANK(input_cluster_az2_host_overlay_cidr),"Value Missing",input_cluster_az2_host_overlay_cidr)</f>
        <v>Value Missing</v>
      </c>
      <c r="K286" s="391" t="s">
        <v>2432</v>
      </c>
      <c r="L286" s="391"/>
    </row>
    <row r="287" spans="8:12" ht="20.05" customHeight="1" x14ac:dyDescent="0.35">
      <c r="H287" s="22" t="s">
        <v>254</v>
      </c>
      <c r="I287" s="337" t="str">
        <f>IF(ISBLANK(input_cluster_az2_host_overlay_gateway_ip),"Value Missing",input_cluster_az2_host_overlay_gateway_ip)</f>
        <v>Value Missing</v>
      </c>
      <c r="K287" s="336" t="s">
        <v>261</v>
      </c>
      <c r="L287" s="184" t="s">
        <v>19</v>
      </c>
    </row>
    <row r="288" spans="8:12" ht="20.05" customHeight="1" x14ac:dyDescent="0.35">
      <c r="H288" s="22" t="s">
        <v>255</v>
      </c>
      <c r="I288" s="337" t="str">
        <f>IF(ISBLANK(input_cluster_az2_host_overlay_pool_start_ip),"Value Missing",input_cluster_az2_host_overlay_pool_start_ip)</f>
        <v>Value Missing</v>
      </c>
      <c r="K288" s="4" t="s">
        <v>541</v>
      </c>
      <c r="L288" s="337" t="str">
        <f>IF(ISBLANK(input_flt_net_vcenter_list),"Value Missing",input_flt_net_vcenter_list)</f>
        <v>Value Missing</v>
      </c>
    </row>
    <row r="289" spans="8:12" ht="20.05" customHeight="1" x14ac:dyDescent="0.35">
      <c r="H289" s="22" t="s">
        <v>256</v>
      </c>
      <c r="I289" s="337" t="str">
        <f>IF(ISBLANK(input_cluster_az2_host_overlay_pool_end_ip),"Value Missing",input_cluster_az2_host_overlay_pool_end_ip)</f>
        <v>Value Missing</v>
      </c>
      <c r="K289" s="4" t="s">
        <v>542</v>
      </c>
      <c r="L289" s="337" t="str">
        <f>IF(ISBLANK(input_flt_net_vcenter_list),"Value Missing",input_flt_net_vcenter_list)</f>
        <v>Value Missing</v>
      </c>
    </row>
    <row r="290" spans="8:12" ht="20.05" customHeight="1" x14ac:dyDescent="0.35">
      <c r="H290" s="22" t="s">
        <v>351</v>
      </c>
      <c r="I290" s="337" t="str">
        <f>IF(ISBLANK(input_cluster_cluster_sddc_id),"Value Missing",input_cluster_cluster_sddc_id)</f>
        <v>Value Missing</v>
      </c>
      <c r="K290" s="4" t="s">
        <v>543</v>
      </c>
      <c r="L290" s="337" t="str">
        <f>IF(ISBLANK(input_flt_net_vcenter_list),"Value Missing",input_flt_net_vcenter_list)</f>
        <v>Value Missing</v>
      </c>
    </row>
    <row r="291" spans="8:12" ht="20.05" customHeight="1" x14ac:dyDescent="0.35">
      <c r="H291" s="22" t="s">
        <v>356</v>
      </c>
      <c r="I291" s="337" t="str">
        <f>IF(ISBLANK(input_cluster_nsxt_vip_fqdn),"Value Missing",input_cluster_nsxt_vip_fqdn)</f>
        <v>Value Missing</v>
      </c>
      <c r="K291" s="4" t="s">
        <v>547</v>
      </c>
      <c r="L291" s="337"/>
    </row>
    <row r="292" spans="8:12" ht="20.05" customHeight="1" x14ac:dyDescent="0.35">
      <c r="H292" s="22" t="s">
        <v>2433</v>
      </c>
      <c r="I292" s="337" t="str">
        <f>IF(ISBLANK(input_cluster_az2_host1_fqdn),"Value Missing",input_cluster_az2_host1_fqdn)</f>
        <v>Value Missing</v>
      </c>
      <c r="K292" s="4" t="s">
        <v>38</v>
      </c>
      <c r="L292" s="337" t="str">
        <f>IF(ISBLANK(input_flt_custom_network_flt_fqdn),"Value Missing",input_flt_custom_network_flt_fqdn)</f>
        <v>Value Missing</v>
      </c>
    </row>
    <row r="293" spans="8:12" ht="20.05" customHeight="1" x14ac:dyDescent="0.35">
      <c r="H293" s="22" t="s">
        <v>2434</v>
      </c>
      <c r="I293" s="337" t="str">
        <f>IF(ISBLANK(input_cluster_az2_host2_fqdn),"Value Missing",input_cluster_az2_host2_fqdn)</f>
        <v>Value Missing</v>
      </c>
      <c r="K293" s="4" t="s">
        <v>548</v>
      </c>
      <c r="L293" s="337" t="str">
        <f>IF(ISBLANK(input_flt_custom_network_flt_ip),"Value Missing",input_flt_custom_network_flt_ip)</f>
        <v>Value Missing</v>
      </c>
    </row>
    <row r="294" spans="8:12" ht="20.05" customHeight="1" x14ac:dyDescent="0.35">
      <c r="H294" s="22" t="s">
        <v>2435</v>
      </c>
      <c r="I294" s="337" t="str">
        <f>IF(ISBLANK(input_cluster_az2_host3_fqdn),"Value Missing",input_cluster_az2_host3_fqdn)</f>
        <v>Value Missing</v>
      </c>
      <c r="K294" s="4" t="s">
        <v>549</v>
      </c>
      <c r="L294" s="337" t="str">
        <f>IF(ISBLANK(input_flt_custom_network_flt_root_password),"Value Missing",input_flt_custom_network_flt_root_password)</f>
        <v>Value Missing</v>
      </c>
    </row>
    <row r="295" spans="8:12" ht="20.05" customHeight="1" x14ac:dyDescent="0.35">
      <c r="H295" s="22" t="s">
        <v>2436</v>
      </c>
      <c r="I295" s="337" t="str">
        <f>IF(ISBLANK(input_cluster_az2_host4_fqdn),"Value Missing",input_cluster_az2_host4_fqdn)</f>
        <v>Value Missing</v>
      </c>
      <c r="K295" s="4" t="s">
        <v>550</v>
      </c>
      <c r="L295" s="337" t="str">
        <f>IF(ISBLANK(input_flt_custom_network_flt_admin_password),"Value Missing",input_flt_custom_network_flt_admin_password)</f>
        <v>Value Missing</v>
      </c>
    </row>
    <row r="296" spans="8:12" ht="20.05" customHeight="1" x14ac:dyDescent="0.35">
      <c r="H296" s="22" t="s">
        <v>2437</v>
      </c>
      <c r="I296" s="337" t="str">
        <f>IF(ISBLANK(input_cluster_az2_host5_fqdn),"Value Missing",input_cluster_az2_host5_fqdn)</f>
        <v>Value Missing</v>
      </c>
      <c r="K296" s="4" t="s">
        <v>547</v>
      </c>
      <c r="L296" s="337"/>
    </row>
    <row r="297" spans="8:12" ht="20.05" customHeight="1" x14ac:dyDescent="0.35">
      <c r="H297" s="22" t="s">
        <v>2438</v>
      </c>
      <c r="I297" s="337" t="str">
        <f>IF(ISBLANK(input_cluster_az2_host6_fqdn),"Value Missing",input_cluster_az2_host6_fqdn)</f>
        <v>Value Missing</v>
      </c>
      <c r="K297" s="4" t="s">
        <v>2439</v>
      </c>
      <c r="L297" s="337" t="str">
        <f>IF(ISBLANK(input_flt_custom_network_ops_vip_fqdn),"Value Missing",input_flt_custom_network_ops_vip_fqdn)</f>
        <v>Value Missing</v>
      </c>
    </row>
    <row r="298" spans="8:12" ht="20.05" customHeight="1" x14ac:dyDescent="0.35">
      <c r="H298" s="22" t="s">
        <v>2440</v>
      </c>
      <c r="I298" s="337" t="str">
        <f>IF(ISBLANK(input_cluster_az2_host7_fqdn),"Value Missing",input_cluster_az2_host7_fqdn)</f>
        <v>Value Missing</v>
      </c>
      <c r="K298" s="4" t="s">
        <v>2441</v>
      </c>
      <c r="L298" s="337" t="str">
        <f>IF(ISBLANK(input_flt_custom_network_ops_nodea_fqdn),"Value Missing",input_flt_custom_network_ops_nodea_fqdn)</f>
        <v>Value Missing</v>
      </c>
    </row>
    <row r="299" spans="8:12" ht="20.05" customHeight="1" x14ac:dyDescent="0.35">
      <c r="H299" s="22" t="s">
        <v>2442</v>
      </c>
      <c r="I299" s="337" t="str">
        <f>IF(ISBLANK(input_cluster_az2_host8_fqdn),"Value Missing",input_cluster_az2_host8_fqdn)</f>
        <v>Value Missing</v>
      </c>
      <c r="K299" s="4" t="s">
        <v>2443</v>
      </c>
      <c r="L299" s="337" t="str">
        <f>IF(ISBLANK(input_flt_custom_network_ops_nodeb_fqdn),"Value Missing",input_flt_custom_network_ops_nodeb_fqdn)</f>
        <v>Value Missing</v>
      </c>
    </row>
    <row r="300" spans="8:12" ht="20.05" customHeight="1" x14ac:dyDescent="0.35">
      <c r="H300" s="22" t="s">
        <v>2444</v>
      </c>
      <c r="I300" s="337" t="str">
        <f>IF(ISBLANK(input_cluster_az2_host9_fqdn),"Value Missing",input_cluster_az2_host9_fqdn)</f>
        <v>Value Missing</v>
      </c>
      <c r="K300" s="4" t="s">
        <v>2445</v>
      </c>
      <c r="L300" s="337" t="str">
        <f>IF(ISBLANK(input_flt_custom_network_ops_nodec_fqdn),"Value Missing",input_flt_custom_network_ops_nodec_fqdn)</f>
        <v>Value Missing</v>
      </c>
    </row>
    <row r="301" spans="8:12" ht="20.05" customHeight="1" x14ac:dyDescent="0.35">
      <c r="H301" s="22" t="s">
        <v>2446</v>
      </c>
      <c r="I301" s="337" t="str">
        <f>IF(ISBLANK(input_cluster_az2_host10_fqdn),"Value Missing",input_cluster_az2_host10_fqdn)</f>
        <v>Value Missing</v>
      </c>
      <c r="K301" s="17" t="s">
        <v>2447</v>
      </c>
      <c r="L301" s="337" t="str">
        <f>IF(ISBLANK(input_flt_custom_network_ops_vip_ip),"Value Missing",input_flt_custom_network_ops_vip_ip)</f>
        <v>Value Missing</v>
      </c>
    </row>
    <row r="302" spans="8:12" ht="20.05" customHeight="1" x14ac:dyDescent="0.35">
      <c r="H302" s="22" t="s">
        <v>2448</v>
      </c>
      <c r="I302" s="337" t="str">
        <f>IF(ISBLANK(input_cluster_az2_host11_fqdn),"Value Missing",input_cluster_az2_host11_fqdn)</f>
        <v>Value Missing</v>
      </c>
      <c r="K302" s="17" t="s">
        <v>2449</v>
      </c>
      <c r="L302" s="337" t="str">
        <f>IF(ISBLANK(input_flt_custom_network_ops_nodea_ip),"Value Missing",input_flt_custom_network_ops_nodea_ip)</f>
        <v>Value Missing</v>
      </c>
    </row>
    <row r="303" spans="8:12" ht="20.05" customHeight="1" x14ac:dyDescent="0.35">
      <c r="H303" s="22" t="s">
        <v>2450</v>
      </c>
      <c r="I303" s="337" t="str">
        <f>IF(ISBLANK(input_cluster_az2_host12_fqdn),"Value Missing",input_cluster_az2_host12_fqdn)</f>
        <v>Value Missing</v>
      </c>
      <c r="K303" s="22" t="s">
        <v>2451</v>
      </c>
      <c r="L303" s="337" t="str">
        <f>IF(ISBLANK(input_flt_custom_network_ops_nodeb_ip),"Value Missing",input_flt_custom_network_ops_nodeb_ip)</f>
        <v>Value Missing</v>
      </c>
    </row>
    <row r="304" spans="8:12" ht="20.05" customHeight="1" x14ac:dyDescent="0.35">
      <c r="H304" s="22" t="s">
        <v>2452</v>
      </c>
      <c r="I304" s="337" t="str">
        <f>IF(ISBLANK(input_cluster_az2_host13_fqdn),"Value Missing",input_cluster_az2_host13_fqdn)</f>
        <v>Value Missing</v>
      </c>
      <c r="K304" s="22" t="s">
        <v>2453</v>
      </c>
      <c r="L304" s="337" t="str">
        <f>IF(ISBLANK(input_flt_custom_network_ops_nodec_ip),"Value Missing",input_flt_custom_network_ops_nodec_ip)</f>
        <v>Value Missing</v>
      </c>
    </row>
    <row r="305" spans="8:12" ht="20.05" customHeight="1" x14ac:dyDescent="0.35">
      <c r="H305" s="22" t="s">
        <v>2454</v>
      </c>
      <c r="I305" s="337" t="str">
        <f>IF(ISBLANK(input_cluster_az2_host14_fqdn),"Value Missing",input_cluster_az2_host14_fqdn)</f>
        <v>Value Missing</v>
      </c>
      <c r="K305" s="4" t="s">
        <v>561</v>
      </c>
      <c r="L305" s="337"/>
    </row>
    <row r="306" spans="8:12" ht="20.05" customHeight="1" x14ac:dyDescent="0.35">
      <c r="H306" s="22" t="s">
        <v>2455</v>
      </c>
      <c r="I306" s="337" t="str">
        <f>IF(ISBLANK(input_cluster_az2_host15_fqdn),"Value Missing",input_cluster_az2_host15_fqdn)</f>
        <v>Value Missing</v>
      </c>
      <c r="K306" s="4" t="s">
        <v>562</v>
      </c>
      <c r="L306" s="337" t="str">
        <f>IF(ISBLANK(input_flt_custom_network_ops_root_password),"Value Missing",input_flt_custom_network_ops_root_password)</f>
        <v>Value Missing</v>
      </c>
    </row>
    <row r="307" spans="8:12" ht="20.05" customHeight="1" x14ac:dyDescent="0.35">
      <c r="H307" s="22" t="s">
        <v>2456</v>
      </c>
      <c r="I307" s="337" t="str">
        <f>IF(ISBLANK(input_cluster_az2_host16_fqdn),"Value Missing",input_cluster_az2_host16_fqdn)</f>
        <v>Value Missing</v>
      </c>
      <c r="K307" s="4" t="s">
        <v>199</v>
      </c>
      <c r="L307" s="337" t="str">
        <f>IF(ISBLANK(input_flt_custom_network_ops_admin_password),"Value Missing",input_flt_custom_network_ops_admin_password)</f>
        <v>Value Missing</v>
      </c>
    </row>
    <row r="308" spans="8:12" ht="20.05" customHeight="1" x14ac:dyDescent="0.35">
      <c r="H308" s="22" t="s">
        <v>361</v>
      </c>
      <c r="I308" s="337" t="str">
        <f>IF(ISBLANK(input_cluster_az2_tor1_peer_asn),"Value Missing",input_cluster_az2_tor1_peer_asn)</f>
        <v>Value Missing</v>
      </c>
      <c r="K308" s="4" t="s">
        <v>2457</v>
      </c>
      <c r="L308" s="337" t="str">
        <f>IF(ISBLANK(input_flt_custom_network_ops_collector_fqdn),"Value Missing",input_flt_custom_network_ops_collector_fqdn)</f>
        <v>Value Missing</v>
      </c>
    </row>
    <row r="309" spans="8:12" ht="20.05" customHeight="1" x14ac:dyDescent="0.35">
      <c r="H309" s="22" t="s">
        <v>365</v>
      </c>
      <c r="I309" s="337" t="str">
        <f>IF(ISBLANK(input_cluster_az2_tor1_peer_ip),"Value Missing",input_cluster_az2_tor1_peer_ip)</f>
        <v>Value Missing</v>
      </c>
      <c r="K309" s="4" t="s">
        <v>283</v>
      </c>
      <c r="L309" s="337" t="str">
        <f>IF(ISBLANK(input_flt_custom_network_ops_collector_ip),"Value Missing",input_flt_custom_network_ops_collector_ip)</f>
        <v>Value Missing</v>
      </c>
    </row>
    <row r="310" spans="8:12" ht="20.05" customHeight="1" x14ac:dyDescent="0.35">
      <c r="H310" s="22" t="s">
        <v>366</v>
      </c>
      <c r="I310" s="337" t="str">
        <f>IF(ISBLANK(input_cluster_az2_tor2_peer_asn),"Value Missing",input_cluster_az2_tor2_peer_asn)</f>
        <v>Value Missing</v>
      </c>
      <c r="K310" s="4" t="s">
        <v>195</v>
      </c>
      <c r="L310" s="337" t="str">
        <f>IF(ISBLANK(input_flt_custom_network_ops_collector_version),"Value Missing",input_flt_custom_network_ops_collector_version)</f>
        <v>Value Missing</v>
      </c>
    </row>
    <row r="311" spans="8:12" ht="20.05" customHeight="1" x14ac:dyDescent="0.35">
      <c r="I311" s="337" t="str">
        <f>IF(ISBLANK(input_cluster_az2_tor2_peer_ip),"Value Missing",input_cluster_az2_tor2_peer_ip)</f>
        <v>Value Missing</v>
      </c>
      <c r="K311" s="4" t="s">
        <v>561</v>
      </c>
      <c r="L311" s="337"/>
    </row>
    <row r="312" spans="8:12" ht="20.05" customHeight="1" x14ac:dyDescent="0.35">
      <c r="I312" s="337" t="str">
        <f>IF(ISBLANK(input_cluster_host_overlay_transportzone),"Value Missing",input_cluster_host_overlay_transportzone)</f>
        <v>Value Missing</v>
      </c>
      <c r="K312" s="4" t="s">
        <v>562</v>
      </c>
      <c r="L312" s="337" t="str">
        <f>IF(ISBLANK(input_flt_custom_network_ops_collector_root_password),"Value Missing",input_flt_custom_network_ops_collector_root_password)</f>
        <v>Value Missing</v>
      </c>
    </row>
    <row r="313" spans="8:12" ht="20.05" customHeight="1" x14ac:dyDescent="0.35">
      <c r="K313" s="4" t="s">
        <v>2458</v>
      </c>
      <c r="L313" s="337" t="str">
        <f>IF(ISBLANK(input_flt_custom_network_auto_vip_fqdn),"Value Missing",input_flt_custom_network_auto_vip_fqdn)</f>
        <v>Value Missing</v>
      </c>
    </row>
    <row r="314" spans="8:12" ht="20.05" customHeight="1" x14ac:dyDescent="0.35">
      <c r="K314" s="4" t="s">
        <v>566</v>
      </c>
      <c r="L314" s="337" t="str">
        <f>IF(ISBLANK(input_flt_custom_network_auto_prefix),"Value Missing",input_flt_custom_network_auto_prefix)</f>
        <v>Value Missing</v>
      </c>
    </row>
    <row r="315" spans="8:12" ht="20.05" customHeight="1" x14ac:dyDescent="0.35">
      <c r="K315" s="4" t="s">
        <v>283</v>
      </c>
      <c r="L315" s="337" t="str">
        <f>IF(ISBLANK(input_flt_custom_network_auto_vip_ip),"Value Missing",input_flt_custom_network_auto_vip_ip)</f>
        <v>Value Missing</v>
      </c>
    </row>
    <row r="316" spans="8:12" ht="20.05" customHeight="1" x14ac:dyDescent="0.35">
      <c r="K316" s="4" t="s">
        <v>568</v>
      </c>
      <c r="L316" s="337" t="str">
        <f>IF(ISBLANK(input_flt_custom_network_auto_nodea_ip),"Value Missing",input_flt_custom_network_auto_nodea_ip)</f>
        <v>Value Missing</v>
      </c>
    </row>
    <row r="317" spans="8:12" ht="20.05" customHeight="1" x14ac:dyDescent="0.35">
      <c r="K317" s="4" t="s">
        <v>570</v>
      </c>
      <c r="L317" s="337" t="str">
        <f>IF(ISBLANK(input_flt_custom_network_auto_nodeb_ip),"Value Missing",input_flt_custom_network_auto_nodeb_ip)</f>
        <v>Value Missing</v>
      </c>
    </row>
    <row r="318" spans="8:12" ht="20.05" customHeight="1" x14ac:dyDescent="0.35">
      <c r="K318" s="4" t="s">
        <v>571</v>
      </c>
      <c r="L318" s="337" t="str">
        <f>IF(ISBLANK(input_flt_custom_network_auto_nodec_ip),"Value Missing",input_flt_custom_network_auto_nodec_ip)</f>
        <v>Value Missing</v>
      </c>
    </row>
    <row r="319" spans="8:12" ht="20.05" customHeight="1" x14ac:dyDescent="0.35">
      <c r="K319" s="4" t="s">
        <v>572</v>
      </c>
      <c r="L319" s="337" t="str">
        <f>IF(ISBLANK(input_flt_custom_network_auto_noded_ip),"Value Missing",input_flt_custom_network_auto_noded_ip)</f>
        <v>Value Missing</v>
      </c>
    </row>
    <row r="320" spans="8:12" ht="20.05" customHeight="1" x14ac:dyDescent="0.35">
      <c r="K320" s="4" t="s">
        <v>573</v>
      </c>
      <c r="L320" s="337" t="str">
        <f>IF(ISBLANK(flt_custom_network_auto_cluster_cidr_chosen),"Value Missing",flt_custom_network_auto_cluster_cidr_chosen)</f>
        <v>198.18.0.0/15</v>
      </c>
    </row>
    <row r="321" spans="11:12" ht="20.05" customHeight="1" x14ac:dyDescent="0.35">
      <c r="K321" s="4" t="s">
        <v>550</v>
      </c>
      <c r="L321" s="337" t="str">
        <f>IF(ISBLANK(input_flt_custom_network_auto_admin_password),"Value Missing",input_flt_custom_network_auto_admin_password)</f>
        <v>Value Missing</v>
      </c>
    </row>
    <row r="322" spans="11:12" ht="20.05" customHeight="1" x14ac:dyDescent="0.35">
      <c r="K322" s="4" t="s">
        <v>2459</v>
      </c>
      <c r="L322" s="337" t="str">
        <f>IF(ISBLANK(input_flt_custom_network_x_reg_pg),"Value Missing",input_flt_custom_network_x_reg_pg)</f>
        <v>Value Missing</v>
      </c>
    </row>
    <row r="323" spans="11:12" ht="20.05" customHeight="1" x14ac:dyDescent="0.35">
      <c r="K323" s="4" t="s">
        <v>2460</v>
      </c>
      <c r="L323" s="337" t="str">
        <f>IF(ISBLANK(input_flt_custom_network_x_reg_mask),"Value Missing",input_flt_custom_network_x_reg_mask)</f>
        <v>Value Missing</v>
      </c>
    </row>
    <row r="324" spans="11:12" ht="20.05" customHeight="1" x14ac:dyDescent="0.35">
      <c r="K324" s="4" t="s">
        <v>2461</v>
      </c>
      <c r="L324" s="337" t="str">
        <f>IF(ISBLANK(input_flt_custom_network_x_reg_gateway_ip),"Value Missing",input_flt_custom_network_x_reg_gateway_ip)</f>
        <v>Value Missing</v>
      </c>
    </row>
    <row r="325" spans="11:12" ht="20.05" customHeight="1" x14ac:dyDescent="0.35">
      <c r="K325" s="4" t="s">
        <v>2462</v>
      </c>
      <c r="L325" s="337" t="str">
        <f>IF(ISBLANK(input_flt_custom_network_local_reg_pg),"Value Missing",input_flt_custom_network_local_reg_pg)</f>
        <v>Value Missing</v>
      </c>
    </row>
    <row r="326" spans="11:12" ht="20.05" customHeight="1" x14ac:dyDescent="0.35">
      <c r="K326" s="4" t="s">
        <v>2463</v>
      </c>
      <c r="L326" s="337" t="str">
        <f>IF(ISBLANK(input_flt_custom_network_local_reg_mask),"Value Missing",input_flt_custom_network_local_reg_mask)</f>
        <v>Value Missing</v>
      </c>
    </row>
    <row r="327" spans="11:12" ht="20.05" customHeight="1" x14ac:dyDescent="0.35">
      <c r="K327" s="4" t="s">
        <v>2464</v>
      </c>
      <c r="L327" s="337" t="str">
        <f>IF(ISBLANK(input_flt_custom_network_local_reg_gateway_ip),"Value Missing",input_flt_custom_network_local_reg_gateway_ip)</f>
        <v>Value Missing</v>
      </c>
    </row>
    <row r="328" spans="11:12" ht="20.05" customHeight="1" x14ac:dyDescent="0.35">
      <c r="K328" s="391" t="s">
        <v>2465</v>
      </c>
      <c r="L328" s="391"/>
    </row>
    <row r="329" spans="11:12" ht="20.05" customHeight="1" x14ac:dyDescent="0.35">
      <c r="K329" s="336" t="s">
        <v>261</v>
      </c>
      <c r="L329" s="184" t="s">
        <v>19</v>
      </c>
    </row>
    <row r="330" spans="11:12" ht="20.05" customHeight="1" x14ac:dyDescent="0.35">
      <c r="K330" s="4" t="s">
        <v>578</v>
      </c>
      <c r="L330" s="337" t="str">
        <f>IF(ISBLANK(vcf_automation_type_chosen),"Value Missing",vcf_automation_type_chosen)</f>
        <v>New Install</v>
      </c>
    </row>
    <row r="331" spans="11:12" ht="20.05" customHeight="1" x14ac:dyDescent="0.35">
      <c r="K331" s="4" t="s">
        <v>195</v>
      </c>
      <c r="L331" s="337" t="str">
        <f>IF(ISBLANK(input_vcf_automation_version),"Value Missing",input_vcf_automation_version)</f>
        <v>Value Missing</v>
      </c>
    </row>
    <row r="332" spans="11:12" ht="20.05" customHeight="1" x14ac:dyDescent="0.35">
      <c r="K332" s="4" t="s">
        <v>537</v>
      </c>
      <c r="L332" s="337" t="str">
        <f>IF(ISBLANK(vcf_automation_size_chosen),"Value Missing",vcf_automation_size_chosen)</f>
        <v>Small</v>
      </c>
    </row>
    <row r="333" spans="11:12" ht="20.05" customHeight="1" x14ac:dyDescent="0.35">
      <c r="K333" s="4" t="s">
        <v>583</v>
      </c>
      <c r="L333" s="337" t="str">
        <f>IF(ISBLANK(vcf_automation_cert_type_chosen),"Value Missing",vcf_automation_cert_type_chosen)</f>
        <v>Generate Certificate</v>
      </c>
    </row>
    <row r="334" spans="11:12" ht="20.05" customHeight="1" x14ac:dyDescent="0.35">
      <c r="K334" s="4" t="s">
        <v>585</v>
      </c>
      <c r="L334" s="337" t="str">
        <f>IF(ISBLANK(input_vcf_automation_cert_alias),"Value Missing",input_vcf_automation_cert_alias)</f>
        <v>Value Missing</v>
      </c>
    </row>
    <row r="335" spans="11:12" ht="20.05" customHeight="1" x14ac:dyDescent="0.35">
      <c r="K335" s="4" t="s">
        <v>586</v>
      </c>
      <c r="L335" s="337" t="str">
        <f>IF(ISBLANK(input_vcf_automation_cert_file),"Value Missing",input_vcf_automation_cert_file)</f>
        <v>Value Missing</v>
      </c>
    </row>
    <row r="336" spans="11:12" ht="20.05" customHeight="1" x14ac:dyDescent="0.35">
      <c r="K336" s="4" t="s">
        <v>587</v>
      </c>
      <c r="L336" s="337" t="str">
        <f>IF(ISBLANK(input_vcf_automation_cert_common_name),"Value Missing",input_vcf_automation_cert_common_name)</f>
        <v>Value Missing</v>
      </c>
    </row>
    <row r="337" spans="11:12" ht="20.05" customHeight="1" x14ac:dyDescent="0.35">
      <c r="K337" s="4" t="s">
        <v>588</v>
      </c>
      <c r="L337" s="337" t="str">
        <f>IF(ISBLANK(input_vcf_automation_cert_organisation),"Value Missing",input_vcf_automation_cert_organisation)</f>
        <v>Value Missing</v>
      </c>
    </row>
    <row r="338" spans="11:12" ht="20.05" customHeight="1" x14ac:dyDescent="0.35">
      <c r="K338" s="4" t="s">
        <v>589</v>
      </c>
      <c r="L338" s="337" t="str">
        <f>IF(ISBLANK(input_vcf_automation_ou_cert),"Value Missing",input_vcf_automation_ou_cert)</f>
        <v>Value Missing</v>
      </c>
    </row>
    <row r="339" spans="11:12" ht="20.05" customHeight="1" x14ac:dyDescent="0.35">
      <c r="K339" s="4" t="s">
        <v>590</v>
      </c>
      <c r="L339" s="337" t="str">
        <f>IF(ISBLANK(input_vcf_automation_cert_country_code),"Value Missing",input_vcf_automation_cert_country_code)</f>
        <v>Value Missing</v>
      </c>
    </row>
    <row r="340" spans="11:12" ht="20.05" customHeight="1" x14ac:dyDescent="0.35">
      <c r="K340" s="4" t="s">
        <v>591</v>
      </c>
      <c r="L340" s="337" t="str">
        <f>IF(ISBLANK(input_vcf_automation_cert_locality),"Value Missing",input_vcf_automation_cert_locality)</f>
        <v>Value Missing</v>
      </c>
    </row>
    <row r="341" spans="11:12" ht="20.05" customHeight="1" x14ac:dyDescent="0.35">
      <c r="K341" s="4" t="s">
        <v>592</v>
      </c>
      <c r="L341" s="337" t="str">
        <f>IF(ISBLANK(input_vcf_automation_cert_state),"Value Missing",input_vcf_automation_cert_state)</f>
        <v>Value Missing</v>
      </c>
    </row>
    <row r="342" spans="11:12" ht="20.05" customHeight="1" x14ac:dyDescent="0.35">
      <c r="K342" s="4" t="s">
        <v>593</v>
      </c>
      <c r="L342" s="337" t="str">
        <f>IF(ISBLANK(vcf_automation_cert_key_length_chosen),"Value Missing",vcf_automation_cert_key_length_chosen)</f>
        <v>4096</v>
      </c>
    </row>
    <row r="343" spans="11:12" ht="20.05" customHeight="1" x14ac:dyDescent="0.35">
      <c r="K343" s="4" t="s">
        <v>595</v>
      </c>
      <c r="L343" s="337" t="str">
        <f>IF(ISBLANK(input_vcf_automation_vip_fqdn),"Value Missing",input_vcf_automation_vip_fqdn)</f>
        <v>Value Missing</v>
      </c>
    </row>
    <row r="344" spans="11:12" ht="20.05" customHeight="1" x14ac:dyDescent="0.35">
      <c r="K344" s="17" t="s">
        <v>283</v>
      </c>
      <c r="L344" s="337" t="str">
        <f>IF(ISBLANK(input_vcf_automation_vip_ip),"Value Missing",input_vcf_automation_vip_ip)</f>
        <v>Value Missing</v>
      </c>
    </row>
    <row r="345" spans="11:12" ht="20.05" customHeight="1" x14ac:dyDescent="0.35">
      <c r="K345" s="22" t="s">
        <v>568</v>
      </c>
      <c r="L345" s="337" t="str">
        <f>IF(ISBLANK(input_vcf_automation_nodea_ip),"Value Missing",input_vcf_automation_nodea_ip)</f>
        <v>Value Missing</v>
      </c>
    </row>
    <row r="346" spans="11:12" ht="20.05" customHeight="1" x14ac:dyDescent="0.35">
      <c r="K346" s="22" t="s">
        <v>570</v>
      </c>
      <c r="L346" s="337" t="str">
        <f>IF(ISBLANK(input_vcf_automation_nodeb_ip),"Value Missing",input_vcf_automation_nodeb_ip)</f>
        <v>Value Missing</v>
      </c>
    </row>
    <row r="347" spans="11:12" ht="20.05" customHeight="1" x14ac:dyDescent="0.35">
      <c r="K347" s="22" t="s">
        <v>571</v>
      </c>
      <c r="L347" s="337" t="str">
        <f>IF(ISBLANK(input_vcf_automation_nodec_ip),"Value Missing",input_vcf_automation_nodec_ip)</f>
        <v>Value Missing</v>
      </c>
    </row>
    <row r="348" spans="11:12" ht="20.05" customHeight="1" x14ac:dyDescent="0.35">
      <c r="K348" s="22" t="s">
        <v>572</v>
      </c>
      <c r="L348" s="337" t="str">
        <f>IF(ISBLANK(input_vcf_automation_noded_ip),"Value Missing",input_vcf_automation_noded_ip)</f>
        <v>Value Missing</v>
      </c>
    </row>
    <row r="349" spans="11:12" ht="20.05" customHeight="1" x14ac:dyDescent="0.35">
      <c r="K349" s="4" t="s">
        <v>601</v>
      </c>
      <c r="L349" s="337" t="str">
        <f>IF(ISBLANK(input_vcf_automation_folder),"Value Missing",input_vcf_automation_folder)</f>
        <v>Value Missing</v>
      </c>
    </row>
    <row r="350" spans="11:12" ht="20.05" customHeight="1" x14ac:dyDescent="0.35">
      <c r="K350" s="4" t="s">
        <v>603</v>
      </c>
      <c r="L350" s="337" t="str">
        <f>IF(ISBLANK(input_vcf_automation_resource_pool),"Value Missing",input_vcf_automation_resource_pool)</f>
        <v>Value Missing</v>
      </c>
    </row>
    <row r="351" spans="11:12" ht="20.05" customHeight="1" x14ac:dyDescent="0.35">
      <c r="K351" s="4" t="s">
        <v>2466</v>
      </c>
      <c r="L351" s="337" t="str">
        <f>IF(ISBLANK(input_vcf_automation_mask),"Value Missing",input_vcf_automation_mask)</f>
        <v>Value Missing</v>
      </c>
    </row>
    <row r="352" spans="11:12" ht="20.05" customHeight="1" x14ac:dyDescent="0.35">
      <c r="K352" s="4" t="s">
        <v>2351</v>
      </c>
      <c r="L352" s="337" t="str">
        <f>IF(ISBLANK(input_vcf_automation_gateway_ip),"Value Missing",input_vcf_automation_gateway_ip)</f>
        <v>Value Missing</v>
      </c>
    </row>
    <row r="353" spans="11:12" ht="20.05" customHeight="1" x14ac:dyDescent="0.35">
      <c r="K353" s="4" t="s">
        <v>2467</v>
      </c>
      <c r="L353" s="337" t="str">
        <f>IF(ISBLANK(input_vcf_automation_portgroup),"Value Missing",input_vcf_automation_portgroup)</f>
        <v>Value Missing</v>
      </c>
    </row>
    <row r="354" spans="11:12" ht="20.05" customHeight="1" x14ac:dyDescent="0.35">
      <c r="K354" s="17" t="s">
        <v>706</v>
      </c>
      <c r="L354" s="337" t="str">
        <f>IF(ISBLANK(input_vcf_automation_admin_password_alias),"Value Missing",input_vcf_automation_admin_password_alias)</f>
        <v>Value Missing</v>
      </c>
    </row>
    <row r="355" spans="11:12" ht="20.05" customHeight="1" x14ac:dyDescent="0.35">
      <c r="K355" s="22" t="s">
        <v>199</v>
      </c>
      <c r="L355" s="337" t="str">
        <f>IF(ISBLANK(input_vcf_automation_admin_password),"Value Missing",input_vcf_automation_admin_password)</f>
        <v>Value Missing</v>
      </c>
    </row>
    <row r="356" spans="11:12" ht="20.05" customHeight="1" x14ac:dyDescent="0.35">
      <c r="K356" s="22" t="s">
        <v>707</v>
      </c>
      <c r="L356" s="337" t="str">
        <f>IF(ISBLANK(input_vcf_automation_admin_password_description),"Value Missing",input_vcf_automation_admin_password_description)</f>
        <v>Value Missing</v>
      </c>
    </row>
    <row r="357" spans="11:12" ht="20.05" customHeight="1" x14ac:dyDescent="0.35">
      <c r="K357" s="22" t="s">
        <v>709</v>
      </c>
      <c r="L357" s="337" t="str">
        <f>IF(ISBLANK(input_vcf_automation_admin_username),"Value Missing",input_vcf_automation_admin_username)</f>
        <v>Value Missing</v>
      </c>
    </row>
    <row r="358" spans="11:12" ht="20.05" customHeight="1" x14ac:dyDescent="0.35">
      <c r="K358" s="4" t="s">
        <v>2468</v>
      </c>
      <c r="L358" s="337" t="str">
        <f>IF(ISBLANK(input_vcf_automation_root_password_alias),"Value Missing",input_vcf_automation_root_password_alias)</f>
        <v>Value Missing</v>
      </c>
    </row>
    <row r="359" spans="11:12" ht="20.05" customHeight="1" x14ac:dyDescent="0.35">
      <c r="K359" s="4" t="s">
        <v>29</v>
      </c>
      <c r="L359" s="337" t="str">
        <f>IF(ISBLANK(input_vcf_automation_root_password),"Value Missing",input_vcf_automation_root_password)</f>
        <v>Value Missing</v>
      </c>
    </row>
    <row r="360" spans="11:12" ht="20.05" customHeight="1" x14ac:dyDescent="0.35">
      <c r="K360" s="4" t="s">
        <v>2469</v>
      </c>
      <c r="L360" s="337" t="str">
        <f>IF(ISBLANK(input_vcf_automation_root_password_description),"Value Missing",input_vcf_automation_root_password_description)</f>
        <v>Value Missing</v>
      </c>
    </row>
    <row r="361" spans="11:12" ht="20.05" customHeight="1" x14ac:dyDescent="0.35">
      <c r="K361" s="4" t="s">
        <v>27</v>
      </c>
      <c r="L361" s="337" t="str">
        <f>IF(ISBLANK(input_vcf_automation_root_username),"Value Missing",input_vcf_automation_root_username)</f>
        <v>Value Missing</v>
      </c>
    </row>
    <row r="362" spans="11:12" ht="20.05" customHeight="1" x14ac:dyDescent="0.35">
      <c r="K362" s="22" t="s">
        <v>625</v>
      </c>
      <c r="L362" s="337" t="str">
        <f>IF(ISBLANK(vcf_automation_lb_type_chosen),"Value Missing",vcf_automation_lb_type_chosen)</f>
        <v>Internal Load Balancer</v>
      </c>
    </row>
    <row r="363" spans="11:12" ht="20.05" customHeight="1" x14ac:dyDescent="0.35">
      <c r="K363" s="22" t="s">
        <v>566</v>
      </c>
      <c r="L363" s="337" t="str">
        <f>IF(ISBLANK(vcf_automation_node_prefix_chosen),"Value Missing",vcf_automation_node_prefix_chosen)</f>
        <v>flt-auto</v>
      </c>
    </row>
    <row r="364" spans="11:12" ht="20.05" customHeight="1" x14ac:dyDescent="0.35">
      <c r="K364" s="22" t="s">
        <v>629</v>
      </c>
      <c r="L364" s="337" t="str">
        <f>IF(ISBLANK(vcf_automation_internal_cidr_chosen),"Value Missing",vcf_automation_internal_cidr_chosen)</f>
        <v>192.18.0.0/15</v>
      </c>
    </row>
    <row r="365" spans="11:12" ht="20.05" customHeight="1" x14ac:dyDescent="0.35">
      <c r="K365" s="22" t="s">
        <v>631</v>
      </c>
      <c r="L365" s="337" t="str">
        <f>IF(ISBLANK(input_vcf_automation_additional_vips),"Value Missing",input_vcf_automation_additional_vips)</f>
        <v>Value Missing</v>
      </c>
    </row>
  </sheetData>
  <sheetProtection algorithmName="SHA-512" hashValue="IvsPVGKTj10/RiAQYI5AYPs8hpa5t46y7s5eevVeCFXZR8w71Ama7Ok77nphZ5F5dt3Wn+ocKSCaeIxh+0HI2w==" saltValue="YaLUu/regKuFTZlOnYzCog==" spinCount="100000" sheet="1" objects="1" scenarios="1"/>
  <mergeCells count="49">
    <mergeCell ref="H248:I248"/>
    <mergeCell ref="H240:I240"/>
    <mergeCell ref="H231:I231"/>
    <mergeCell ref="H222:I222"/>
    <mergeCell ref="T190:U190"/>
    <mergeCell ref="K166:L166"/>
    <mergeCell ref="K162:L162"/>
    <mergeCell ref="H43:I43"/>
    <mergeCell ref="N92:O92"/>
    <mergeCell ref="V2:Z2"/>
    <mergeCell ref="Q3:Z3"/>
    <mergeCell ref="W6:X6"/>
    <mergeCell ref="K6:L6"/>
    <mergeCell ref="Q2:R2"/>
    <mergeCell ref="Q30:R30"/>
    <mergeCell ref="Q33:R33"/>
    <mergeCell ref="T125:U125"/>
    <mergeCell ref="T155:U155"/>
    <mergeCell ref="T50:U50"/>
    <mergeCell ref="H16:I16"/>
    <mergeCell ref="H25:I25"/>
    <mergeCell ref="E66:F66"/>
    <mergeCell ref="K64:L64"/>
    <mergeCell ref="B35:C35"/>
    <mergeCell ref="E41:F41"/>
    <mergeCell ref="B74:C74"/>
    <mergeCell ref="H52:I52"/>
    <mergeCell ref="B88:C88"/>
    <mergeCell ref="B116:C116"/>
    <mergeCell ref="Q75:R75"/>
    <mergeCell ref="Q83:R83"/>
    <mergeCell ref="K109:L109"/>
    <mergeCell ref="Q91:R91"/>
    <mergeCell ref="AC6:AE6"/>
    <mergeCell ref="E28:F28"/>
    <mergeCell ref="Z56:AA56"/>
    <mergeCell ref="Z34:AA34"/>
    <mergeCell ref="W11:X11"/>
    <mergeCell ref="T6:U6"/>
    <mergeCell ref="T42:U42"/>
    <mergeCell ref="Q46:R46"/>
    <mergeCell ref="Q14:R14"/>
    <mergeCell ref="Q10:R10"/>
    <mergeCell ref="Q6:R6"/>
    <mergeCell ref="Q50:R50"/>
    <mergeCell ref="Q36:R36"/>
    <mergeCell ref="Q27:R27"/>
    <mergeCell ref="H11:I11"/>
    <mergeCell ref="H34:I34"/>
  </mergeCells>
  <phoneticPr fontId="9" type="noConversion"/>
  <conditionalFormatting sqref="C7:C10 L39:L40">
    <cfRule type="containsBlanks" dxfId="1203" priority="400">
      <formula>LEN(TRIM(C7))=0</formula>
    </cfRule>
    <cfRule type="expression" dxfId="1202" priority="401">
      <formula>(VROPS_Result="Excluded")</formula>
    </cfRule>
    <cfRule type="notContainsBlanks" dxfId="1201" priority="399">
      <formula>LEN(TRIM(C7))&gt;0</formula>
    </cfRule>
    <cfRule type="expression" dxfId="1199" priority="397">
      <formula>mgmt_domain_existing_vcf_operations_chosen="Selected"</formula>
    </cfRule>
  </conditionalFormatting>
  <conditionalFormatting sqref="C14:C33 C92:C97 C99:C104 C106:C111 C118:C124 C147:C188 I178:I197 L183:L224 L288:L327">
    <cfRule type="expression" dxfId="1198" priority="408">
      <formula>mgmt_domain_existing_vcf_operations_chosen="Selected"</formula>
    </cfRule>
  </conditionalFormatting>
  <conditionalFormatting sqref="C14:C33 I71:I125 C92:C97 O93:O130 C99:C104 C106:C111 C118:C124 C128:C135 I178:I197 L183:L224 I201:I221 I223:I230 I232:I239 I241:I247 L288:L327">
    <cfRule type="notContainsBlanks" dxfId="1196" priority="935">
      <formula>LEN(TRIM(C14))&gt;0</formula>
    </cfRule>
    <cfRule type="containsBlanks" dxfId="1195" priority="936">
      <formula>LEN(TRIM(C14))=0</formula>
    </cfRule>
  </conditionalFormatting>
  <conditionalFormatting sqref="C37:C48">
    <cfRule type="expression" dxfId="1192" priority="929">
      <formula>AND((VRLI_Result="Excluded"),(VROPS_Result="Excluded"),(VRA_Result="Excluded"))</formula>
    </cfRule>
  </conditionalFormatting>
  <conditionalFormatting sqref="C37:C49 L167:L179">
    <cfRule type="notContainsBlanks" dxfId="1189" priority="623">
      <formula>LEN(TRIM(C37))&gt;0</formula>
    </cfRule>
    <cfRule type="expression" dxfId="1186" priority="625">
      <formula>(VROPS_Result="Excluded")</formula>
    </cfRule>
    <cfRule type="containsBlanks" dxfId="1185" priority="624">
      <formula>LEN(TRIM(C37))=0</formula>
    </cfRule>
  </conditionalFormatting>
  <conditionalFormatting sqref="C49">
    <cfRule type="expression" dxfId="1182" priority="630">
      <formula>AND((VRLI_Result="Excluded"),(VROPS_Result="Excluded"),(VRA_Result="Excluded"))</formula>
    </cfRule>
  </conditionalFormatting>
  <conditionalFormatting sqref="C53:C67 C138:C143">
    <cfRule type="expression" dxfId="1176" priority="916">
      <formula>AND((VRLI_Result="Excluded"),(VROPS_Result="Excluded"),(VRA_Result="Excluded"))</formula>
    </cfRule>
    <cfRule type="expression" dxfId="1172" priority="911">
      <formula>(VROPS_Result="Excluded")</formula>
    </cfRule>
    <cfRule type="containsBlanks" dxfId="1171" priority="910">
      <formula>LEN(TRIM(C53))=0</formula>
    </cfRule>
    <cfRule type="notContainsBlanks" dxfId="1170" priority="909">
      <formula>LEN(TRIM(C53))&gt;0</formula>
    </cfRule>
  </conditionalFormatting>
  <conditionalFormatting sqref="C71:C72 F125:F126">
    <cfRule type="expression" dxfId="1163" priority="875">
      <formula>AND((VRLI_Result="Excluded"),(VROPS_Result="Excluded"),(VRA_Result="Excluded"))</formula>
    </cfRule>
  </conditionalFormatting>
  <conditionalFormatting sqref="C71:C72">
    <cfRule type="notContainsBlanks" dxfId="1162" priority="868">
      <formula>LEN(TRIM(C71))&gt;0</formula>
    </cfRule>
    <cfRule type="expression" dxfId="1158" priority="870">
      <formula>(VROPS_Result="Excluded")</formula>
    </cfRule>
    <cfRule type="containsBlanks" dxfId="1157" priority="869">
      <formula>LEN(TRIM(C71))=0</formula>
    </cfRule>
    <cfRule type="expression" dxfId="1156" priority="866">
      <formula>mgmt_domain_existing_vcf_operations_chosen="Selected"</formula>
    </cfRule>
  </conditionalFormatting>
  <conditionalFormatting sqref="C76:C85">
    <cfRule type="expression" dxfId="1153" priority="903">
      <formula>AND((VRLI_Result="Excluded"),(VROPS_Result="Excluded"),(VRA_Result="Excluded"))</formula>
    </cfRule>
  </conditionalFormatting>
  <conditionalFormatting sqref="C76:C86">
    <cfRule type="expression" dxfId="1147" priority="729">
      <formula>mgmt_domain_existing_vcf_operations_chosen="Selected"</formula>
    </cfRule>
    <cfRule type="expression" dxfId="1146" priority="733">
      <formula>(VROPS_Result="Excluded")</formula>
    </cfRule>
    <cfRule type="containsBlanks" dxfId="1145" priority="732">
      <formula>LEN(TRIM(C76))=0</formula>
    </cfRule>
    <cfRule type="notContainsBlanks" dxfId="1144" priority="731">
      <formula>LEN(TRIM(C76))&gt;0</formula>
    </cfRule>
  </conditionalFormatting>
  <conditionalFormatting sqref="C86">
    <cfRule type="expression" dxfId="1143" priority="738">
      <formula>AND((VRLI_Result="Excluded"),(VROPS_Result="Excluded"),(VRA_Result="Excluded"))</formula>
    </cfRule>
  </conditionalFormatting>
  <conditionalFormatting sqref="C90 F96:F102 C114">
    <cfRule type="expression" dxfId="1136" priority="709">
      <formula>(VROPS_Result="Excluded")</formula>
    </cfRule>
    <cfRule type="containsBlanks" dxfId="1135" priority="708">
      <formula>LEN(TRIM(C90))=0</formula>
    </cfRule>
    <cfRule type="notContainsBlanks" dxfId="1133" priority="707">
      <formula>LEN(TRIM(C90))&gt;0</formula>
    </cfRule>
    <cfRule type="expression" dxfId="1131" priority="705">
      <formula>mgmt_domain_existing_vcf_operations_chosen="Selected"</formula>
    </cfRule>
  </conditionalFormatting>
  <conditionalFormatting sqref="C136:C137">
    <cfRule type="expression" dxfId="1130" priority="742">
      <formula>(vcf_version_result="Excluded")</formula>
    </cfRule>
    <cfRule type="expression" dxfId="1129" priority="741">
      <formula>vcf_granular_option_chosen&lt;&gt;"Full Instance"</formula>
    </cfRule>
    <cfRule type="expression" dxfId="1128" priority="744">
      <formula>(mgmt_dpg_reuse_result="Included")</formula>
    </cfRule>
    <cfRule type="expression" dxfId="1127" priority="745">
      <formula>(mgmt_dpg_reuse_result="Excluded")</formula>
    </cfRule>
    <cfRule type="expression" dxfId="1126" priority="743">
      <formula>(mgmt_dpg_reuse_chosen="Exclude")</formula>
    </cfRule>
  </conditionalFormatting>
  <conditionalFormatting sqref="C138:C143 I71:I125 C53:C67 O93:O130 C128:C135 I201:I221 I223:I230 I232:I239 I241:I247">
    <cfRule type="expression" dxfId="1125" priority="907">
      <formula>mgmt_domain_existing_vcf_operations_chosen="Selected"</formula>
    </cfRule>
  </conditionalFormatting>
  <conditionalFormatting sqref="C138:C143">
    <cfRule type="notContainsBlanks" dxfId="1122" priority="507">
      <formula>LEN(TRIM(C138))&gt;0</formula>
    </cfRule>
  </conditionalFormatting>
  <conditionalFormatting sqref="C197:C202">
    <cfRule type="containsBlanks" dxfId="1120" priority="833">
      <formula>LEN(TRIM(C197))=0</formula>
    </cfRule>
    <cfRule type="expression" dxfId="1117" priority="839">
      <formula>AND((VRLI_Result="Excluded"),(VROPS_Result="Excluded"),(VRA_Result="Excluded"))</formula>
    </cfRule>
    <cfRule type="expression" dxfId="1112" priority="834">
      <formula>(VROPS_Result="Excluded")</formula>
    </cfRule>
    <cfRule type="notContainsBlanks" dxfId="1111" priority="832">
      <formula>LEN(TRIM(C197))&gt;0</formula>
    </cfRule>
    <cfRule type="expression" dxfId="1109" priority="830">
      <formula>mgmt_domain_existing_vcf_operations_chosen="Selected"</formula>
    </cfRule>
  </conditionalFormatting>
  <conditionalFormatting sqref="C215:C218">
    <cfRule type="expression" dxfId="1105" priority="195">
      <formula>AND((VRLI_Result="Excluded"),(VROPS_Result="Excluded"),(VRA_Result="Excluded"))</formula>
    </cfRule>
    <cfRule type="expression" dxfId="1104" priority="186">
      <formula>mgmt_domain_existing_vcf_operations_chosen="Selected"</formula>
    </cfRule>
    <cfRule type="notContainsBlanks" dxfId="1102" priority="188">
      <formula>LEN(TRIM(C215))&gt;0</formula>
    </cfRule>
    <cfRule type="containsBlanks" dxfId="1101" priority="189">
      <formula>LEN(TRIM(C215))=0</formula>
    </cfRule>
    <cfRule type="expression" dxfId="1100" priority="190">
      <formula>(VROPS_Result="Excluded")</formula>
    </cfRule>
  </conditionalFormatting>
  <conditionalFormatting sqref="C222:C230">
    <cfRule type="containsBlanks" dxfId="1099" priority="496">
      <formula>LEN(TRIM(C222))=0</formula>
    </cfRule>
    <cfRule type="expression" dxfId="1098" priority="493">
      <formula>mgmt_domain_existing_vcf_operations_chosen="Selected"</formula>
    </cfRule>
    <cfRule type="notContainsBlanks" dxfId="1096" priority="495">
      <formula>LEN(TRIM(C222))&gt;0</formula>
    </cfRule>
  </conditionalFormatting>
  <conditionalFormatting sqref="E10:F10">
    <cfRule type="expression" dxfId="1095" priority="343">
      <formula>wld_multirack_result="Excluded"</formula>
    </cfRule>
    <cfRule type="expression" dxfId="1094" priority="344">
      <formula>(vcf_version_chosen&lt;&gt;"Exclude")</formula>
    </cfRule>
    <cfRule type="expression" dxfId="1093" priority="342">
      <formula>(vcf_version_result="Excluded")</formula>
    </cfRule>
    <cfRule type="expression" dxfId="1092" priority="341">
      <formula>AND((wld_multirack_calc="Include"),(wld_multirack_result="Excluded"))</formula>
    </cfRule>
  </conditionalFormatting>
  <conditionalFormatting sqref="F7:F9">
    <cfRule type="notContainsBlanks" dxfId="1088" priority="308">
      <formula>LEN(TRIM(F7))&gt;0</formula>
    </cfRule>
    <cfRule type="containsBlanks" dxfId="1087" priority="309">
      <formula>LEN(TRIM(F7))=0</formula>
    </cfRule>
    <cfRule type="expression" dxfId="1086" priority="310">
      <formula>(VROPS_Result="Excluded")</formula>
    </cfRule>
    <cfRule type="expression" dxfId="1083" priority="306">
      <formula>mgmt_domain_existing_vcf_operations_chosen="Selected"</formula>
    </cfRule>
    <cfRule type="expression" dxfId="1080" priority="315">
      <formula>AND((VRLI_Result="Excluded"),(VROPS_Result="Excluded"),(VRA_Result="Excluded"))</formula>
    </cfRule>
  </conditionalFormatting>
  <conditionalFormatting sqref="F14:F22">
    <cfRule type="expression" dxfId="1075" priority="803">
      <formula>AND((VRLI_Result="Excluded"),(VROPS_Result="Excluded"),(VRA_Result="Excluded"))</formula>
    </cfRule>
  </conditionalFormatting>
  <conditionalFormatting sqref="F14:F26">
    <cfRule type="expression" dxfId="1074" priority="750">
      <formula>(VROPS_Result="Excluded")</formula>
    </cfRule>
    <cfRule type="containsBlanks" dxfId="1073" priority="749">
      <formula>LEN(TRIM(F14))=0</formula>
    </cfRule>
    <cfRule type="notContainsBlanks" dxfId="1072" priority="748">
      <formula>LEN(TRIM(F14))&gt;0</formula>
    </cfRule>
    <cfRule type="expression" dxfId="1070" priority="746">
      <formula>mgmt_domain_existing_vcf_operations_chosen="Selected"</formula>
    </cfRule>
  </conditionalFormatting>
  <conditionalFormatting sqref="F23:F26">
    <cfRule type="expression" dxfId="1067" priority="755">
      <formula>AND((VRLI_Result="Excluded"),(VROPS_Result="Excluded"),(VRA_Result="Excluded"))</formula>
    </cfRule>
  </conditionalFormatting>
  <conditionalFormatting sqref="F30:F39">
    <cfRule type="expression" dxfId="1061" priority="758">
      <formula>mgmt_domain_existing_vcf_operations_chosen="Selected"</formula>
    </cfRule>
    <cfRule type="notContainsBlanks" dxfId="1058" priority="760">
      <formula>LEN(TRIM(F30))&gt;0</formula>
    </cfRule>
    <cfRule type="expression" dxfId="1056" priority="827">
      <formula>AND((VRLI_Result="Excluded"),(VROPS_Result="Excluded"),(VRA_Result="Excluded"))</formula>
    </cfRule>
    <cfRule type="containsBlanks" dxfId="1054" priority="761">
      <formula>LEN(TRIM(F30))=0</formula>
    </cfRule>
    <cfRule type="expression" dxfId="1053" priority="762">
      <formula>(VROPS_Result="Excluded")</formula>
    </cfRule>
  </conditionalFormatting>
  <conditionalFormatting sqref="F43:F47">
    <cfRule type="expression" dxfId="1047" priority="815">
      <formula>AND((VRLI_Result="Excluded"),(VROPS_Result="Excluded"),(VRA_Result="Excluded"))</formula>
    </cfRule>
  </conditionalFormatting>
  <conditionalFormatting sqref="F43:F54">
    <cfRule type="containsBlanks" dxfId="1045" priority="773">
      <formula>LEN(TRIM(F43))=0</formula>
    </cfRule>
    <cfRule type="notContainsBlanks" dxfId="1044" priority="772">
      <formula>LEN(TRIM(F43))&gt;0</formula>
    </cfRule>
    <cfRule type="expression" dxfId="1042" priority="770">
      <formula>mgmt_domain_existing_vcf_operations_chosen="Selected"</formula>
    </cfRule>
    <cfRule type="expression" dxfId="1039" priority="774">
      <formula>(VROPS_Result="Excluded")</formula>
    </cfRule>
  </conditionalFormatting>
  <conditionalFormatting sqref="F48:F54">
    <cfRule type="expression" dxfId="1038" priority="791">
      <formula>AND((VRLI_Result="Excluded"),(VROPS_Result="Excluded"),(VRA_Result="Excluded"))</formula>
    </cfRule>
  </conditionalFormatting>
  <conditionalFormatting sqref="F58">
    <cfRule type="expression" dxfId="1032" priority="642">
      <formula>AND((VRLI_Result="Excluded"),(VROPS_Result="Excluded"),(VRA_Result="Excluded"))</formula>
    </cfRule>
  </conditionalFormatting>
  <conditionalFormatting sqref="F58:F59">
    <cfRule type="expression" dxfId="1028" priority="637">
      <formula>(VROPS_Result="Excluded")</formula>
    </cfRule>
    <cfRule type="notContainsBlanks" dxfId="1026" priority="635">
      <formula>LEN(TRIM(F58))&gt;0</formula>
    </cfRule>
    <cfRule type="containsBlanks" dxfId="1025" priority="636">
      <formula>LEN(TRIM(F58))=0</formula>
    </cfRule>
    <cfRule type="expression" dxfId="1023" priority="633">
      <formula>mgmt_domain_existing_vcf_operations_chosen="Selected"</formula>
    </cfRule>
  </conditionalFormatting>
  <conditionalFormatting sqref="F59">
    <cfRule type="expression" dxfId="1017" priority="654">
      <formula>AND((VRLI_Result="Excluded"),(VROPS_Result="Excluded"),(VRA_Result="Excluded"))</formula>
    </cfRule>
  </conditionalFormatting>
  <conditionalFormatting sqref="F63:F64">
    <cfRule type="expression" dxfId="1014" priority="303">
      <formula>AND((VRLI_Result="Excluded"),(VROPS_Result="Excluded"),(VRA_Result="Excluded"))</formula>
    </cfRule>
    <cfRule type="expression" dxfId="1013" priority="298">
      <formula>(VROPS_Result="Excluded")</formula>
    </cfRule>
    <cfRule type="containsBlanks" dxfId="1012" priority="297">
      <formula>LEN(TRIM(F63))=0</formula>
    </cfRule>
    <cfRule type="notContainsBlanks" dxfId="1011" priority="296">
      <formula>LEN(TRIM(F63))&gt;0</formula>
    </cfRule>
    <cfRule type="expression" dxfId="1010" priority="294">
      <formula>mgmt_domain_existing_vcf_operations_chosen="Selected"</formula>
    </cfRule>
  </conditionalFormatting>
  <conditionalFormatting sqref="F68">
    <cfRule type="expression" dxfId="1003" priority="267">
      <formula>AND((VRLI_Result="Excluded"),(VROPS_Result="Excluded"),(VRA_Result="Excluded"))</formula>
    </cfRule>
    <cfRule type="expression" dxfId="998" priority="262">
      <formula>(VROPS_Result="Excluded")</formula>
    </cfRule>
    <cfRule type="containsBlanks" dxfId="997" priority="261">
      <formula>LEN(TRIM(F68))=0</formula>
    </cfRule>
    <cfRule type="notContainsBlanks" dxfId="996" priority="260">
      <formula>LEN(TRIM(F68))&gt;0</formula>
    </cfRule>
    <cfRule type="expression" dxfId="995" priority="258">
      <formula>mgmt_domain_existing_vcf_operations_chosen="Selected"</formula>
    </cfRule>
  </conditionalFormatting>
  <conditionalFormatting sqref="F70:F75">
    <cfRule type="expression" dxfId="992" priority="255">
      <formula>AND((VRLI_Result="Excluded"),(VROPS_Result="Excluded"),(VRA_Result="Excluded"))</formula>
    </cfRule>
  </conditionalFormatting>
  <conditionalFormatting sqref="F70:F76">
    <cfRule type="expression" dxfId="986" priority="250">
      <formula>(VROPS_Result="Excluded")</formula>
    </cfRule>
    <cfRule type="containsBlanks" dxfId="985" priority="249">
      <formula>LEN(TRIM(F70))=0</formula>
    </cfRule>
    <cfRule type="notContainsBlanks" dxfId="984" priority="248">
      <formula>LEN(TRIM(F70))&gt;0</formula>
    </cfRule>
    <cfRule type="expression" dxfId="981" priority="246">
      <formula>mgmt_domain_existing_vcf_operations_chosen="Selected"</formula>
    </cfRule>
  </conditionalFormatting>
  <conditionalFormatting sqref="F76 F84 C90 F92 F96:F102 C114">
    <cfRule type="expression" dxfId="979" priority="714">
      <formula>AND((VRLI_Result="Excluded"),(VROPS_Result="Excluded"),(VRA_Result="Excluded"))</formula>
    </cfRule>
  </conditionalFormatting>
  <conditionalFormatting sqref="F78:F83">
    <cfRule type="expression" dxfId="976" priority="243">
      <formula>AND((VRLI_Result="Excluded"),(VROPS_Result="Excluded"),(VRA_Result="Excluded"))</formula>
    </cfRule>
  </conditionalFormatting>
  <conditionalFormatting sqref="F78:F84">
    <cfRule type="expression" dxfId="971" priority="238">
      <formula>(VROPS_Result="Excluded")</formula>
    </cfRule>
    <cfRule type="expression" dxfId="968" priority="234">
      <formula>mgmt_domain_existing_vcf_operations_chosen="Selected"</formula>
    </cfRule>
    <cfRule type="notContainsBlanks" dxfId="967" priority="236">
      <formula>LEN(TRIM(F78))&gt;0</formula>
    </cfRule>
    <cfRule type="containsBlanks" dxfId="966" priority="237">
      <formula>LEN(TRIM(F78))=0</formula>
    </cfRule>
  </conditionalFormatting>
  <conditionalFormatting sqref="F86:F91">
    <cfRule type="expression" dxfId="960" priority="231">
      <formula>AND((VRLI_Result="Excluded"),(VROPS_Result="Excluded"),(VRA_Result="Excluded"))</formula>
    </cfRule>
  </conditionalFormatting>
  <conditionalFormatting sqref="F86:F92">
    <cfRule type="expression" dxfId="959" priority="226">
      <formula>(VROPS_Result="Excluded")</formula>
    </cfRule>
    <cfRule type="containsBlanks" dxfId="958" priority="225">
      <formula>LEN(TRIM(F86))=0</formula>
    </cfRule>
    <cfRule type="notContainsBlanks" dxfId="957" priority="224">
      <formula>LEN(TRIM(F86))&gt;0</formula>
    </cfRule>
    <cfRule type="expression" dxfId="953" priority="222">
      <formula>mgmt_domain_existing_vcf_operations_chosen="Selected"</formula>
    </cfRule>
  </conditionalFormatting>
  <conditionalFormatting sqref="F111:F116">
    <cfRule type="expression" dxfId="946" priority="854">
      <formula>mgmt_domain_existing_vcf_operations_chosen="Selected"</formula>
    </cfRule>
    <cfRule type="notContainsBlanks" dxfId="944" priority="856">
      <formula>LEN(TRIM(F111))&gt;0</formula>
    </cfRule>
    <cfRule type="expression" dxfId="941" priority="863">
      <formula>AND((VRLI_Result="Excluded"),(VROPS_Result="Excluded"),(VRA_Result="Excluded"))</formula>
    </cfRule>
    <cfRule type="expression" dxfId="940" priority="858">
      <formula>(VROPS_Result="Excluded")</formula>
    </cfRule>
    <cfRule type="containsBlanks" dxfId="938" priority="857">
      <formula>LEN(TRIM(F111))=0</formula>
    </cfRule>
  </conditionalFormatting>
  <conditionalFormatting sqref="F122:F124">
    <cfRule type="expression" dxfId="935" priority="207">
      <formula>AND((VRLI_Result="Excluded"),(VROPS_Result="Excluded"),(VRA_Result="Excluded"))</formula>
    </cfRule>
  </conditionalFormatting>
  <conditionalFormatting sqref="F122:F126">
    <cfRule type="containsBlanks" dxfId="930" priority="201">
      <formula>LEN(TRIM(F122))=0</formula>
    </cfRule>
    <cfRule type="notContainsBlanks" dxfId="929" priority="200">
      <formula>LEN(TRIM(F122))&gt;0</formula>
    </cfRule>
    <cfRule type="expression" dxfId="927" priority="198">
      <formula>mgmt_domain_existing_vcf_operations_chosen="Selected"</formula>
    </cfRule>
    <cfRule type="expression" dxfId="926" priority="202">
      <formula>(VROPS_Result="Excluded")</formula>
    </cfRule>
  </conditionalFormatting>
  <conditionalFormatting sqref="F132:F137">
    <cfRule type="expression" dxfId="923" priority="524">
      <formula>(VROPS_Result="Excluded")</formula>
    </cfRule>
    <cfRule type="expression" dxfId="918" priority="529">
      <formula>AND((VRLI_Result="Excluded"),(VROPS_Result="Excluded"),(VRA_Result="Excluded"))</formula>
    </cfRule>
  </conditionalFormatting>
  <conditionalFormatting sqref="F132:F140 C232:C242 C244:C251 L254:L262 L330:L365">
    <cfRule type="containsBlanks" dxfId="917" priority="181">
      <formula>LEN(TRIM(C132))=0</formula>
    </cfRule>
    <cfRule type="notContainsBlanks" dxfId="916" priority="180">
      <formula>LEN(TRIM(C132))&gt;0</formula>
    </cfRule>
    <cfRule type="expression" dxfId="915" priority="178">
      <formula>mgmt_domain_existing_vcf_operations_chosen="Selected"</formula>
    </cfRule>
  </conditionalFormatting>
  <conditionalFormatting sqref="F144:F146">
    <cfRule type="expression" dxfId="909" priority="851">
      <formula>AND((VRLI_Result="Excluded"),(VROPS_Result="Excluded"),(VRA_Result="Excluded"))</formula>
    </cfRule>
  </conditionalFormatting>
  <conditionalFormatting sqref="F144:F158">
    <cfRule type="notContainsBlanks" dxfId="905" priority="510">
      <formula>LEN(TRIM(F144))&gt;0</formula>
    </cfRule>
    <cfRule type="expression" dxfId="904" priority="508">
      <formula>mgmt_domain_existing_vcf_operations_chosen="Selected"</formula>
    </cfRule>
    <cfRule type="containsBlanks" dxfId="902" priority="511">
      <formula>LEN(TRIM(F144))=0</formula>
    </cfRule>
    <cfRule type="expression" dxfId="901" priority="512">
      <formula>(VROPS_Result="Excluded")</formula>
    </cfRule>
  </conditionalFormatting>
  <conditionalFormatting sqref="F147">
    <cfRule type="expression" dxfId="896" priority="517">
      <formula>AND((VRLI_Result="Excluded"),(VROPS_Result="Excluded"),(VRA_Result="Excluded"))</formula>
    </cfRule>
  </conditionalFormatting>
  <conditionalFormatting sqref="F148:F152">
    <cfRule type="expression" dxfId="894" priority="541">
      <formula>AND((VRLI_Result="Excluded"),(VROPS_Result="Excluded"),(VRA_Result="Excluded"))</formula>
    </cfRule>
  </conditionalFormatting>
  <conditionalFormatting sqref="F160:F192 C253:C260">
    <cfRule type="containsBlanks" dxfId="890" priority="173">
      <formula>LEN(TRIM(C160))=0</formula>
    </cfRule>
    <cfRule type="notContainsBlanks" dxfId="889" priority="172">
      <formula>LEN(TRIM(C160))&gt;0</formula>
    </cfRule>
    <cfRule type="expression" dxfId="887" priority="170">
      <formula>mgmt_domain_existing_vcf_operations_chosen="Selected"</formula>
    </cfRule>
  </conditionalFormatting>
  <conditionalFormatting sqref="F172:F192">
    <cfRule type="expression" dxfId="886" priority="150">
      <formula>(VROPS_Result="Excluded")</formula>
    </cfRule>
  </conditionalFormatting>
  <conditionalFormatting sqref="F191:F192">
    <cfRule type="expression" dxfId="885" priority="155">
      <formula>AND((VRLI_Result="Excluded"),(VROPS_Result="Excluded"),(VRA_Result="Excluded"))</formula>
    </cfRule>
  </conditionalFormatting>
  <conditionalFormatting sqref="I8:I10 I12:I15 I17:I24 I26:I33 I35:I42 I53:I69 C147:C188">
    <cfRule type="notContainsBlanks" dxfId="878" priority="483">
      <formula>LEN(TRIM(C8))&gt;0</formula>
    </cfRule>
    <cfRule type="containsBlanks" dxfId="877" priority="484">
      <formula>LEN(TRIM(C8))=0</formula>
    </cfRule>
  </conditionalFormatting>
  <conditionalFormatting sqref="I17:I24 I26:I33 I35:I42 I8:I10 I12:I15 I53:I69">
    <cfRule type="expression" dxfId="875" priority="481">
      <formula>mgmt_domain_existing_vcf_operations_chosen="Selected"</formula>
    </cfRule>
  </conditionalFormatting>
  <conditionalFormatting sqref="I17:I24">
    <cfRule type="expression" dxfId="874" priority="326">
      <formula>mgmt_domain_existing_vcf_operations_chosen="Selected"</formula>
    </cfRule>
    <cfRule type="notContainsBlanks" dxfId="872" priority="328">
      <formula>LEN(TRIM(I17))&gt;0</formula>
    </cfRule>
    <cfRule type="containsBlanks" dxfId="871" priority="329">
      <formula>LEN(TRIM(I17))=0</formula>
    </cfRule>
  </conditionalFormatting>
  <conditionalFormatting sqref="I26:I33">
    <cfRule type="containsBlanks" dxfId="870" priority="325">
      <formula>LEN(TRIM(I26))=0</formula>
    </cfRule>
    <cfRule type="expression" dxfId="869" priority="322">
      <formula>mgmt_domain_existing_vcf_operations_chosen="Selected"</formula>
    </cfRule>
    <cfRule type="notContainsBlanks" dxfId="867" priority="324">
      <formula>LEN(TRIM(I26))&gt;0</formula>
    </cfRule>
  </conditionalFormatting>
  <conditionalFormatting sqref="I35:I42">
    <cfRule type="containsBlanks" dxfId="866" priority="321">
      <formula>LEN(TRIM(I35))=0</formula>
    </cfRule>
    <cfRule type="expression" dxfId="864" priority="318">
      <formula>mgmt_domain_existing_vcf_operations_chosen="Selected"</formula>
    </cfRule>
    <cfRule type="notContainsBlanks" dxfId="863" priority="320">
      <formula>LEN(TRIM(I35))&gt;0</formula>
    </cfRule>
  </conditionalFormatting>
  <conditionalFormatting sqref="I44:I51">
    <cfRule type="expression" dxfId="862" priority="32">
      <formula>mgmt_domain_existing_vcf_operations_chosen="Selected"</formula>
    </cfRule>
    <cfRule type="containsBlanks" dxfId="861" priority="31">
      <formula>LEN(TRIM(I44))=0</formula>
    </cfRule>
    <cfRule type="notContainsBlanks" dxfId="860" priority="30">
      <formula>LEN(TRIM(I44))&gt;0</formula>
    </cfRule>
    <cfRule type="expression" dxfId="858" priority="28">
      <formula>mgmt_domain_existing_vcf_operations_chosen="Selected"</formula>
    </cfRule>
    <cfRule type="containsBlanks" dxfId="857" priority="35">
      <formula>LEN(TRIM(I44))=0</formula>
    </cfRule>
    <cfRule type="notContainsBlanks" dxfId="856" priority="34">
      <formula>LEN(TRIM(I44))&gt;0</formula>
    </cfRule>
  </conditionalFormatting>
  <conditionalFormatting sqref="I127:I130 I132:I135 I137:I140 I105:I125">
    <cfRule type="expression" dxfId="853" priority="465">
      <formula>AND((VRLI_Result="Excluded"),(VROPS_Result="Excluded"),(VRA_Result="Excluded"))</formula>
    </cfRule>
  </conditionalFormatting>
  <conditionalFormatting sqref="I127:I130 I132:I135 I137:I140">
    <cfRule type="expression" dxfId="852" priority="461">
      <formula>(VROPS_Result="Excluded")</formula>
    </cfRule>
    <cfRule type="notContainsBlanks" dxfId="848" priority="459">
      <formula>LEN(TRIM(I127))&gt;0</formula>
    </cfRule>
    <cfRule type="expression" dxfId="847" priority="457">
      <formula>mgmt_domain_existing_vcf_operations_chosen="Selected"</formula>
    </cfRule>
    <cfRule type="containsBlanks" dxfId="846" priority="460">
      <formula>LEN(TRIM(I127))=0</formula>
    </cfRule>
  </conditionalFormatting>
  <conditionalFormatting sqref="I142:I145 I147:I150">
    <cfRule type="expression" dxfId="842" priority="453">
      <formula>AND((VRLI_Result="Excluded"),(VROPS_Result="Excluded"),(VRA_Result="Excluded"))</formula>
    </cfRule>
    <cfRule type="expression" dxfId="839" priority="449">
      <formula>(VROPS_Result="Excluded")</formula>
    </cfRule>
    <cfRule type="containsBlanks" dxfId="838" priority="448">
      <formula>LEN(TRIM(I142))=0</formula>
    </cfRule>
    <cfRule type="notContainsBlanks" dxfId="837" priority="447">
      <formula>LEN(TRIM(I142))&gt;0</formula>
    </cfRule>
    <cfRule type="expression" dxfId="835" priority="445">
      <formula>mgmt_domain_existing_vcf_operations_chosen="Selected"</formula>
    </cfRule>
  </conditionalFormatting>
  <conditionalFormatting sqref="I152:I155">
    <cfRule type="expression" dxfId="831" priority="429">
      <formula>AND((VRLI_Result="Excluded"),(VROPS_Result="Excluded"),(VRA_Result="Excluded"))</formula>
    </cfRule>
    <cfRule type="expression" dxfId="828" priority="421">
      <formula>mgmt_domain_existing_vcf_operations_chosen="Selected"</formula>
    </cfRule>
    <cfRule type="notContainsBlanks" dxfId="826" priority="423">
      <formula>LEN(TRIM(I152))&gt;0</formula>
    </cfRule>
    <cfRule type="containsBlanks" dxfId="825" priority="424">
      <formula>LEN(TRIM(I152))=0</formula>
    </cfRule>
    <cfRule type="expression" dxfId="824" priority="425">
      <formula>(VROPS_Result="Excluded")</formula>
    </cfRule>
  </conditionalFormatting>
  <conditionalFormatting sqref="I157:I160">
    <cfRule type="expression" dxfId="819" priority="417">
      <formula>AND((VRLI_Result="Excluded"),(VROPS_Result="Excluded"),(VRA_Result="Excluded"))</formula>
    </cfRule>
  </conditionalFormatting>
  <conditionalFormatting sqref="I157:I174 L254:L260 L330:L351 L354:L365">
    <cfRule type="expression" dxfId="817" priority="413">
      <formula>(VROPS_Result="Excluded")</formula>
    </cfRule>
  </conditionalFormatting>
  <conditionalFormatting sqref="I157:I174">
    <cfRule type="expression" dxfId="816" priority="409">
      <formula>mgmt_domain_existing_vcf_operations_chosen="Selected"</formula>
    </cfRule>
    <cfRule type="notContainsBlanks" dxfId="814" priority="411">
      <formula>LEN(TRIM(I157))&gt;0</formula>
    </cfRule>
    <cfRule type="containsBlanks" dxfId="813" priority="412">
      <formula>LEN(TRIM(I157))=0</formula>
    </cfRule>
  </conditionalFormatting>
  <conditionalFormatting sqref="I161:I174">
    <cfRule type="expression" dxfId="812" priority="441">
      <formula>AND((VRLI_Result="Excluded"),(VROPS_Result="Excluded"),(VRA_Result="Excluded"))</formula>
    </cfRule>
  </conditionalFormatting>
  <conditionalFormatting sqref="I249:I256">
    <cfRule type="notContainsBlanks" dxfId="807" priority="22">
      <formula>LEN(TRIM(I249))&gt;0</formula>
    </cfRule>
    <cfRule type="expression" dxfId="806" priority="20">
      <formula>mgmt_domain_existing_vcf_operations_chosen="Selected"</formula>
    </cfRule>
    <cfRule type="containsBlanks" dxfId="805" priority="23">
      <formula>LEN(TRIM(I249))=0</formula>
    </cfRule>
  </conditionalFormatting>
  <conditionalFormatting sqref="I249:I312">
    <cfRule type="expression" dxfId="803" priority="24">
      <formula>mgmt_domain_existing_vcf_operations_chosen="Selected"</formula>
    </cfRule>
    <cfRule type="notContainsBlanks" dxfId="802" priority="26">
      <formula>LEN(TRIM(I249))&gt;0</formula>
    </cfRule>
    <cfRule type="containsBlanks" dxfId="801" priority="27">
      <formula>LEN(TRIM(I249))=0</formula>
    </cfRule>
  </conditionalFormatting>
  <conditionalFormatting sqref="L39">
    <cfRule type="expression" dxfId="799" priority="618">
      <formula>AND((VRLI_Result="Excluded"),(VROPS_Result="Excluded"),(VRA_Result="Excluded"))</formula>
    </cfRule>
  </conditionalFormatting>
  <conditionalFormatting sqref="L60:L62">
    <cfRule type="expression" dxfId="795" priority="5366">
      <formula>AND(VVD_Result="Excluded",ISBLANK(#REF!))</formula>
    </cfRule>
  </conditionalFormatting>
  <conditionalFormatting sqref="L66:L67">
    <cfRule type="expression" dxfId="794" priority="2694">
      <formula>AND(VVD_Result="Excluded",ISBLANK(#REF!))</formula>
    </cfRule>
  </conditionalFormatting>
  <conditionalFormatting sqref="L68">
    <cfRule type="expression" dxfId="790" priority="5351">
      <formula>AND(VVD_Result="Excluded",ISBLANK(#REF!))</formula>
    </cfRule>
  </conditionalFormatting>
  <conditionalFormatting sqref="L97:L98 L111:L122">
    <cfRule type="expression" dxfId="776" priority="1532">
      <formula>(VVD_Result="Excluded")</formula>
    </cfRule>
  </conditionalFormatting>
  <conditionalFormatting sqref="L100">
    <cfRule type="expression" dxfId="775" priority="2029">
      <formula>OR((VROPS_Result="Excluded"),(VRA_Result="Excluded"))</formula>
    </cfRule>
  </conditionalFormatting>
  <conditionalFormatting sqref="L101">
    <cfRule type="expression" dxfId="774" priority="2028">
      <formula>(VRLI_Result="Excluded")</formula>
    </cfRule>
  </conditionalFormatting>
  <conditionalFormatting sqref="L102">
    <cfRule type="expression" dxfId="773" priority="2027">
      <formula>OR((VRLI_Result="Excluded"),(VROPS_Result="Excluded"))</formula>
    </cfRule>
  </conditionalFormatting>
  <conditionalFormatting sqref="L107">
    <cfRule type="expression" dxfId="768" priority="2025">
      <formula>OR((VROPS_Result="Excluded"),(VRA_Result="Excluded"))</formula>
    </cfRule>
  </conditionalFormatting>
  <conditionalFormatting sqref="L126:L127">
    <cfRule type="expression" dxfId="766" priority="2276">
      <formula>(VVD_Result="Excluded")</formula>
    </cfRule>
  </conditionalFormatting>
  <conditionalFormatting sqref="L131:L132">
    <cfRule type="expression" dxfId="763" priority="2084">
      <formula>OR((VVD_Result="Excluded"),(tanzu_result="Excluded"))</formula>
    </cfRule>
  </conditionalFormatting>
  <conditionalFormatting sqref="L145:L151 L103:L106">
    <cfRule type="expression" dxfId="762" priority="2022">
      <formula>(VRA_Result="Excluded")</formula>
    </cfRule>
  </conditionalFormatting>
  <conditionalFormatting sqref="L164">
    <cfRule type="expression" dxfId="761" priority="1529">
      <formula>(VVD_Result="Excluded")</formula>
    </cfRule>
  </conditionalFormatting>
  <conditionalFormatting sqref="L167:L179 C37:C49">
    <cfRule type="expression" dxfId="758" priority="621">
      <formula>mgmt_domain_existing_vcf_operations_chosen="Selected"</formula>
    </cfRule>
  </conditionalFormatting>
  <conditionalFormatting sqref="L179">
    <cfRule type="expression" dxfId="757" priority="582">
      <formula>AND((VRLI_Result="Excluded"),(VROPS_Result="Excluded"),(VRA_Result="Excluded"))</formula>
    </cfRule>
  </conditionalFormatting>
  <conditionalFormatting sqref="L229">
    <cfRule type="containsBlanks" dxfId="755" priority="99">
      <formula>LEN(TRIM(L229))=0</formula>
    </cfRule>
    <cfRule type="notContainsBlanks" dxfId="754" priority="98">
      <formula>LEN(TRIM(L229))&gt;0</formula>
    </cfRule>
    <cfRule type="expression" dxfId="752" priority="96">
      <formula>mgmt_domain_existing_vcf_operations_chosen="Selected"</formula>
    </cfRule>
    <cfRule type="expression" dxfId="751" priority="100">
      <formula>(VROPS_Result="Excluded")</formula>
    </cfRule>
  </conditionalFormatting>
  <conditionalFormatting sqref="L234:L252">
    <cfRule type="expression" dxfId="747" priority="106">
      <formula>(VROPS_Result="Excluded")</formula>
    </cfRule>
    <cfRule type="containsBlanks" dxfId="746" priority="105">
      <formula>LEN(TRIM(L234))=0</formula>
    </cfRule>
    <cfRule type="notContainsBlanks" dxfId="745" priority="104">
      <formula>LEN(TRIM(L234))&gt;0</formula>
    </cfRule>
    <cfRule type="expression" dxfId="744" priority="102">
      <formula>mgmt_domain_existing_vcf_operations_chosen="Selected"</formula>
    </cfRule>
  </conditionalFormatting>
  <conditionalFormatting sqref="L269:L272">
    <cfRule type="expression" dxfId="743" priority="78">
      <formula>mgmt_domain_existing_vcf_operations_chosen="Selected"</formula>
    </cfRule>
    <cfRule type="notContainsBlanks" dxfId="741" priority="80">
      <formula>LEN(TRIM(L269))&gt;0</formula>
    </cfRule>
    <cfRule type="containsBlanks" dxfId="740" priority="81">
      <formula>LEN(TRIM(L269))=0</formula>
    </cfRule>
    <cfRule type="expression" dxfId="739" priority="82">
      <formula>(VROPS_Result="Excluded")</formula>
    </cfRule>
  </conditionalFormatting>
  <conditionalFormatting sqref="L274:L284">
    <cfRule type="notContainsBlanks" dxfId="737" priority="74">
      <formula>LEN(TRIM(L274))&gt;0</formula>
    </cfRule>
    <cfRule type="containsBlanks" dxfId="735" priority="75">
      <formula>LEN(TRIM(L274))=0</formula>
    </cfRule>
    <cfRule type="expression" dxfId="734" priority="76">
      <formula>(VROPS_Result="Excluded")</formula>
    </cfRule>
    <cfRule type="expression" dxfId="732" priority="72">
      <formula>mgmt_domain_existing_vcf_operations_chosen="Selected"</formula>
    </cfRule>
  </conditionalFormatting>
  <conditionalFormatting sqref="Q106">
    <cfRule type="expression" dxfId="730" priority="1451">
      <formula>AND((VRLI_Result="Excluded"),(VROPS_Result="Excluded"),(VRA_Result="Excluded"))</formula>
    </cfRule>
  </conditionalFormatting>
  <conditionalFormatting sqref="Q112">
    <cfRule type="expression" dxfId="729" priority="1442">
      <formula>AND((VRLI_Result="Excluded"),(VROPS_Result="Excluded"),(VRA_Result="Excluded"))</formula>
    </cfRule>
  </conditionalFormatting>
  <conditionalFormatting sqref="Q117">
    <cfRule type="expression" dxfId="728" priority="1441">
      <formula>AND((VRLI_Result="Excluded"),(VROPS_Result="Excluded"),(VRA_Result="Excluded"))</formula>
    </cfRule>
  </conditionalFormatting>
  <conditionalFormatting sqref="Q122">
    <cfRule type="expression" dxfId="727" priority="1444">
      <formula>AND((VRLI_Result="Excluded"),(VROPS_Result="Excluded"),(VRA_Result="Excluded"))</formula>
    </cfRule>
  </conditionalFormatting>
  <conditionalFormatting sqref="Q127">
    <cfRule type="expression" dxfId="726" priority="1443">
      <formula>AND((VRLI_Result="Excluded"),(VROPS_Result="Excluded"),(VRA_Result="Excluded"))</formula>
    </cfRule>
  </conditionalFormatting>
  <conditionalFormatting sqref="R8 L152:L160 R16 R12 T6 K13">
    <cfRule type="expression" dxfId="725" priority="1976">
      <formula>AND((VRLI_Result="Excluded"),(VROPS_Result="Excluded"),(VRA_Result="Excluded"))</formula>
    </cfRule>
  </conditionalFormatting>
  <conditionalFormatting sqref="R8">
    <cfRule type="expression" dxfId="720" priority="1017">
      <formula>mgmt_domain_existing_vcf_operations_chosen="Selected"</formula>
    </cfRule>
    <cfRule type="notContainsBlanks" dxfId="718" priority="1019">
      <formula>LEN(TRIM(R8))&gt;0</formula>
    </cfRule>
    <cfRule type="containsBlanks" dxfId="717" priority="1020">
      <formula>LEN(TRIM(R8))=0</formula>
    </cfRule>
    <cfRule type="expression" dxfId="716" priority="1021">
      <formula>(VROPS_Result="Excluded")</formula>
    </cfRule>
  </conditionalFormatting>
  <conditionalFormatting sqref="R12">
    <cfRule type="expression" dxfId="709" priority="995">
      <formula>(VROPS_Result="Excluded")</formula>
    </cfRule>
    <cfRule type="expression" dxfId="708" priority="991">
      <formula>mgmt_domain_existing_vcf_operations_chosen="Selected"</formula>
    </cfRule>
    <cfRule type="notContainsBlanks" dxfId="706" priority="993">
      <formula>LEN(TRIM(R12))&gt;0</formula>
    </cfRule>
    <cfRule type="containsBlanks" dxfId="705" priority="994">
      <formula>LEN(TRIM(R12))=0</formula>
    </cfRule>
  </conditionalFormatting>
  <conditionalFormatting sqref="R16">
    <cfRule type="expression" dxfId="694" priority="1009">
      <formula>(VROPS_Result="Excluded")</formula>
    </cfRule>
    <cfRule type="containsBlanks" dxfId="693" priority="1008">
      <formula>LEN(TRIM(R16))=0</formula>
    </cfRule>
    <cfRule type="notContainsBlanks" dxfId="692" priority="1007">
      <formula>LEN(TRIM(R16))&gt;0</formula>
    </cfRule>
    <cfRule type="expression" dxfId="690" priority="1005">
      <formula>mgmt_domain_existing_vcf_operations_chosen="Selected"</formula>
    </cfRule>
  </conditionalFormatting>
  <conditionalFormatting sqref="R38:R43">
    <cfRule type="notContainsBlanks" dxfId="682" priority="978">
      <formula>LEN(TRIM(R38))&gt;0</formula>
    </cfRule>
    <cfRule type="containsBlanks" dxfId="681" priority="979">
      <formula>LEN(TRIM(R38))=0</formula>
    </cfRule>
    <cfRule type="expression" dxfId="680" priority="976">
      <formula>mgmt_domain_existing_vcf_operations_chosen="Selected"</formula>
    </cfRule>
    <cfRule type="expression" dxfId="678" priority="980">
      <formula>(VROPS_Result="Excluded")</formula>
    </cfRule>
    <cfRule type="expression" dxfId="672" priority="990">
      <formula>AND((VRLI_Result="Excluded"),(VROPS_Result="Excluded"),(VRA_Result="Excluded"))</formula>
    </cfRule>
  </conditionalFormatting>
  <conditionalFormatting sqref="R48">
    <cfRule type="expression" dxfId="667" priority="975">
      <formula>AND((VRLI_Result="Excluded"),(VROPS_Result="Excluded"),(VRA_Result="Excluded"))</formula>
    </cfRule>
    <cfRule type="expression" dxfId="666" priority="961">
      <formula>mgmt_domain_existing_vcf_operations_chosen="Selected"</formula>
    </cfRule>
    <cfRule type="notContainsBlanks" dxfId="663" priority="963">
      <formula>LEN(TRIM(R48))&gt;0</formula>
    </cfRule>
    <cfRule type="containsBlanks" dxfId="662" priority="964">
      <formula>LEN(TRIM(R48))=0</formula>
    </cfRule>
    <cfRule type="expression" dxfId="661" priority="965">
      <formula>(VROPS_Result="Excluded")</formula>
    </cfRule>
  </conditionalFormatting>
  <conditionalFormatting sqref="R52">
    <cfRule type="expression" dxfId="652" priority="950">
      <formula>(VROPS_Result="Excluded")</formula>
    </cfRule>
    <cfRule type="expression" dxfId="650" priority="960">
      <formula>AND((VRLI_Result="Excluded"),(VROPS_Result="Excluded"),(VRA_Result="Excluded"))</formula>
    </cfRule>
    <cfRule type="containsBlanks" dxfId="649" priority="949">
      <formula>LEN(TRIM(R52))=0</formula>
    </cfRule>
    <cfRule type="notContainsBlanks" dxfId="646" priority="948">
      <formula>LEN(TRIM(R52))&gt;0</formula>
    </cfRule>
    <cfRule type="expression" dxfId="643" priority="946">
      <formula>mgmt_domain_existing_vcf_operations_chosen="Selected"</formula>
    </cfRule>
  </conditionalFormatting>
  <conditionalFormatting sqref="R56:R59">
    <cfRule type="expression" dxfId="640" priority="2053">
      <formula>(VRLI_Result="Excluded")</formula>
    </cfRule>
  </conditionalFormatting>
  <conditionalFormatting sqref="R63:R66">
    <cfRule type="expression" dxfId="638" priority="2065">
      <formula>(VRLI_Result="Excluded")</formula>
    </cfRule>
  </conditionalFormatting>
  <conditionalFormatting sqref="R70:R73">
    <cfRule type="expression" dxfId="637" priority="2039">
      <formula>(VRLI_Result="Excluded")</formula>
    </cfRule>
  </conditionalFormatting>
  <conditionalFormatting sqref="R85:R88 L99">
    <cfRule type="expression" dxfId="635" priority="2066">
      <formula>(VROPS_Result="Excluded")</formula>
    </cfRule>
  </conditionalFormatting>
  <conditionalFormatting sqref="R85:R89">
    <cfRule type="expression" dxfId="633" priority="1029">
      <formula>mgmt_domain_existing_vcf_operations_chosen="Selected"</formula>
    </cfRule>
    <cfRule type="notContainsBlanks" dxfId="632" priority="1031">
      <formula>LEN(TRIM(R85))&gt;0</formula>
    </cfRule>
    <cfRule type="containsBlanks" dxfId="631" priority="1032">
      <formula>LEN(TRIM(R85))=0</formula>
    </cfRule>
  </conditionalFormatting>
  <conditionalFormatting sqref="R93:R97">
    <cfRule type="containsBlanks" dxfId="629" priority="1028">
      <formula>LEN(TRIM(R93))=0</formula>
    </cfRule>
    <cfRule type="notContainsBlanks" dxfId="628" priority="1027">
      <formula>LEN(TRIM(R93))&gt;0</formula>
    </cfRule>
    <cfRule type="expression" dxfId="626" priority="1025">
      <formula>mgmt_domain_existing_vcf_operations_chosen="Selected"</formula>
    </cfRule>
  </conditionalFormatting>
  <conditionalFormatting sqref="R134:R135">
    <cfRule type="expression" dxfId="615" priority="1140">
      <formula>(VROPS_Result="Excluded")</formula>
    </cfRule>
  </conditionalFormatting>
  <conditionalFormatting sqref="R139:R140">
    <cfRule type="expression" dxfId="607" priority="1145">
      <formula>(VRLI_Result="Excluded")</formula>
    </cfRule>
  </conditionalFormatting>
  <conditionalFormatting sqref="T42">
    <cfRule type="expression" dxfId="605" priority="1054">
      <formula>AND((VRLI_Result="Excluded"),(VROPS_Result="Excluded"),(VRA_Result="Excluded"))</formula>
    </cfRule>
  </conditionalFormatting>
  <conditionalFormatting sqref="T50">
    <cfRule type="expression" dxfId="604" priority="1430">
      <formula>AND((VRLI_Result="Excluded"),(VROPS_Result="Excluded"),(VRA_Result="Excluded"))</formula>
    </cfRule>
  </conditionalFormatting>
  <conditionalFormatting sqref="T125">
    <cfRule type="expression" dxfId="603" priority="1161">
      <formula>AND((VRLI_Result="Excluded"),(VROPS_Result="Excluded"),(VRA_Result="Excluded"))</formula>
    </cfRule>
  </conditionalFormatting>
  <conditionalFormatting sqref="T155">
    <cfRule type="expression" dxfId="602" priority="1224">
      <formula>AND((VRLI_Result="Excluded"),(VROPS_Result="Excluded"),(VRA_Result="Excluded"))</formula>
    </cfRule>
  </conditionalFormatting>
  <conditionalFormatting sqref="T190">
    <cfRule type="expression" dxfId="601" priority="65">
      <formula>AND((VRLI_Result="Excluded"),(VROPS_Result="Excluded"),(VRA_Result="Excluded"))</formula>
    </cfRule>
  </conditionalFormatting>
  <conditionalFormatting sqref="T62:U62">
    <cfRule type="expression" dxfId="600" priority="1466">
      <formula>AND((VRLI_Result="Excluded"),(VROPS_Result="Excluded"),(VRA_Result="Excluded"))</formula>
    </cfRule>
  </conditionalFormatting>
  <conditionalFormatting sqref="T101:U101">
    <cfRule type="expression" dxfId="599" priority="1462">
      <formula>AND((VRLI_Result="Excluded"),(VROPS_Result="Excluded"),(VRA_Result="Excluded"))</formula>
    </cfRule>
  </conditionalFormatting>
  <conditionalFormatting sqref="U52:U60">
    <cfRule type="expression" dxfId="593" priority="1427">
      <formula>(VROPS_Result="Excluded")</formula>
    </cfRule>
  </conditionalFormatting>
  <conditionalFormatting sqref="U55:U60">
    <cfRule type="expression" dxfId="590" priority="1327">
      <formula>(VROPS_Result="Excluded")</formula>
    </cfRule>
  </conditionalFormatting>
  <conditionalFormatting sqref="U64">
    <cfRule type="expression" dxfId="587" priority="1372">
      <formula>(VROPS_Result="Excluded")</formula>
    </cfRule>
  </conditionalFormatting>
  <conditionalFormatting sqref="U64:U98 U103:U122 R77:R81">
    <cfRule type="expression" dxfId="584" priority="2054">
      <formula>(VROPS_Result="Excluded")</formula>
    </cfRule>
  </conditionalFormatting>
  <conditionalFormatting sqref="U71:U72">
    <cfRule type="expression" dxfId="581" priority="1416">
      <formula>(VROPS_Result="Excluded")</formula>
    </cfRule>
  </conditionalFormatting>
  <conditionalFormatting sqref="U79">
    <cfRule type="expression" dxfId="579" priority="1413">
      <formula>(VROPS_Result="Excluded")</formula>
    </cfRule>
  </conditionalFormatting>
  <conditionalFormatting sqref="U80 L139:L141">
    <cfRule type="expression" dxfId="577" priority="1992">
      <formula>(VROPS_Result="Excluded")</formula>
    </cfRule>
  </conditionalFormatting>
  <conditionalFormatting sqref="U91:U99">
    <cfRule type="expression" dxfId="572" priority="1380">
      <formula>(VROPS_Result="Excluded")</formula>
    </cfRule>
  </conditionalFormatting>
  <conditionalFormatting sqref="U191:U211">
    <cfRule type="containsBlanks" dxfId="568" priority="177">
      <formula>LEN(TRIM(U191))=0</formula>
    </cfRule>
    <cfRule type="notContainsBlanks" dxfId="567" priority="176">
      <formula>LEN(TRIM(U191))&gt;0</formula>
    </cfRule>
    <cfRule type="expression" dxfId="565" priority="174">
      <formula>mgmt_domain_existing_vcf_operations_chosen="Selected"</formula>
    </cfRule>
  </conditionalFormatting>
  <conditionalFormatting sqref="U212">
    <cfRule type="expression" dxfId="564" priority="43">
      <formula>mgmt_tier0_skip_chosen="Selected"</formula>
    </cfRule>
    <cfRule type="notContainsBlanks" dxfId="562" priority="45">
      <formula>LEN(TRIM(U212))&gt;0</formula>
    </cfRule>
    <cfRule type="containsBlanks" dxfId="561" priority="46">
      <formula>LEN(TRIM(U212))=0</formula>
    </cfRule>
    <cfRule type="expression" dxfId="560" priority="42">
      <formula>mgmt_vns_result="Excluded"</formula>
    </cfRule>
  </conditionalFormatting>
  <conditionalFormatting sqref="Z6">
    <cfRule type="expression" dxfId="531" priority="1979">
      <formula>AND((VRLI_Result="Excluded"),(VROPS_Result="Excluded"),(VRA_Result="Excluded"))</formula>
    </cfRule>
  </conditionalFormatting>
  <conditionalFormatting sqref="AA8:AA28 Q99">
    <cfRule type="expression" dxfId="528" priority="1458">
      <formula>AND((VRLI_Result="Excluded"),(VROPS_Result="Excluded"),(VRA_Result="Excluded"))</formula>
    </cfRule>
  </conditionalFormatting>
  <conditionalFormatting sqref="AA29">
    <cfRule type="expression" dxfId="524" priority="1904">
      <formula>(VRA_Result="Excluded")</formula>
    </cfRule>
  </conditionalFormatting>
  <conditionalFormatting sqref="AA30:AA32">
    <cfRule type="expression" dxfId="521" priority="1688">
      <formula>AND((VRLI_Result="Excluded"),(VROPS_Result="Excluded"),(VRA_Result="Excluded"))</formula>
    </cfRule>
  </conditionalFormatting>
  <conditionalFormatting sqref="AA94:AA106 L133:L138">
    <cfRule type="expression" dxfId="505" priority="1998">
      <formula>AND((VRLI_Result="Excluded"),(VROPS_Result="Excluded"),(VRA_Result="Excluded"))</formula>
    </cfRule>
  </conditionalFormatting>
  <conditionalFormatting sqref="AA107">
    <cfRule type="expression" dxfId="503" priority="1033">
      <formula>(mgmt_consolidated_chosen="Exclude")</formula>
    </cfRule>
    <cfRule type="expression" dxfId="502" priority="1034">
      <formula>(mgmt_consolidated_chosen="Include")</formula>
    </cfRule>
  </conditionalFormatting>
  <dataValidations count="3">
    <dataValidation type="list" allowBlank="1" showInputMessage="1" showErrorMessage="1" sqref="F7" xr:uid="{194CA598-9407-7142-8497-35512093F2E4}">
      <formula1>"1,2,3"</formula1>
    </dataValidation>
    <dataValidation type="list" allowBlank="1" showInputMessage="1" showErrorMessage="1" sqref="I8" xr:uid="{D2200846-EA42-B04B-A4CE-965659BACEF2}">
      <formula1>"VI Workload Domain, MGMT Workload Domain"</formula1>
    </dataValidation>
    <dataValidation type="list" allowBlank="1" showInputMessage="1" showErrorMessage="1" sqref="E10" xr:uid="{C69FA742-5038-9D45-BD6D-BB0D8DB6294F}">
      <formula1>"Include,Exclude"</formula1>
    </dataValidation>
  </dataValidations>
  <hyperlinks>
    <hyperlink ref="O52" r:id="rId1" xr:uid="{00000000-0004-0000-0C00-000000000000}"/>
    <hyperlink ref="O53" r:id="rId2" display="mailto:administrator@vsphere.local" xr:uid="{00000000-0004-0000-0C00-000001000000}"/>
    <hyperlink ref="L97" r:id="rId3" xr:uid="{00000000-0004-0000-0C00-000002000000}"/>
    <hyperlink ref="L98" r:id="rId4" xr:uid="{00000000-0004-0000-0C00-000003000000}"/>
  </hyperlinks>
  <pageMargins left="0.7" right="0.7" top="0.75" bottom="0.75" header="0.3" footer="0.3"/>
  <pageSetup paperSize="9" orientation="portrait" horizontalDpi="0" verticalDpi="0"/>
  <drawing r:id="rId5"/>
  <extLst>
    <ext xmlns:x14="http://schemas.microsoft.com/office/spreadsheetml/2009/9/main" uri="{78C0D931-6437-407d-A8EE-F0AAD7539E65}">
      <x14:conditionalFormattings>
        <x14:conditionalFormatting xmlns:xm="http://schemas.microsoft.com/office/excel/2006/main">
          <x14:cfRule type="notContainsText" priority="402" operator="notContains" id="{F0B3571E-5508-6A4B-BD78-633DFB98A3FE}">
            <xm:f>ISERROR(SEARCH("Value Missing",C7))</xm:f>
            <xm:f>"Value Missing"</xm:f>
            <x14:dxf>
              <font>
                <color rgb="FF006100"/>
              </font>
              <fill>
                <patternFill>
                  <bgColor rgb="FFC6EFCE"/>
                </patternFill>
              </fill>
            </x14:dxf>
          </x14:cfRule>
          <xm:sqref>C7:C10 L39:L40 F172:F190 I105:I125</xm:sqref>
        </x14:conditionalFormatting>
        <x14:conditionalFormatting xmlns:xm="http://schemas.microsoft.com/office/excel/2006/main">
          <x14:cfRule type="containsText" priority="398" stopIfTrue="1" operator="containsText" id="{EB336388-A87C-EF47-B38F-189FF961830B}">
            <xm:f>NOT(ISERROR(SEARCH("Value Missing",C7)))</xm:f>
            <xm:f>"Value Missing"</xm:f>
            <x14:dxf>
              <font>
                <color rgb="FF0E223A"/>
              </font>
              <fill>
                <patternFill>
                  <bgColor rgb="FFFFBE29"/>
                </patternFill>
              </fill>
            </x14:dxf>
          </x14:cfRule>
          <xm:sqref>C7:C10 L39:L40</xm:sqref>
        </x14:conditionalFormatting>
        <x14:conditionalFormatting xmlns:xm="http://schemas.microsoft.com/office/excel/2006/main">
          <x14:cfRule type="containsText" priority="939" operator="containsText" id="{E524FA7C-CED1-8647-A6E3-8D506528CA50}">
            <xm:f>NOT(ISERROR(SEARCH("Value Missing",C14)))</xm:f>
            <xm:f>"Value Missing"</xm:f>
            <x14:dxf>
              <font>
                <color rgb="FF9C0006"/>
              </font>
              <fill>
                <patternFill>
                  <bgColor rgb="FFFFC7CE"/>
                </patternFill>
              </fill>
            </x14:dxf>
          </x14:cfRule>
          <xm:sqref>C14:C33 C92:C97 C99:C104 C106:C111 C118:C124 I178:I197 O63:O90</xm:sqref>
        </x14:conditionalFormatting>
        <x14:conditionalFormatting xmlns:xm="http://schemas.microsoft.com/office/excel/2006/main">
          <x14:cfRule type="notContainsText" priority="927" operator="notContains" id="{AEC38A09-2177-5941-B78F-6304A9E73AAD}">
            <xm:f>ISERROR(SEARCH("Value Missing",C37))</xm:f>
            <xm:f>"Value Missing"</xm:f>
            <x14:dxf>
              <font>
                <color rgb="FF006100"/>
              </font>
              <fill>
                <patternFill>
                  <bgColor rgb="FFC6EFCE"/>
                </patternFill>
              </fill>
            </x14:dxf>
          </x14:cfRule>
          <x14:cfRule type="containsText" priority="928" operator="containsText" id="{C2571DBD-159C-7242-A4C7-BD315C1D589C}">
            <xm:f>NOT(ISERROR(SEARCH("Value Missing",C37)))</xm:f>
            <xm:f>"Value Missing"</xm:f>
            <x14:dxf>
              <font>
                <color rgb="FF9C0006"/>
              </font>
              <fill>
                <patternFill>
                  <bgColor rgb="FFFFC7CE"/>
                </patternFill>
              </fill>
            </x14:dxf>
          </x14:cfRule>
          <x14:cfRule type="notContainsText" priority="930" operator="notContains" id="{FB0FF2DD-F9F9-A34A-AB81-FC659E87B849}">
            <xm:f>ISERROR(SEARCH("Value Missing",C37))</xm:f>
            <xm:f>"Value Missing"</xm:f>
            <x14:dxf>
              <font>
                <color rgb="FF006100"/>
              </font>
              <fill>
                <patternFill>
                  <bgColor rgb="FFC6EFCE"/>
                </patternFill>
              </fill>
            </x14:dxf>
          </x14:cfRule>
          <x14:cfRule type="containsText" priority="932" operator="containsText" id="{9AD82AD7-2B5B-5946-9059-AD5CD2572680}">
            <xm:f>NOT(ISERROR(SEARCH("Value Missing",C37)))</xm:f>
            <xm:f>"Value Missing"</xm:f>
            <x14:dxf>
              <font>
                <color rgb="FF9C0006"/>
              </font>
              <fill>
                <patternFill>
                  <bgColor rgb="FFFFC7CE"/>
                </patternFill>
              </fill>
            </x14:dxf>
          </x14:cfRule>
          <xm:sqref>C37:C48</xm:sqref>
        </x14:conditionalFormatting>
        <x14:conditionalFormatting xmlns:xm="http://schemas.microsoft.com/office/excel/2006/main">
          <x14:cfRule type="containsText" priority="632" operator="containsText" id="{45654649-EFE1-A540-A197-6FEA8676699E}">
            <xm:f>NOT(ISERROR(SEARCH("Value Missing",C37)))</xm:f>
            <xm:f>"Value Missing"</xm:f>
            <x14:dxf>
              <font>
                <color rgb="FF9C0006"/>
              </font>
              <fill>
                <patternFill>
                  <bgColor rgb="FFFFC7CE"/>
                </patternFill>
              </fill>
            </x14:dxf>
          </x14:cfRule>
          <x14:cfRule type="notContainsText" priority="631" operator="notContains" id="{3F626B30-2739-4949-A2CF-049038D959E0}">
            <xm:f>ISERROR(SEARCH("Value Missing",C37))</xm:f>
            <xm:f>"Value Missing"</xm:f>
            <x14:dxf>
              <font>
                <color rgb="FF006100"/>
              </font>
              <fill>
                <patternFill>
                  <bgColor rgb="FFC6EFCE"/>
                </patternFill>
              </fill>
            </x14:dxf>
          </x14:cfRule>
          <x14:cfRule type="containsText" priority="622" stopIfTrue="1" operator="containsText" id="{139CEF10-6B32-8E46-AF0B-73F806C72281}">
            <xm:f>NOT(ISERROR(SEARCH("Value Missing",C37)))</xm:f>
            <xm:f>"Value Missing"</xm:f>
            <x14:dxf>
              <font>
                <color rgb="FF0E223A"/>
              </font>
              <fill>
                <patternFill>
                  <bgColor rgb="FFFFBE29"/>
                </patternFill>
              </fill>
            </x14:dxf>
          </x14:cfRule>
          <xm:sqref>C37:C49 L167:L179</xm:sqref>
        </x14:conditionalFormatting>
        <x14:conditionalFormatting xmlns:xm="http://schemas.microsoft.com/office/excel/2006/main">
          <x14:cfRule type="notContainsText" priority="628" operator="notContains" id="{C9E7BAA8-6D2A-D64C-8D36-DC1ACDA51EFC}">
            <xm:f>ISERROR(SEARCH("Value Missing",C49))</xm:f>
            <xm:f>"Value Missing"</xm:f>
            <x14:dxf>
              <font>
                <color rgb="FF006100"/>
              </font>
              <fill>
                <patternFill>
                  <bgColor rgb="FFC6EFCE"/>
                </patternFill>
              </fill>
            </x14:dxf>
          </x14:cfRule>
          <x14:cfRule type="containsText" priority="629" operator="containsText" id="{70423254-4FA8-5149-BAED-905CE71D3D1B}">
            <xm:f>NOT(ISERROR(SEARCH("Value Missing",C49)))</xm:f>
            <xm:f>"Value Missing"</xm:f>
            <x14:dxf>
              <font>
                <color rgb="FF9C0006"/>
              </font>
              <fill>
                <patternFill>
                  <bgColor rgb="FFFFC7CE"/>
                </patternFill>
              </fill>
            </x14:dxf>
          </x14:cfRule>
          <x14:cfRule type="containsText" priority="627" operator="containsText" id="{713F340F-C8E4-1144-B2AB-042C1EB2D4C5}">
            <xm:f>NOT(ISERROR(SEARCH("Value Missing",C49)))</xm:f>
            <xm:f>"Value Missing"</xm:f>
            <x14:dxf>
              <font>
                <color rgb="FF9C0006"/>
              </font>
              <fill>
                <patternFill>
                  <bgColor rgb="FFFFC7CE"/>
                </patternFill>
              </fill>
            </x14:dxf>
          </x14:cfRule>
          <x14:cfRule type="notContainsText" priority="626" operator="notContains" id="{FED53504-F98F-8540-A345-EE292A0E8991}">
            <xm:f>ISERROR(SEARCH("Value Missing",C49))</xm:f>
            <xm:f>"Value Missing"</xm:f>
            <x14:dxf>
              <font>
                <color rgb="FF006100"/>
              </font>
              <fill>
                <patternFill>
                  <bgColor rgb="FFC6EFCE"/>
                </patternFill>
              </fill>
            </x14:dxf>
          </x14:cfRule>
          <xm:sqref>C49</xm:sqref>
        </x14:conditionalFormatting>
        <x14:conditionalFormatting xmlns:xm="http://schemas.microsoft.com/office/excel/2006/main">
          <x14:cfRule type="containsText" priority="919" operator="containsText" id="{7C98D947-6B64-4342-9332-B90A2434D9B7}">
            <xm:f>NOT(ISERROR(SEARCH("Value Missing",C53)))</xm:f>
            <xm:f>"Value Missing"</xm:f>
            <x14:dxf>
              <font>
                <color rgb="FF9C0006"/>
              </font>
              <fill>
                <patternFill>
                  <bgColor rgb="FFFFC7CE"/>
                </patternFill>
              </fill>
            </x14:dxf>
          </x14:cfRule>
          <x14:cfRule type="notContainsText" priority="917" operator="notContains" id="{C4A54089-21F1-F844-BD66-E123ED304FD5}">
            <xm:f>ISERROR(SEARCH("Value Missing",C53))</xm:f>
            <xm:f>"Value Missing"</xm:f>
            <x14:dxf>
              <font>
                <color rgb="FF006100"/>
              </font>
              <fill>
                <patternFill>
                  <bgColor rgb="FFC6EFCE"/>
                </patternFill>
              </fill>
            </x14:dxf>
          </x14:cfRule>
          <x14:cfRule type="notContainsText" priority="914" operator="notContains" id="{C84BFA51-58E0-9842-8EDB-A1FA0B87770F}">
            <xm:f>ISERROR(SEARCH("Value Missing",C53))</xm:f>
            <xm:f>"Value Missing"</xm:f>
            <x14:dxf>
              <font>
                <color rgb="FF006100"/>
              </font>
              <fill>
                <patternFill>
                  <bgColor rgb="FFC6EFCE"/>
                </patternFill>
              </fill>
            </x14:dxf>
          </x14:cfRule>
          <x14:cfRule type="containsText" priority="913" operator="containsText" id="{926AAFEA-7FCA-994D-B946-53CE66D75EFD}">
            <xm:f>NOT(ISERROR(SEARCH("Value Missing",C53)))</xm:f>
            <xm:f>"Value Missing"</xm:f>
            <x14:dxf>
              <font>
                <color rgb="FF9C0006"/>
              </font>
              <fill>
                <patternFill>
                  <bgColor rgb="FFFFC7CE"/>
                </patternFill>
              </fill>
            </x14:dxf>
          </x14:cfRule>
          <x14:cfRule type="notContainsText" priority="912" operator="notContains" id="{3581BA2D-7B69-0C48-A599-4BACB18667C5}">
            <xm:f>ISERROR(SEARCH("Value Missing",C53))</xm:f>
            <xm:f>"Value Missing"</xm:f>
            <x14:dxf>
              <font>
                <color rgb="FF006100"/>
              </font>
              <fill>
                <patternFill>
                  <bgColor rgb="FFC6EFCE"/>
                </patternFill>
              </fill>
            </x14:dxf>
          </x14:cfRule>
          <x14:cfRule type="containsText" priority="908" stopIfTrue="1" operator="containsText" id="{196DA387-4BB6-CF4F-B80D-AD3FB0D0A3B0}">
            <xm:f>NOT(ISERROR(SEARCH("Value Missing",C53)))</xm:f>
            <xm:f>"Value Missing"</xm:f>
            <x14:dxf>
              <font>
                <color rgb="FF0E223A"/>
              </font>
              <fill>
                <patternFill>
                  <bgColor rgb="FFFFBE29"/>
                </patternFill>
              </fill>
            </x14:dxf>
          </x14:cfRule>
          <x14:cfRule type="containsText" priority="915" operator="containsText" id="{99C03F4F-E090-9340-907F-EB88FA064F18}">
            <xm:f>NOT(ISERROR(SEARCH("Value Missing",C53)))</xm:f>
            <xm:f>"Value Missing"</xm:f>
            <x14:dxf>
              <font>
                <color rgb="FF9C0006"/>
              </font>
              <fill>
                <patternFill>
                  <bgColor rgb="FFFFC7CE"/>
                </patternFill>
              </fill>
            </x14:dxf>
          </x14:cfRule>
          <xm:sqref>C53:C67 C138:C143</xm:sqref>
        </x14:conditionalFormatting>
        <x14:conditionalFormatting xmlns:xm="http://schemas.microsoft.com/office/excel/2006/main">
          <x14:cfRule type="containsText" priority="877" operator="containsText" id="{D97B9514-B4D5-004D-9C54-BB724F4063D6}">
            <xm:f>NOT(ISERROR(SEARCH("Value Missing",C71)))</xm:f>
            <xm:f>"Value Missing"</xm:f>
            <x14:dxf>
              <font>
                <color rgb="FF9C0006"/>
              </font>
              <fill>
                <patternFill>
                  <bgColor rgb="FFFFC7CE"/>
                </patternFill>
              </fill>
            </x14:dxf>
          </x14:cfRule>
          <xm:sqref>C71:C72 F125:F126 C217:C218 F172:F190</xm:sqref>
        </x14:conditionalFormatting>
        <x14:conditionalFormatting xmlns:xm="http://schemas.microsoft.com/office/excel/2006/main">
          <x14:cfRule type="notContainsText" priority="876" operator="notContains" id="{79AFC560-D2D4-A14E-A8FC-EED793E3FE0A}">
            <xm:f>ISERROR(SEARCH("Value Missing",C71))</xm:f>
            <xm:f>"Value Missing"</xm:f>
            <x14:dxf>
              <font>
                <color rgb="FF006100"/>
              </font>
              <fill>
                <patternFill>
                  <bgColor rgb="FFC6EFCE"/>
                </patternFill>
              </fill>
            </x14:dxf>
          </x14:cfRule>
          <xm:sqref>C71:C72 F125:F126 C217:C218</xm:sqref>
        </x14:conditionalFormatting>
        <x14:conditionalFormatting xmlns:xm="http://schemas.microsoft.com/office/excel/2006/main">
          <x14:cfRule type="containsText" priority="874" operator="containsText" id="{42430647-ECE9-7145-89A7-D69739395044}">
            <xm:f>NOT(ISERROR(SEARCH("Value Missing",C71)))</xm:f>
            <xm:f>"Value Missing"</xm:f>
            <x14:dxf>
              <font>
                <color rgb="FF9C0006"/>
              </font>
              <fill>
                <patternFill>
                  <bgColor rgb="FFFFC7CE"/>
                </patternFill>
              </fill>
            </x14:dxf>
          </x14:cfRule>
          <x14:cfRule type="notContainsText" priority="873" operator="notContains" id="{B90AA90A-F22C-9142-B488-C285EDBC0C8D}">
            <xm:f>ISERROR(SEARCH("Value Missing",C71))</xm:f>
            <xm:f>"Value Missing"</xm:f>
            <x14:dxf>
              <font>
                <color rgb="FF006100"/>
              </font>
              <fill>
                <patternFill>
                  <bgColor rgb="FFC6EFCE"/>
                </patternFill>
              </fill>
            </x14:dxf>
          </x14:cfRule>
          <xm:sqref>C71:C72 F125:F126</xm:sqref>
        </x14:conditionalFormatting>
        <x14:conditionalFormatting xmlns:xm="http://schemas.microsoft.com/office/excel/2006/main">
          <x14:cfRule type="containsText" priority="872" operator="containsText" id="{E9A5B4EF-85A9-7B4C-B1A6-403A97BCAD7B}">
            <xm:f>NOT(ISERROR(SEARCH("Value Missing",C71)))</xm:f>
            <xm:f>"Value Missing"</xm:f>
            <x14:dxf>
              <font>
                <color rgb="FF9C0006"/>
              </font>
              <fill>
                <patternFill>
                  <bgColor rgb="FFFFC7CE"/>
                </patternFill>
              </fill>
            </x14:dxf>
          </x14:cfRule>
          <x14:cfRule type="containsText" priority="867" stopIfTrue="1" operator="containsText" id="{AAD07D4C-68E8-0F44-BD3F-FF0FA10F7866}">
            <xm:f>NOT(ISERROR(SEARCH("Value Missing",C71)))</xm:f>
            <xm:f>"Value Missing"</xm:f>
            <x14:dxf>
              <font>
                <color rgb="FF0E223A"/>
              </font>
              <fill>
                <patternFill>
                  <bgColor rgb="FFFFBE29"/>
                </patternFill>
              </fill>
            </x14:dxf>
          </x14:cfRule>
          <x14:cfRule type="notContainsText" priority="871" operator="notContains" id="{04B390F6-D85C-164A-B336-373BA07B0F8D}">
            <xm:f>ISERROR(SEARCH("Value Missing",C71))</xm:f>
            <xm:f>"Value Missing"</xm:f>
            <x14:dxf>
              <font>
                <color rgb="FF006100"/>
              </font>
              <fill>
                <patternFill>
                  <bgColor rgb="FFC6EFCE"/>
                </patternFill>
              </fill>
            </x14:dxf>
          </x14:cfRule>
          <xm:sqref>C71:C72</xm:sqref>
        </x14:conditionalFormatting>
        <x14:conditionalFormatting xmlns:xm="http://schemas.microsoft.com/office/excel/2006/main">
          <x14:cfRule type="containsText" priority="906" operator="containsText" id="{F3346D9C-3186-D840-B3B4-43B296A6674A}">
            <xm:f>NOT(ISERROR(SEARCH("Value Missing",C76)))</xm:f>
            <xm:f>"Value Missing"</xm:f>
            <x14:dxf>
              <font>
                <color rgb="FF9C0006"/>
              </font>
              <fill>
                <patternFill>
                  <bgColor rgb="FFFFC7CE"/>
                </patternFill>
              </fill>
            </x14:dxf>
          </x14:cfRule>
          <x14:cfRule type="notContainsText" priority="904" operator="notContains" id="{1937B8B1-97B4-B04A-BE61-20FFCA336643}">
            <xm:f>ISERROR(SEARCH("Value Missing",C76))</xm:f>
            <xm:f>"Value Missing"</xm:f>
            <x14:dxf>
              <font>
                <color rgb="FF006100"/>
              </font>
              <fill>
                <patternFill>
                  <bgColor rgb="FFC6EFCE"/>
                </patternFill>
              </fill>
            </x14:dxf>
          </x14:cfRule>
          <x14:cfRule type="containsText" priority="902" operator="containsText" id="{624260A2-8D26-2848-8FBE-7AC80F2F21FB}">
            <xm:f>NOT(ISERROR(SEARCH("Value Missing",C76)))</xm:f>
            <xm:f>"Value Missing"</xm:f>
            <x14:dxf>
              <font>
                <color rgb="FF9C0006"/>
              </font>
              <fill>
                <patternFill>
                  <bgColor rgb="FFFFC7CE"/>
                </patternFill>
              </fill>
            </x14:dxf>
          </x14:cfRule>
          <x14:cfRule type="notContainsText" priority="901" operator="notContains" id="{5A60A5FE-8485-104F-A2E0-FEB93A7D9DBB}">
            <xm:f>ISERROR(SEARCH("Value Missing",C76))</xm:f>
            <xm:f>"Value Missing"</xm:f>
            <x14:dxf>
              <font>
                <color rgb="FF006100"/>
              </font>
              <fill>
                <patternFill>
                  <bgColor rgb="FFC6EFCE"/>
                </patternFill>
              </fill>
            </x14:dxf>
          </x14:cfRule>
          <xm:sqref>C76:C85</xm:sqref>
        </x14:conditionalFormatting>
        <x14:conditionalFormatting xmlns:xm="http://schemas.microsoft.com/office/excel/2006/main">
          <x14:cfRule type="containsText" priority="740" operator="containsText" id="{A8E1A3D0-401E-5A41-8700-6960D5A1FC10}">
            <xm:f>NOT(ISERROR(SEARCH("Value Missing",C76)))</xm:f>
            <xm:f>"Value Missing"</xm:f>
            <x14:dxf>
              <font>
                <color rgb="FF9C0006"/>
              </font>
              <fill>
                <patternFill>
                  <bgColor rgb="FFFFC7CE"/>
                </patternFill>
              </fill>
            </x14:dxf>
          </x14:cfRule>
          <x14:cfRule type="notContainsText" priority="739" operator="notContains" id="{7105B604-3591-9E4D-B0C5-52282E4EBF37}">
            <xm:f>ISERROR(SEARCH("Value Missing",C76))</xm:f>
            <xm:f>"Value Missing"</xm:f>
            <x14:dxf>
              <font>
                <color rgb="FF006100"/>
              </font>
              <fill>
                <patternFill>
                  <bgColor rgb="FFC6EFCE"/>
                </patternFill>
              </fill>
            </x14:dxf>
          </x14:cfRule>
          <x14:cfRule type="containsText" priority="730" stopIfTrue="1" operator="containsText" id="{0E05923D-6B83-244F-BFB2-4896DDCFF4ED}">
            <xm:f>NOT(ISERROR(SEARCH("Value Missing",C76)))</xm:f>
            <xm:f>"Value Missing"</xm:f>
            <x14:dxf>
              <font>
                <color rgb="FF0E223A"/>
              </font>
              <fill>
                <patternFill>
                  <bgColor rgb="FFFFBE29"/>
                </patternFill>
              </fill>
            </x14:dxf>
          </x14:cfRule>
          <xm:sqref>C76:C86</xm:sqref>
        </x14:conditionalFormatting>
        <x14:conditionalFormatting xmlns:xm="http://schemas.microsoft.com/office/excel/2006/main">
          <x14:cfRule type="containsText" priority="737" operator="containsText" id="{463A4E4F-0B20-2F43-B440-772F3B3C8605}">
            <xm:f>NOT(ISERROR(SEARCH("Value Missing",C86)))</xm:f>
            <xm:f>"Value Missing"</xm:f>
            <x14:dxf>
              <font>
                <color rgb="FF9C0006"/>
              </font>
              <fill>
                <patternFill>
                  <bgColor rgb="FFFFC7CE"/>
                </patternFill>
              </fill>
            </x14:dxf>
          </x14:cfRule>
          <x14:cfRule type="notContainsText" priority="736" operator="notContains" id="{257C3015-6240-0D40-A432-B127EB87EC3B}">
            <xm:f>ISERROR(SEARCH("Value Missing",C86))</xm:f>
            <xm:f>"Value Missing"</xm:f>
            <x14:dxf>
              <font>
                <color rgb="FF006100"/>
              </font>
              <fill>
                <patternFill>
                  <bgColor rgb="FFC6EFCE"/>
                </patternFill>
              </fill>
            </x14:dxf>
          </x14:cfRule>
          <x14:cfRule type="notContainsText" priority="734" operator="notContains" id="{32E5BB4A-1E8B-4948-8734-1598C82BE990}">
            <xm:f>ISERROR(SEARCH("Value Missing",C86))</xm:f>
            <xm:f>"Value Missing"</xm:f>
            <x14:dxf>
              <font>
                <color rgb="FF006100"/>
              </font>
              <fill>
                <patternFill>
                  <bgColor rgb="FFC6EFCE"/>
                </patternFill>
              </fill>
            </x14:dxf>
          </x14:cfRule>
          <x14:cfRule type="containsText" priority="735" operator="containsText" id="{F249F13C-E21B-884B-AEA8-3AB1B4DE6913}">
            <xm:f>NOT(ISERROR(SEARCH("Value Missing",C86)))</xm:f>
            <xm:f>"Value Missing"</xm:f>
            <x14:dxf>
              <font>
                <color rgb="FF9C0006"/>
              </font>
              <fill>
                <patternFill>
                  <bgColor rgb="FFFFC7CE"/>
                </patternFill>
              </fill>
            </x14:dxf>
          </x14:cfRule>
          <xm:sqref>C86</xm:sqref>
        </x14:conditionalFormatting>
        <x14:conditionalFormatting xmlns:xm="http://schemas.microsoft.com/office/excel/2006/main">
          <x14:cfRule type="notContainsText" priority="712" operator="notContains" id="{4EB59D7F-93B0-8646-91E7-0FBB95F1117B}">
            <xm:f>ISERROR(SEARCH("Value Missing",C76))</xm:f>
            <xm:f>"Value Missing"</xm:f>
            <x14:dxf>
              <font>
                <color rgb="FF006100"/>
              </font>
              <fill>
                <patternFill>
                  <bgColor rgb="FFC6EFCE"/>
                </patternFill>
              </fill>
            </x14:dxf>
          </x14:cfRule>
          <xm:sqref>C90 F96:F102 C114 F76 F84 F92</xm:sqref>
        </x14:conditionalFormatting>
        <x14:conditionalFormatting xmlns:xm="http://schemas.microsoft.com/office/excel/2006/main">
          <x14:cfRule type="containsText" priority="711" operator="containsText" id="{1E36EB2C-4AB3-8045-9B05-501F426AB83A}">
            <xm:f>NOT(ISERROR(SEARCH("Value Missing",C90)))</xm:f>
            <xm:f>"Value Missing"</xm:f>
            <x14:dxf>
              <font>
                <color rgb="FF9C0006"/>
              </font>
              <fill>
                <patternFill>
                  <bgColor rgb="FFFFC7CE"/>
                </patternFill>
              </fill>
            </x14:dxf>
          </x14:cfRule>
          <x14:cfRule type="notContainsText" priority="710" operator="notContains" id="{59CD631A-2E73-2148-8332-6717E5A6BCCF}">
            <xm:f>ISERROR(SEARCH("Value Missing",C90))</xm:f>
            <xm:f>"Value Missing"</xm:f>
            <x14:dxf>
              <font>
                <color rgb="FF006100"/>
              </font>
              <fill>
                <patternFill>
                  <bgColor rgb="FFC6EFCE"/>
                </patternFill>
              </fill>
            </x14:dxf>
          </x14:cfRule>
          <x14:cfRule type="containsText" priority="706" stopIfTrue="1" operator="containsText" id="{570B5BAF-613F-754C-B95A-DADE1FA8278E}">
            <xm:f>NOT(ISERROR(SEARCH("Value Missing",C90)))</xm:f>
            <xm:f>"Value Missing"</xm:f>
            <x14:dxf>
              <font>
                <color rgb="FF0E223A"/>
              </font>
              <fill>
                <patternFill>
                  <bgColor rgb="FFFFBE29"/>
                </patternFill>
              </fill>
            </x14:dxf>
          </x14:cfRule>
          <xm:sqref>C90 F96:F102 C114</xm:sqref>
        </x14:conditionalFormatting>
        <x14:conditionalFormatting xmlns:xm="http://schemas.microsoft.com/office/excel/2006/main">
          <x14:cfRule type="containsText" priority="505" operator="containsText" id="{7956EDE0-2BB6-F346-A2E3-3567D656FB65}">
            <xm:f>NOT(ISERROR(SEARCH("Value Missing",C138)))</xm:f>
            <xm:f>"Value Missing"</xm:f>
            <x14:dxf>
              <font>
                <color theme="1"/>
              </font>
              <fill>
                <patternFill>
                  <bgColor rgb="FFFFBE29"/>
                </patternFill>
              </fill>
            </x14:dxf>
          </x14:cfRule>
          <x14:cfRule type="containsText" priority="506" operator="containsText" id="{B8544281-BAF2-BA48-A545-8DD1DE0A408F}">
            <xm:f>NOT(ISERROR(SEARCH("Not Required",C138)))</xm:f>
            <xm:f>"Not Required"</xm:f>
            <x14:dxf>
              <font>
                <color theme="0"/>
              </font>
              <fill>
                <patternFill>
                  <bgColor rgb="FF4F5F69"/>
                </patternFill>
              </fill>
            </x14:dxf>
          </x14:cfRule>
          <xm:sqref>C138:C143</xm:sqref>
        </x14:conditionalFormatting>
        <x14:conditionalFormatting xmlns:xm="http://schemas.microsoft.com/office/excel/2006/main">
          <x14:cfRule type="containsText" priority="2167" operator="containsText" id="{3C982F0C-8AB8-8C4D-AA00-BD6BA6595FAE}">
            <xm:f>NOT(ISERROR(SEARCH("Value Missing",C192)))</xm:f>
            <xm:f>"Value Missing"</xm:f>
            <x14:dxf>
              <font>
                <color rgb="FF9C0006"/>
              </font>
              <fill>
                <patternFill>
                  <bgColor rgb="FFFFC7CE"/>
                </patternFill>
              </fill>
            </x14:dxf>
          </x14:cfRule>
          <xm:sqref>C192:C193</xm:sqref>
        </x14:conditionalFormatting>
        <x14:conditionalFormatting xmlns:xm="http://schemas.microsoft.com/office/excel/2006/main">
          <x14:cfRule type="containsText" priority="841" operator="containsText" id="{4BECE36B-CEA4-7C44-B78A-E738B7ACC849}">
            <xm:f>NOT(ISERROR(SEARCH("Value Missing",C197)))</xm:f>
            <xm:f>"Value Missing"</xm:f>
            <x14:dxf>
              <font>
                <color rgb="FF9C0006"/>
              </font>
              <fill>
                <patternFill>
                  <bgColor rgb="FFFFC7CE"/>
                </patternFill>
              </fill>
            </x14:dxf>
          </x14:cfRule>
          <x14:cfRule type="notContainsText" priority="840" operator="notContains" id="{D93929A9-AF2D-A149-A030-6B18FC5A9959}">
            <xm:f>ISERROR(SEARCH("Value Missing",C197))</xm:f>
            <xm:f>"Value Missing"</xm:f>
            <x14:dxf>
              <font>
                <color rgb="FF006100"/>
              </font>
              <fill>
                <patternFill>
                  <bgColor rgb="FFC6EFCE"/>
                </patternFill>
              </fill>
            </x14:dxf>
          </x14:cfRule>
          <x14:cfRule type="containsText" priority="838" operator="containsText" id="{6552ADF1-1F8F-394C-94E1-4953748E8DCC}">
            <xm:f>NOT(ISERROR(SEARCH("Value Missing",C197)))</xm:f>
            <xm:f>"Value Missing"</xm:f>
            <x14:dxf>
              <font>
                <color rgb="FF9C0006"/>
              </font>
              <fill>
                <patternFill>
                  <bgColor rgb="FFFFC7CE"/>
                </patternFill>
              </fill>
            </x14:dxf>
          </x14:cfRule>
          <x14:cfRule type="notContainsText" priority="837" operator="notContains" id="{58E0AF9F-8D1B-D14D-B42D-83C752E1E382}">
            <xm:f>ISERROR(SEARCH("Value Missing",C197))</xm:f>
            <xm:f>"Value Missing"</xm:f>
            <x14:dxf>
              <font>
                <color rgb="FF006100"/>
              </font>
              <fill>
                <patternFill>
                  <bgColor rgb="FFC6EFCE"/>
                </patternFill>
              </fill>
            </x14:dxf>
          </x14:cfRule>
          <x14:cfRule type="containsText" priority="836" operator="containsText" id="{8D5FC990-D1EB-6B42-A90B-A3E6DC24BD4E}">
            <xm:f>NOT(ISERROR(SEARCH("Value Missing",C197)))</xm:f>
            <xm:f>"Value Missing"</xm:f>
            <x14:dxf>
              <font>
                <color rgb="FF9C0006"/>
              </font>
              <fill>
                <patternFill>
                  <bgColor rgb="FFFFC7CE"/>
                </patternFill>
              </fill>
            </x14:dxf>
          </x14:cfRule>
          <x14:cfRule type="notContainsText" priority="835" operator="notContains" id="{E762F261-B482-6D46-8323-FEB8B6636848}">
            <xm:f>ISERROR(SEARCH("Value Missing",C197))</xm:f>
            <xm:f>"Value Missing"</xm:f>
            <x14:dxf>
              <font>
                <color rgb="FF006100"/>
              </font>
              <fill>
                <patternFill>
                  <bgColor rgb="FFC6EFCE"/>
                </patternFill>
              </fill>
            </x14:dxf>
          </x14:cfRule>
          <x14:cfRule type="containsText" priority="831" stopIfTrue="1" operator="containsText" id="{D391F2F4-7E4D-8647-98B9-1F0269C8F1BF}">
            <xm:f>NOT(ISERROR(SEARCH("Value Missing",C197)))</xm:f>
            <xm:f>"Value Missing"</xm:f>
            <x14:dxf>
              <font>
                <color rgb="FF0E223A"/>
              </font>
              <fill>
                <patternFill>
                  <bgColor rgb="FFFFBE29"/>
                </patternFill>
              </fill>
            </x14:dxf>
          </x14:cfRule>
          <xm:sqref>C197:C202</xm:sqref>
        </x14:conditionalFormatting>
        <x14:conditionalFormatting xmlns:xm="http://schemas.microsoft.com/office/excel/2006/main">
          <x14:cfRule type="notContainsText" priority="193" operator="notContains" id="{39A0F161-6FE3-1945-9E37-D1335634B6DE}">
            <xm:f>ISERROR(SEARCH("Value Missing",C136))</xm:f>
            <xm:f>"Value Missing"</xm:f>
            <x14:dxf>
              <font>
                <color rgb="FF006100"/>
              </font>
              <fill>
                <patternFill>
                  <bgColor rgb="FFC6EFCE"/>
                </patternFill>
              </fill>
            </x14:dxf>
          </x14:cfRule>
          <xm:sqref>C213:C218 F136:F137</xm:sqref>
        </x14:conditionalFormatting>
        <x14:conditionalFormatting xmlns:xm="http://schemas.microsoft.com/office/excel/2006/main">
          <x14:cfRule type="notContainsText" priority="191" operator="notContains" id="{FA7AE440-5247-9B4D-949A-C149C97646D8}">
            <xm:f>ISERROR(SEARCH("Value Missing",C215))</xm:f>
            <xm:f>"Value Missing"</xm:f>
            <x14:dxf>
              <font>
                <color rgb="FF006100"/>
              </font>
              <fill>
                <patternFill>
                  <bgColor rgb="FFC6EFCE"/>
                </patternFill>
              </fill>
            </x14:dxf>
          </x14:cfRule>
          <x14:cfRule type="containsText" priority="192" operator="containsText" id="{B15241BF-1597-354E-9C79-A31098E6FA6A}">
            <xm:f>NOT(ISERROR(SEARCH("Value Missing",C215)))</xm:f>
            <xm:f>"Value Missing"</xm:f>
            <x14:dxf>
              <font>
                <color rgb="FF9C0006"/>
              </font>
              <fill>
                <patternFill>
                  <bgColor rgb="FFFFC7CE"/>
                </patternFill>
              </fill>
            </x14:dxf>
          </x14:cfRule>
          <xm:sqref>C215:C216</xm:sqref>
        </x14:conditionalFormatting>
        <x14:conditionalFormatting xmlns:xm="http://schemas.microsoft.com/office/excel/2006/main">
          <x14:cfRule type="containsText" priority="187" stopIfTrue="1" operator="containsText" id="{6B22C62C-7BCD-6342-B033-FFA489954237}">
            <xm:f>NOT(ISERROR(SEARCH("Value Missing",C215)))</xm:f>
            <xm:f>"Value Missing"</xm:f>
            <x14:dxf>
              <font>
                <color rgb="FF0E223A"/>
              </font>
              <fill>
                <patternFill>
                  <bgColor rgb="FFFFBE29"/>
                </patternFill>
              </fill>
            </x14:dxf>
          </x14:cfRule>
          <xm:sqref>C215:C218</xm:sqref>
        </x14:conditionalFormatting>
        <x14:conditionalFormatting xmlns:xm="http://schemas.microsoft.com/office/excel/2006/main">
          <x14:cfRule type="containsText" priority="494" stopIfTrue="1" operator="containsText" id="{AAB2D5E8-39AB-8243-B1D2-12EFB0EC13A5}">
            <xm:f>NOT(ISERROR(SEARCH("Value Missing",C222)))</xm:f>
            <xm:f>"Value Missing"</xm:f>
            <x14:dxf>
              <font>
                <color rgb="FF0E223A"/>
              </font>
              <fill>
                <patternFill>
                  <bgColor rgb="FFFFBE29"/>
                </patternFill>
              </fill>
            </x14:dxf>
          </x14:cfRule>
          <xm:sqref>C222:C230</xm:sqref>
        </x14:conditionalFormatting>
        <x14:conditionalFormatting xmlns:xm="http://schemas.microsoft.com/office/excel/2006/main">
          <x14:cfRule type="containsText" priority="307" stopIfTrue="1" operator="containsText" id="{4E21B07E-7D15-D042-92EF-AFF187178399}">
            <xm:f>NOT(ISERROR(SEARCH("Value Missing",F7)))</xm:f>
            <xm:f>"Value Missing"</xm:f>
            <x14:dxf>
              <font>
                <color rgb="FF0E223A"/>
              </font>
              <fill>
                <patternFill>
                  <bgColor rgb="FFFFBE29"/>
                </patternFill>
              </fill>
            </x14:dxf>
          </x14:cfRule>
          <x14:cfRule type="containsText" priority="314" operator="containsText" id="{FF97526F-6F7D-8340-9FC5-4051A528C909}">
            <xm:f>NOT(ISERROR(SEARCH("Value Missing",F7)))</xm:f>
            <xm:f>"Value Missing"</xm:f>
            <x14:dxf>
              <font>
                <color rgb="FF9C0006"/>
              </font>
              <fill>
                <patternFill>
                  <bgColor rgb="FFFFC7CE"/>
                </patternFill>
              </fill>
            </x14:dxf>
          </x14:cfRule>
          <x14:cfRule type="notContainsText" priority="313" operator="notContains" id="{14F9C6DA-7200-CE46-BE31-1EE25008687D}">
            <xm:f>ISERROR(SEARCH("Value Missing",F7))</xm:f>
            <xm:f>"Value Missing"</xm:f>
            <x14:dxf>
              <font>
                <color rgb="FF006100"/>
              </font>
              <fill>
                <patternFill>
                  <bgColor rgb="FFC6EFCE"/>
                </patternFill>
              </fill>
            </x14:dxf>
          </x14:cfRule>
          <x14:cfRule type="notContainsText" priority="311" operator="notContains" id="{C0FFE8DA-9F77-1541-BC32-A3BEE740433E}">
            <xm:f>ISERROR(SEARCH("Value Missing",F7))</xm:f>
            <xm:f>"Value Missing"</xm:f>
            <x14:dxf>
              <font>
                <color rgb="FF006100"/>
              </font>
              <fill>
                <patternFill>
                  <bgColor rgb="FFC6EFCE"/>
                </patternFill>
              </fill>
            </x14:dxf>
          </x14:cfRule>
          <x14:cfRule type="containsText" priority="312" operator="containsText" id="{E0E43101-017D-B549-86E6-BF9DC08C89C7}">
            <xm:f>NOT(ISERROR(SEARCH("Value Missing",F7)))</xm:f>
            <xm:f>"Value Missing"</xm:f>
            <x14:dxf>
              <font>
                <color rgb="FF9C0006"/>
              </font>
              <fill>
                <patternFill>
                  <bgColor rgb="FFFFC7CE"/>
                </patternFill>
              </fill>
            </x14:dxf>
          </x14:cfRule>
          <x14:cfRule type="containsText" priority="317" operator="containsText" id="{CB5AC008-0440-C94D-8D94-226FD0686EAA}">
            <xm:f>NOT(ISERROR(SEARCH("Value Missing",F7)))</xm:f>
            <xm:f>"Value Missing"</xm:f>
            <x14:dxf>
              <font>
                <color rgb="FF9C0006"/>
              </font>
              <fill>
                <patternFill>
                  <bgColor rgb="FFFFC7CE"/>
                </patternFill>
              </fill>
            </x14:dxf>
          </x14:cfRule>
          <x14:cfRule type="notContainsText" priority="316" operator="notContains" id="{968D150F-81E8-2449-8AEB-6930E17413BE}">
            <xm:f>ISERROR(SEARCH("Value Missing",F7))</xm:f>
            <xm:f>"Value Missing"</xm:f>
            <x14:dxf>
              <font>
                <color rgb="FF006100"/>
              </font>
              <fill>
                <patternFill>
                  <bgColor rgb="FFC6EFCE"/>
                </patternFill>
              </fill>
            </x14:dxf>
          </x14:cfRule>
          <xm:sqref>F7:F9</xm:sqref>
        </x14:conditionalFormatting>
        <x14:conditionalFormatting xmlns:xm="http://schemas.microsoft.com/office/excel/2006/main">
          <x14:cfRule type="notContainsText" priority="804" operator="notContains" id="{C78C2299-FD0A-6342-ADAE-C35645A19501}">
            <xm:f>ISERROR(SEARCH("Value Missing",F14))</xm:f>
            <xm:f>"Value Missing"</xm:f>
            <x14:dxf>
              <font>
                <color rgb="FF006100"/>
              </font>
              <fill>
                <patternFill>
                  <bgColor rgb="FFC6EFCE"/>
                </patternFill>
              </fill>
            </x14:dxf>
          </x14:cfRule>
          <x14:cfRule type="containsText" priority="802" operator="containsText" id="{E506C10D-59F6-804F-9E3D-DBAE8662DF0A}">
            <xm:f>NOT(ISERROR(SEARCH("Value Missing",F14)))</xm:f>
            <xm:f>"Value Missing"</xm:f>
            <x14:dxf>
              <font>
                <color rgb="FF9C0006"/>
              </font>
              <fill>
                <patternFill>
                  <bgColor rgb="FFFFC7CE"/>
                </patternFill>
              </fill>
            </x14:dxf>
          </x14:cfRule>
          <x14:cfRule type="notContainsText" priority="801" operator="notContains" id="{42C51EFE-39D3-DE46-B2EB-323B8E5790C5}">
            <xm:f>ISERROR(SEARCH("Value Missing",F14))</xm:f>
            <xm:f>"Value Missing"</xm:f>
            <x14:dxf>
              <font>
                <color rgb="FF006100"/>
              </font>
              <fill>
                <patternFill>
                  <bgColor rgb="FFC6EFCE"/>
                </patternFill>
              </fill>
            </x14:dxf>
          </x14:cfRule>
          <x14:cfRule type="containsText" priority="805" operator="containsText" id="{C95749B3-56CC-C24E-9A39-2943D867168A}">
            <xm:f>NOT(ISERROR(SEARCH("Value Missing",F14)))</xm:f>
            <xm:f>"Value Missing"</xm:f>
            <x14:dxf>
              <font>
                <color rgb="FF9C0006"/>
              </font>
              <fill>
                <patternFill>
                  <bgColor rgb="FFFFC7CE"/>
                </patternFill>
              </fill>
            </x14:dxf>
          </x14:cfRule>
          <xm:sqref>F14:F22</xm:sqref>
        </x14:conditionalFormatting>
        <x14:conditionalFormatting xmlns:xm="http://schemas.microsoft.com/office/excel/2006/main">
          <x14:cfRule type="containsText" priority="747" stopIfTrue="1" operator="containsText" id="{EC9A5627-3971-E347-B376-9120302F676D}">
            <xm:f>NOT(ISERROR(SEARCH("Value Missing",F14)))</xm:f>
            <xm:f>"Value Missing"</xm:f>
            <x14:dxf>
              <font>
                <color rgb="FF0E223A"/>
              </font>
              <fill>
                <patternFill>
                  <bgColor rgb="FFFFBE29"/>
                </patternFill>
              </fill>
            </x14:dxf>
          </x14:cfRule>
          <x14:cfRule type="containsText" priority="757" operator="containsText" id="{0772AFB2-406C-7541-BF9E-ACBA0BFAA989}">
            <xm:f>NOT(ISERROR(SEARCH("Value Missing",F14)))</xm:f>
            <xm:f>"Value Missing"</xm:f>
            <x14:dxf>
              <font>
                <color rgb="FF9C0006"/>
              </font>
              <fill>
                <patternFill>
                  <bgColor rgb="FFFFC7CE"/>
                </patternFill>
              </fill>
            </x14:dxf>
          </x14:cfRule>
          <x14:cfRule type="notContainsText" priority="756" operator="notContains" id="{E67E8BA7-387C-0C4B-B0AE-0F42B59B29F1}">
            <xm:f>ISERROR(SEARCH("Value Missing",F14))</xm:f>
            <xm:f>"Value Missing"</xm:f>
            <x14:dxf>
              <font>
                <color rgb="FF006100"/>
              </font>
              <fill>
                <patternFill>
                  <bgColor rgb="FFC6EFCE"/>
                </patternFill>
              </fill>
            </x14:dxf>
          </x14:cfRule>
          <xm:sqref>F14:F26</xm:sqref>
        </x14:conditionalFormatting>
        <x14:conditionalFormatting xmlns:xm="http://schemas.microsoft.com/office/excel/2006/main">
          <x14:cfRule type="containsText" priority="754" operator="containsText" id="{DB5F6F4E-5082-944D-941E-A09994BA5EC5}">
            <xm:f>NOT(ISERROR(SEARCH("Value Missing",F23)))</xm:f>
            <xm:f>"Value Missing"</xm:f>
            <x14:dxf>
              <font>
                <color rgb="FF9C0006"/>
              </font>
              <fill>
                <patternFill>
                  <bgColor rgb="FFFFC7CE"/>
                </patternFill>
              </fill>
            </x14:dxf>
          </x14:cfRule>
          <x14:cfRule type="notContainsText" priority="753" operator="notContains" id="{A5616C1D-439E-E24E-89A0-D8D42A7BB084}">
            <xm:f>ISERROR(SEARCH("Value Missing",F23))</xm:f>
            <xm:f>"Value Missing"</xm:f>
            <x14:dxf>
              <font>
                <color rgb="FF006100"/>
              </font>
              <fill>
                <patternFill>
                  <bgColor rgb="FFC6EFCE"/>
                </patternFill>
              </fill>
            </x14:dxf>
          </x14:cfRule>
          <x14:cfRule type="containsText" priority="752" operator="containsText" id="{83D43112-E9C0-1642-919A-4DBDAFF593B6}">
            <xm:f>NOT(ISERROR(SEARCH("Value Missing",F23)))</xm:f>
            <xm:f>"Value Missing"</xm:f>
            <x14:dxf>
              <font>
                <color rgb="FF9C0006"/>
              </font>
              <fill>
                <patternFill>
                  <bgColor rgb="FFFFC7CE"/>
                </patternFill>
              </fill>
            </x14:dxf>
          </x14:cfRule>
          <x14:cfRule type="notContainsText" priority="751" operator="notContains" id="{74FBF562-78D8-D442-AE85-621F4A4C9E28}">
            <xm:f>ISERROR(SEARCH("Value Missing",F23))</xm:f>
            <xm:f>"Value Missing"</xm:f>
            <x14:dxf>
              <font>
                <color rgb="FF006100"/>
              </font>
              <fill>
                <patternFill>
                  <bgColor rgb="FFC6EFCE"/>
                </patternFill>
              </fill>
            </x14:dxf>
          </x14:cfRule>
          <xm:sqref>F23:F26</xm:sqref>
        </x14:conditionalFormatting>
        <x14:conditionalFormatting xmlns:xm="http://schemas.microsoft.com/office/excel/2006/main">
          <x14:cfRule type="containsText" priority="826" operator="containsText" id="{AC6DD4B5-BE77-8D4E-A58D-523533198F4F}">
            <xm:f>NOT(ISERROR(SEARCH("Value Missing",F30)))</xm:f>
            <xm:f>"Value Missing"</xm:f>
            <x14:dxf>
              <font>
                <color rgb="FF9C0006"/>
              </font>
              <fill>
                <patternFill>
                  <bgColor rgb="FFFFC7CE"/>
                </patternFill>
              </fill>
            </x14:dxf>
          </x14:cfRule>
          <x14:cfRule type="containsText" priority="829" operator="containsText" id="{0B9AEB32-8111-E547-85CA-573C6398EBFA}">
            <xm:f>NOT(ISERROR(SEARCH("Value Missing",F30)))</xm:f>
            <xm:f>"Value Missing"</xm:f>
            <x14:dxf>
              <font>
                <color rgb="FF9C0006"/>
              </font>
              <fill>
                <patternFill>
                  <bgColor rgb="FFFFC7CE"/>
                </patternFill>
              </fill>
            </x14:dxf>
          </x14:cfRule>
          <x14:cfRule type="notContainsText" priority="825" operator="notContains" id="{E5DBC4C5-00AA-B649-A28C-0870C92A66C0}">
            <xm:f>ISERROR(SEARCH("Value Missing",F30))</xm:f>
            <xm:f>"Value Missing"</xm:f>
            <x14:dxf>
              <font>
                <color rgb="FF006100"/>
              </font>
              <fill>
                <patternFill>
                  <bgColor rgb="FFC6EFCE"/>
                </patternFill>
              </fill>
            </x14:dxf>
          </x14:cfRule>
          <x14:cfRule type="containsText" priority="759" stopIfTrue="1" operator="containsText" id="{D5554595-3F99-2241-81C2-2A49DA46B8FF}">
            <xm:f>NOT(ISERROR(SEARCH("Value Missing",F30)))</xm:f>
            <xm:f>"Value Missing"</xm:f>
            <x14:dxf>
              <font>
                <color rgb="FF0E223A"/>
              </font>
              <fill>
                <patternFill>
                  <bgColor rgb="FFFFBE29"/>
                </patternFill>
              </fill>
            </x14:dxf>
          </x14:cfRule>
          <x14:cfRule type="notContainsText" priority="828" operator="notContains" id="{0B8C9671-9DEC-5F4E-AB9C-CDEA3110C87B}">
            <xm:f>ISERROR(SEARCH("Value Missing",F30))</xm:f>
            <xm:f>"Value Missing"</xm:f>
            <x14:dxf>
              <font>
                <color rgb="FF006100"/>
              </font>
              <fill>
                <patternFill>
                  <bgColor rgb="FFC6EFCE"/>
                </patternFill>
              </fill>
            </x14:dxf>
          </x14:cfRule>
          <x14:cfRule type="notContainsText" priority="768" operator="notContains" id="{88573A82-EE49-ED45-80C5-380097257823}">
            <xm:f>ISERROR(SEARCH("Value Missing",F30))</xm:f>
            <xm:f>"Value Missing"</xm:f>
            <x14:dxf>
              <font>
                <color rgb="FF006100"/>
              </font>
              <fill>
                <patternFill>
                  <bgColor rgb="FFC6EFCE"/>
                </patternFill>
              </fill>
            </x14:dxf>
          </x14:cfRule>
          <x14:cfRule type="containsText" priority="769" operator="containsText" id="{74109180-CE81-574B-B64D-35E64CD32ED9}">
            <xm:f>NOT(ISERROR(SEARCH("Value Missing",F30)))</xm:f>
            <xm:f>"Value Missing"</xm:f>
            <x14:dxf>
              <font>
                <color rgb="FF9C0006"/>
              </font>
              <fill>
                <patternFill>
                  <bgColor rgb="FFFFC7CE"/>
                </patternFill>
              </fill>
            </x14:dxf>
          </x14:cfRule>
          <xm:sqref>F30:F39</xm:sqref>
        </x14:conditionalFormatting>
        <x14:conditionalFormatting xmlns:xm="http://schemas.microsoft.com/office/excel/2006/main">
          <x14:cfRule type="notContainsText" priority="813" operator="notContains" id="{136DB6B7-52E5-EC44-B8DB-44315DBD6FB9}">
            <xm:f>ISERROR(SEARCH("Value Missing",F43))</xm:f>
            <xm:f>"Value Missing"</xm:f>
            <x14:dxf>
              <font>
                <color rgb="FF006100"/>
              </font>
              <fill>
                <patternFill>
                  <bgColor rgb="FFC6EFCE"/>
                </patternFill>
              </fill>
            </x14:dxf>
          </x14:cfRule>
          <x14:cfRule type="containsText" priority="817" operator="containsText" id="{315CB6B8-3CB0-8A46-9CCE-CD36E2ED48BB}">
            <xm:f>NOT(ISERROR(SEARCH("Value Missing",F43)))</xm:f>
            <xm:f>"Value Missing"</xm:f>
            <x14:dxf>
              <font>
                <color rgb="FF9C0006"/>
              </font>
              <fill>
                <patternFill>
                  <bgColor rgb="FFFFC7CE"/>
                </patternFill>
              </fill>
            </x14:dxf>
          </x14:cfRule>
          <x14:cfRule type="containsText" priority="814" operator="containsText" id="{2006484F-A190-444A-B468-2826CE7F0A48}">
            <xm:f>NOT(ISERROR(SEARCH("Value Missing",F43)))</xm:f>
            <xm:f>"Value Missing"</xm:f>
            <x14:dxf>
              <font>
                <color rgb="FF9C0006"/>
              </font>
              <fill>
                <patternFill>
                  <bgColor rgb="FFFFC7CE"/>
                </patternFill>
              </fill>
            </x14:dxf>
          </x14:cfRule>
          <x14:cfRule type="notContainsText" priority="816" operator="notContains" id="{DAD5F391-609A-C04F-B39F-44B5DA2760CF}">
            <xm:f>ISERROR(SEARCH("Value Missing",F43))</xm:f>
            <xm:f>"Value Missing"</xm:f>
            <x14:dxf>
              <font>
                <color rgb="FF006100"/>
              </font>
              <fill>
                <patternFill>
                  <bgColor rgb="FFC6EFCE"/>
                </patternFill>
              </fill>
            </x14:dxf>
          </x14:cfRule>
          <xm:sqref>F43:F47</xm:sqref>
        </x14:conditionalFormatting>
        <x14:conditionalFormatting xmlns:xm="http://schemas.microsoft.com/office/excel/2006/main">
          <x14:cfRule type="containsText" priority="771" stopIfTrue="1" operator="containsText" id="{1B21DC2B-871D-D24C-BE67-CBF19A3125C1}">
            <xm:f>NOT(ISERROR(SEARCH("Value Missing",F43)))</xm:f>
            <xm:f>"Value Missing"</xm:f>
            <x14:dxf>
              <font>
                <color rgb="FF0E223A"/>
              </font>
              <fill>
                <patternFill>
                  <bgColor rgb="FFFFBE29"/>
                </patternFill>
              </fill>
            </x14:dxf>
          </x14:cfRule>
          <x14:cfRule type="notContainsText" priority="792" operator="notContains" id="{0FD8E007-A4C3-E745-A6FB-02C3ECF29367}">
            <xm:f>ISERROR(SEARCH("Value Missing",F43))</xm:f>
            <xm:f>"Value Missing"</xm:f>
            <x14:dxf>
              <font>
                <color rgb="FF006100"/>
              </font>
              <fill>
                <patternFill>
                  <bgColor rgb="FFC6EFCE"/>
                </patternFill>
              </fill>
            </x14:dxf>
          </x14:cfRule>
          <x14:cfRule type="containsText" priority="793" operator="containsText" id="{9FB6CFAF-041C-1045-8CD3-E628C26A330E}">
            <xm:f>NOT(ISERROR(SEARCH("Value Missing",F43)))</xm:f>
            <xm:f>"Value Missing"</xm:f>
            <x14:dxf>
              <font>
                <color rgb="FF9C0006"/>
              </font>
              <fill>
                <patternFill>
                  <bgColor rgb="FFFFC7CE"/>
                </patternFill>
              </fill>
            </x14:dxf>
          </x14:cfRule>
          <xm:sqref>F43:F54</xm:sqref>
        </x14:conditionalFormatting>
        <x14:conditionalFormatting xmlns:xm="http://schemas.microsoft.com/office/excel/2006/main">
          <x14:cfRule type="containsText" priority="790" operator="containsText" id="{1BED8F98-7EEC-3042-8D32-973CFB065CFB}">
            <xm:f>NOT(ISERROR(SEARCH("Value Missing",F48)))</xm:f>
            <xm:f>"Value Missing"</xm:f>
            <x14:dxf>
              <font>
                <color rgb="FF9C0006"/>
              </font>
              <fill>
                <patternFill>
                  <bgColor rgb="FFFFC7CE"/>
                </patternFill>
              </fill>
            </x14:dxf>
          </x14:cfRule>
          <x14:cfRule type="notContainsText" priority="789" operator="notContains" id="{EC35381F-A5B8-BE4D-9395-AE016BBA6C0E}">
            <xm:f>ISERROR(SEARCH("Value Missing",F48))</xm:f>
            <xm:f>"Value Missing"</xm:f>
            <x14:dxf>
              <font>
                <color rgb="FF006100"/>
              </font>
              <fill>
                <patternFill>
                  <bgColor rgb="FFC6EFCE"/>
                </patternFill>
              </fill>
            </x14:dxf>
          </x14:cfRule>
          <x14:cfRule type="containsText" priority="781" operator="containsText" id="{6C55E7D3-6A19-7E47-B165-A77F8A917B60}">
            <xm:f>NOT(ISERROR(SEARCH("Value Missing",F48)))</xm:f>
            <xm:f>"Value Missing"</xm:f>
            <x14:dxf>
              <font>
                <color rgb="FF9C0006"/>
              </font>
              <fill>
                <patternFill>
                  <bgColor rgb="FFFFC7CE"/>
                </patternFill>
              </fill>
            </x14:dxf>
          </x14:cfRule>
          <x14:cfRule type="notContainsText" priority="780" operator="notContains" id="{BD5945AF-7542-E042-9F70-2C6486995429}">
            <xm:f>ISERROR(SEARCH("Value Missing",F48))</xm:f>
            <xm:f>"Value Missing"</xm:f>
            <x14:dxf>
              <font>
                <color rgb="FF006100"/>
              </font>
              <fill>
                <patternFill>
                  <bgColor rgb="FFC6EFCE"/>
                </patternFill>
              </fill>
            </x14:dxf>
          </x14:cfRule>
          <xm:sqref>F48:F54</xm:sqref>
        </x14:conditionalFormatting>
        <x14:conditionalFormatting xmlns:xm="http://schemas.microsoft.com/office/excel/2006/main">
          <x14:cfRule type="notContainsText" priority="638" operator="notContains" id="{3CEC03A8-1D80-AF46-AB21-EFAA3FC3A28C}">
            <xm:f>ISERROR(SEARCH("Value Missing",F58))</xm:f>
            <xm:f>"Value Missing"</xm:f>
            <x14:dxf>
              <font>
                <color rgb="FF006100"/>
              </font>
              <fill>
                <patternFill>
                  <bgColor rgb="FFC6EFCE"/>
                </patternFill>
              </fill>
            </x14:dxf>
          </x14:cfRule>
          <x14:cfRule type="containsText" priority="641" operator="containsText" id="{473A590D-D2E3-AF4B-AB50-911859437B73}">
            <xm:f>NOT(ISERROR(SEARCH("Value Missing",F58)))</xm:f>
            <xm:f>"Value Missing"</xm:f>
            <x14:dxf>
              <font>
                <color rgb="FF9C0006"/>
              </font>
              <fill>
                <patternFill>
                  <bgColor rgb="FFFFC7CE"/>
                </patternFill>
              </fill>
            </x14:dxf>
          </x14:cfRule>
          <x14:cfRule type="notContainsText" priority="640" operator="notContains" id="{61E62E14-CBA6-9B4C-95CE-056AC7F58B96}">
            <xm:f>ISERROR(SEARCH("Value Missing",F58))</xm:f>
            <xm:f>"Value Missing"</xm:f>
            <x14:dxf>
              <font>
                <color rgb="FF006100"/>
              </font>
              <fill>
                <patternFill>
                  <bgColor rgb="FFC6EFCE"/>
                </patternFill>
              </fill>
            </x14:dxf>
          </x14:cfRule>
          <x14:cfRule type="containsText" priority="639" operator="containsText" id="{A88A29C9-00BC-7848-BE38-F5A3A4FB5A6A}">
            <xm:f>NOT(ISERROR(SEARCH("Value Missing",F58)))</xm:f>
            <xm:f>"Value Missing"</xm:f>
            <x14:dxf>
              <font>
                <color rgb="FF9C0006"/>
              </font>
              <fill>
                <patternFill>
                  <bgColor rgb="FFFFC7CE"/>
                </patternFill>
              </fill>
            </x14:dxf>
          </x14:cfRule>
          <xm:sqref>F58</xm:sqref>
        </x14:conditionalFormatting>
        <x14:conditionalFormatting xmlns:xm="http://schemas.microsoft.com/office/excel/2006/main">
          <x14:cfRule type="containsText" priority="644" operator="containsText" id="{A2FC2F74-DE7B-7941-86C0-F393025D0933}">
            <xm:f>NOT(ISERROR(SEARCH("Value Missing",F58)))</xm:f>
            <xm:f>"Value Missing"</xm:f>
            <x14:dxf>
              <font>
                <color rgb="FF9C0006"/>
              </font>
              <fill>
                <patternFill>
                  <bgColor rgb="FFFFC7CE"/>
                </patternFill>
              </fill>
            </x14:dxf>
          </x14:cfRule>
          <x14:cfRule type="containsText" priority="634" stopIfTrue="1" operator="containsText" id="{4A81713B-DF26-B64C-B561-0268F33945D4}">
            <xm:f>NOT(ISERROR(SEARCH("Value Missing",F58)))</xm:f>
            <xm:f>"Value Missing"</xm:f>
            <x14:dxf>
              <font>
                <color rgb="FF0E223A"/>
              </font>
              <fill>
                <patternFill>
                  <bgColor rgb="FFFFBE29"/>
                </patternFill>
              </fill>
            </x14:dxf>
          </x14:cfRule>
          <x14:cfRule type="notContainsText" priority="643" operator="notContains" id="{4DC0A6C7-BDF4-5F45-A1D0-53E691B9B47A}">
            <xm:f>ISERROR(SEARCH("Value Missing",F58))</xm:f>
            <xm:f>"Value Missing"</xm:f>
            <x14:dxf>
              <font>
                <color rgb="FF006100"/>
              </font>
              <fill>
                <patternFill>
                  <bgColor rgb="FFC6EFCE"/>
                </patternFill>
              </fill>
            </x14:dxf>
          </x14:cfRule>
          <xm:sqref>F58:F59</xm:sqref>
        </x14:conditionalFormatting>
        <x14:conditionalFormatting xmlns:xm="http://schemas.microsoft.com/office/excel/2006/main">
          <x14:cfRule type="containsText" priority="653" operator="containsText" id="{176F63A2-4834-B34F-B149-8EC727F22ED2}">
            <xm:f>NOT(ISERROR(SEARCH("Value Missing",F59)))</xm:f>
            <xm:f>"Value Missing"</xm:f>
            <x14:dxf>
              <font>
                <color rgb="FF9C0006"/>
              </font>
              <fill>
                <patternFill>
                  <bgColor rgb="FFFFC7CE"/>
                </patternFill>
              </fill>
            </x14:dxf>
          </x14:cfRule>
          <x14:cfRule type="notContainsText" priority="652" operator="notContains" id="{AAAD6AE0-B21C-BE43-AC31-1DF6A85D4B69}">
            <xm:f>ISERROR(SEARCH("Value Missing",F59))</xm:f>
            <xm:f>"Value Missing"</xm:f>
            <x14:dxf>
              <font>
                <color rgb="FF006100"/>
              </font>
              <fill>
                <patternFill>
                  <bgColor rgb="FFC6EFCE"/>
                </patternFill>
              </fill>
            </x14:dxf>
          </x14:cfRule>
          <x14:cfRule type="notContainsText" priority="655" operator="notContains" id="{13EDBBDE-7781-A244-A073-99E4ED965385}">
            <xm:f>ISERROR(SEARCH("Value Missing",F59))</xm:f>
            <xm:f>"Value Missing"</xm:f>
            <x14:dxf>
              <font>
                <color rgb="FF006100"/>
              </font>
              <fill>
                <patternFill>
                  <bgColor rgb="FFC6EFCE"/>
                </patternFill>
              </fill>
            </x14:dxf>
          </x14:cfRule>
          <x14:cfRule type="containsText" priority="656" operator="containsText" id="{7A88FE85-0F69-D543-9360-E92DAE814A09}">
            <xm:f>NOT(ISERROR(SEARCH("Value Missing",F59)))</xm:f>
            <xm:f>"Value Missing"</xm:f>
            <x14:dxf>
              <font>
                <color rgb="FF9C0006"/>
              </font>
              <fill>
                <patternFill>
                  <bgColor rgb="FFFFC7CE"/>
                </patternFill>
              </fill>
            </x14:dxf>
          </x14:cfRule>
          <xm:sqref>F59</xm:sqref>
        </x14:conditionalFormatting>
        <x14:conditionalFormatting xmlns:xm="http://schemas.microsoft.com/office/excel/2006/main">
          <x14:cfRule type="notContainsText" priority="301" operator="notContains" id="{67583196-EC67-CF47-8D59-707EC6651B79}">
            <xm:f>ISERROR(SEARCH("Value Missing",F63))</xm:f>
            <xm:f>"Value Missing"</xm:f>
            <x14:dxf>
              <font>
                <color rgb="FF006100"/>
              </font>
              <fill>
                <patternFill>
                  <bgColor rgb="FFC6EFCE"/>
                </patternFill>
              </fill>
            </x14:dxf>
          </x14:cfRule>
          <x14:cfRule type="containsText" priority="300" operator="containsText" id="{A1607C7F-5675-4D44-B088-293A208AA93A}">
            <xm:f>NOT(ISERROR(SEARCH("Value Missing",F63)))</xm:f>
            <xm:f>"Value Missing"</xm:f>
            <x14:dxf>
              <font>
                <color rgb="FF9C0006"/>
              </font>
              <fill>
                <patternFill>
                  <bgColor rgb="FFFFC7CE"/>
                </patternFill>
              </fill>
            </x14:dxf>
          </x14:cfRule>
          <x14:cfRule type="containsText" priority="295" stopIfTrue="1" operator="containsText" id="{870E8A49-7D20-384D-8700-E54C8CE51CDD}">
            <xm:f>NOT(ISERROR(SEARCH("Value Missing",F63)))</xm:f>
            <xm:f>"Value Missing"</xm:f>
            <x14:dxf>
              <font>
                <color rgb="FF0E223A"/>
              </font>
              <fill>
                <patternFill>
                  <bgColor rgb="FFFFBE29"/>
                </patternFill>
              </fill>
            </x14:dxf>
          </x14:cfRule>
          <x14:cfRule type="notContainsText" priority="299" operator="notContains" id="{27C1761D-A317-954D-A2C0-BC416363DD98}">
            <xm:f>ISERROR(SEARCH("Value Missing",F63))</xm:f>
            <xm:f>"Value Missing"</xm:f>
            <x14:dxf>
              <font>
                <color rgb="FF006100"/>
              </font>
              <fill>
                <patternFill>
                  <bgColor rgb="FFC6EFCE"/>
                </patternFill>
              </fill>
            </x14:dxf>
          </x14:cfRule>
          <x14:cfRule type="containsText" priority="305" operator="containsText" id="{B1CBBD35-0659-2D42-8EF4-D24FEC10CFA1}">
            <xm:f>NOT(ISERROR(SEARCH("Value Missing",F63)))</xm:f>
            <xm:f>"Value Missing"</xm:f>
            <x14:dxf>
              <font>
                <color rgb="FF9C0006"/>
              </font>
              <fill>
                <patternFill>
                  <bgColor rgb="FFFFC7CE"/>
                </patternFill>
              </fill>
            </x14:dxf>
          </x14:cfRule>
          <x14:cfRule type="notContainsText" priority="304" operator="notContains" id="{B12ACCC1-709E-394F-9B62-EF3E8D0548C1}">
            <xm:f>ISERROR(SEARCH("Value Missing",F63))</xm:f>
            <xm:f>"Value Missing"</xm:f>
            <x14:dxf>
              <font>
                <color rgb="FF006100"/>
              </font>
              <fill>
                <patternFill>
                  <bgColor rgb="FFC6EFCE"/>
                </patternFill>
              </fill>
            </x14:dxf>
          </x14:cfRule>
          <x14:cfRule type="containsText" priority="302" operator="containsText" id="{CCFF7EE0-69BB-AB43-8A26-46B1F17BB5AC}">
            <xm:f>NOT(ISERROR(SEARCH("Value Missing",F63)))</xm:f>
            <xm:f>"Value Missing"</xm:f>
            <x14:dxf>
              <font>
                <color rgb="FF9C0006"/>
              </font>
              <fill>
                <patternFill>
                  <bgColor rgb="FFFFC7CE"/>
                </patternFill>
              </fill>
            </x14:dxf>
          </x14:cfRule>
          <xm:sqref>F63:F64</xm:sqref>
        </x14:conditionalFormatting>
        <x14:conditionalFormatting xmlns:xm="http://schemas.microsoft.com/office/excel/2006/main">
          <x14:cfRule type="notContainsText" priority="268" operator="notContains" id="{D7EAFDC5-35C3-7C4D-A496-F141DD7DC69E}">
            <xm:f>ISERROR(SEARCH("Value Missing",F68))</xm:f>
            <xm:f>"Value Missing"</xm:f>
            <x14:dxf>
              <font>
                <color rgb="FF006100"/>
              </font>
              <fill>
                <patternFill>
                  <bgColor rgb="FFC6EFCE"/>
                </patternFill>
              </fill>
            </x14:dxf>
          </x14:cfRule>
          <x14:cfRule type="containsText" priority="266" operator="containsText" id="{F2DA44A5-A822-554C-8444-17AEB93C5BED}">
            <xm:f>NOT(ISERROR(SEARCH("Value Missing",F68)))</xm:f>
            <xm:f>"Value Missing"</xm:f>
            <x14:dxf>
              <font>
                <color rgb="FF9C0006"/>
              </font>
              <fill>
                <patternFill>
                  <bgColor rgb="FFFFC7CE"/>
                </patternFill>
              </fill>
            </x14:dxf>
          </x14:cfRule>
          <x14:cfRule type="notContainsText" priority="265" operator="notContains" id="{B7306FA1-5EEE-0844-A934-400A057E3757}">
            <xm:f>ISERROR(SEARCH("Value Missing",F68))</xm:f>
            <xm:f>"Value Missing"</xm:f>
            <x14:dxf>
              <font>
                <color rgb="FF006100"/>
              </font>
              <fill>
                <patternFill>
                  <bgColor rgb="FFC6EFCE"/>
                </patternFill>
              </fill>
            </x14:dxf>
          </x14:cfRule>
          <x14:cfRule type="containsText" priority="264" operator="containsText" id="{D1934ED7-620A-9140-9D28-4500A1E21297}">
            <xm:f>NOT(ISERROR(SEARCH("Value Missing",F68)))</xm:f>
            <xm:f>"Value Missing"</xm:f>
            <x14:dxf>
              <font>
                <color rgb="FF9C0006"/>
              </font>
              <fill>
                <patternFill>
                  <bgColor rgb="FFFFC7CE"/>
                </patternFill>
              </fill>
            </x14:dxf>
          </x14:cfRule>
          <x14:cfRule type="notContainsText" priority="263" operator="notContains" id="{D13D7E3D-5AFB-994B-9F08-81379064B6E1}">
            <xm:f>ISERROR(SEARCH("Value Missing",F68))</xm:f>
            <xm:f>"Value Missing"</xm:f>
            <x14:dxf>
              <font>
                <color rgb="FF006100"/>
              </font>
              <fill>
                <patternFill>
                  <bgColor rgb="FFC6EFCE"/>
                </patternFill>
              </fill>
            </x14:dxf>
          </x14:cfRule>
          <x14:cfRule type="containsText" priority="259" stopIfTrue="1" operator="containsText" id="{1809050F-1092-2F47-B7D6-C5D65903F406}">
            <xm:f>NOT(ISERROR(SEARCH("Value Missing",F68)))</xm:f>
            <xm:f>"Value Missing"</xm:f>
            <x14:dxf>
              <font>
                <color rgb="FF0E223A"/>
              </font>
              <fill>
                <patternFill>
                  <bgColor rgb="FFFFBE29"/>
                </patternFill>
              </fill>
            </x14:dxf>
          </x14:cfRule>
          <x14:cfRule type="containsText" priority="269" operator="containsText" id="{F45A42B4-1C8A-F946-B151-397979B40698}">
            <xm:f>NOT(ISERROR(SEARCH("Value Missing",F68)))</xm:f>
            <xm:f>"Value Missing"</xm:f>
            <x14:dxf>
              <font>
                <color rgb="FF9C0006"/>
              </font>
              <fill>
                <patternFill>
                  <bgColor rgb="FFFFC7CE"/>
                </patternFill>
              </fill>
            </x14:dxf>
          </x14:cfRule>
          <xm:sqref>F68</xm:sqref>
        </x14:conditionalFormatting>
        <x14:conditionalFormatting xmlns:xm="http://schemas.microsoft.com/office/excel/2006/main">
          <x14:cfRule type="containsText" priority="252" operator="containsText" id="{25E2510B-B5A3-B340-B0F0-BFF4D1F85D3C}">
            <xm:f>NOT(ISERROR(SEARCH("Value Missing",F70)))</xm:f>
            <xm:f>"Value Missing"</xm:f>
            <x14:dxf>
              <font>
                <color rgb="FF9C0006"/>
              </font>
              <fill>
                <patternFill>
                  <bgColor rgb="FFFFC7CE"/>
                </patternFill>
              </fill>
            </x14:dxf>
          </x14:cfRule>
          <x14:cfRule type="notContainsText" priority="251" operator="notContains" id="{B18A591B-B3CE-864D-84DC-7910560A0705}">
            <xm:f>ISERROR(SEARCH("Value Missing",F70))</xm:f>
            <xm:f>"Value Missing"</xm:f>
            <x14:dxf>
              <font>
                <color rgb="FF006100"/>
              </font>
              <fill>
                <patternFill>
                  <bgColor rgb="FFC6EFCE"/>
                </patternFill>
              </fill>
            </x14:dxf>
          </x14:cfRule>
          <x14:cfRule type="notContainsText" priority="253" operator="notContains" id="{669CEAB7-33D3-5D4E-BDC7-5054463B398F}">
            <xm:f>ISERROR(SEARCH("Value Missing",F70))</xm:f>
            <xm:f>"Value Missing"</xm:f>
            <x14:dxf>
              <font>
                <color rgb="FF006100"/>
              </font>
              <fill>
                <patternFill>
                  <bgColor rgb="FFC6EFCE"/>
                </patternFill>
              </fill>
            </x14:dxf>
          </x14:cfRule>
          <x14:cfRule type="containsText" priority="254" operator="containsText" id="{0CAB5667-A35D-444F-B672-1DC5F05F5281}">
            <xm:f>NOT(ISERROR(SEARCH("Value Missing",F70)))</xm:f>
            <xm:f>"Value Missing"</xm:f>
            <x14:dxf>
              <font>
                <color rgb="FF9C0006"/>
              </font>
              <fill>
                <patternFill>
                  <bgColor rgb="FFFFC7CE"/>
                </patternFill>
              </fill>
            </x14:dxf>
          </x14:cfRule>
          <xm:sqref>F70:F75</xm:sqref>
        </x14:conditionalFormatting>
        <x14:conditionalFormatting xmlns:xm="http://schemas.microsoft.com/office/excel/2006/main">
          <x14:cfRule type="containsText" priority="247" stopIfTrue="1" operator="containsText" id="{C8D28008-C104-A14E-AF51-103FC3577CEF}">
            <xm:f>NOT(ISERROR(SEARCH("Value Missing",F70)))</xm:f>
            <xm:f>"Value Missing"</xm:f>
            <x14:dxf>
              <font>
                <color rgb="FF0E223A"/>
              </font>
              <fill>
                <patternFill>
                  <bgColor rgb="FFFFBE29"/>
                </patternFill>
              </fill>
            </x14:dxf>
          </x14:cfRule>
          <x14:cfRule type="notContainsText" priority="256" operator="notContains" id="{95D4EA8F-B238-A141-960C-3D99C2256876}">
            <xm:f>ISERROR(SEARCH("Value Missing",F70))</xm:f>
            <xm:f>"Value Missing"</xm:f>
            <x14:dxf>
              <font>
                <color rgb="FF006100"/>
              </font>
              <fill>
                <patternFill>
                  <bgColor rgb="FFC6EFCE"/>
                </patternFill>
              </fill>
            </x14:dxf>
          </x14:cfRule>
          <x14:cfRule type="containsText" priority="257" operator="containsText" id="{EC5839D8-9C7D-DE4E-A685-167169CC417A}">
            <xm:f>NOT(ISERROR(SEARCH("Value Missing",F70)))</xm:f>
            <xm:f>"Value Missing"</xm:f>
            <x14:dxf>
              <font>
                <color rgb="FF9C0006"/>
              </font>
              <fill>
                <patternFill>
                  <bgColor rgb="FFFFC7CE"/>
                </patternFill>
              </fill>
            </x14:dxf>
          </x14:cfRule>
          <xm:sqref>F70:F76</xm:sqref>
        </x14:conditionalFormatting>
        <x14:conditionalFormatting xmlns:xm="http://schemas.microsoft.com/office/excel/2006/main">
          <x14:cfRule type="notContainsText" priority="715" operator="notContains" id="{FC7181B3-A8EC-A34C-80A3-1F6B5F1A1CA6}">
            <xm:f>ISERROR(SEARCH("Value Missing",C76))</xm:f>
            <xm:f>"Value Missing"</xm:f>
            <x14:dxf>
              <font>
                <color rgb="FF006100"/>
              </font>
              <fill>
                <patternFill>
                  <bgColor rgb="FFC6EFCE"/>
                </patternFill>
              </fill>
            </x14:dxf>
          </x14:cfRule>
          <x14:cfRule type="containsText" priority="713" operator="containsText" id="{64296EDF-1AF9-774A-826F-854DF5952EF2}">
            <xm:f>NOT(ISERROR(SEARCH("Value Missing",C76)))</xm:f>
            <xm:f>"Value Missing"</xm:f>
            <x14:dxf>
              <font>
                <color rgb="FF9C0006"/>
              </font>
              <fill>
                <patternFill>
                  <bgColor rgb="FFFFC7CE"/>
                </patternFill>
              </fill>
            </x14:dxf>
          </x14:cfRule>
          <x14:cfRule type="containsText" priority="716" operator="containsText" id="{74BF2CE7-E850-6F4E-B7B9-3656A685D9E0}">
            <xm:f>NOT(ISERROR(SEARCH("Value Missing",C76)))</xm:f>
            <xm:f>"Value Missing"</xm:f>
            <x14:dxf>
              <font>
                <color rgb="FF9C0006"/>
              </font>
              <fill>
                <patternFill>
                  <bgColor rgb="FFFFC7CE"/>
                </patternFill>
              </fill>
            </x14:dxf>
          </x14:cfRule>
          <xm:sqref>F76 F84 C90 F92 F96:F102 C114</xm:sqref>
        </x14:conditionalFormatting>
        <x14:conditionalFormatting xmlns:xm="http://schemas.microsoft.com/office/excel/2006/main">
          <x14:cfRule type="notContainsText" priority="239" operator="notContains" id="{3C19ACE4-4316-1F40-920E-60F70B7F4759}">
            <xm:f>ISERROR(SEARCH("Value Missing",F78))</xm:f>
            <xm:f>"Value Missing"</xm:f>
            <x14:dxf>
              <font>
                <color rgb="FF006100"/>
              </font>
              <fill>
                <patternFill>
                  <bgColor rgb="FFC6EFCE"/>
                </patternFill>
              </fill>
            </x14:dxf>
          </x14:cfRule>
          <x14:cfRule type="containsText" priority="240" operator="containsText" id="{BAC16A6A-CCC3-9542-BE76-15BA178123B5}">
            <xm:f>NOT(ISERROR(SEARCH("Value Missing",F78)))</xm:f>
            <xm:f>"Value Missing"</xm:f>
            <x14:dxf>
              <font>
                <color rgb="FF9C0006"/>
              </font>
              <fill>
                <patternFill>
                  <bgColor rgb="FFFFC7CE"/>
                </patternFill>
              </fill>
            </x14:dxf>
          </x14:cfRule>
          <x14:cfRule type="notContainsText" priority="241" operator="notContains" id="{5CBB3D4D-3F19-7B40-BDE2-01CCF684348B}">
            <xm:f>ISERROR(SEARCH("Value Missing",F78))</xm:f>
            <xm:f>"Value Missing"</xm:f>
            <x14:dxf>
              <font>
                <color rgb="FF006100"/>
              </font>
              <fill>
                <patternFill>
                  <bgColor rgb="FFC6EFCE"/>
                </patternFill>
              </fill>
            </x14:dxf>
          </x14:cfRule>
          <x14:cfRule type="containsText" priority="242" operator="containsText" id="{9F56AC9E-B2F2-2D4B-81B2-5B26E05ACBDF}">
            <xm:f>NOT(ISERROR(SEARCH("Value Missing",F78)))</xm:f>
            <xm:f>"Value Missing"</xm:f>
            <x14:dxf>
              <font>
                <color rgb="FF9C0006"/>
              </font>
              <fill>
                <patternFill>
                  <bgColor rgb="FFFFC7CE"/>
                </patternFill>
              </fill>
            </x14:dxf>
          </x14:cfRule>
          <xm:sqref>F78:F83</xm:sqref>
        </x14:conditionalFormatting>
        <x14:conditionalFormatting xmlns:xm="http://schemas.microsoft.com/office/excel/2006/main">
          <x14:cfRule type="notContainsText" priority="244" operator="notContains" id="{C9F669C8-0F97-B94F-8320-681FC16ED25F}">
            <xm:f>ISERROR(SEARCH("Value Missing",F78))</xm:f>
            <xm:f>"Value Missing"</xm:f>
            <x14:dxf>
              <font>
                <color rgb="FF006100"/>
              </font>
              <fill>
                <patternFill>
                  <bgColor rgb="FFC6EFCE"/>
                </patternFill>
              </fill>
            </x14:dxf>
          </x14:cfRule>
          <x14:cfRule type="containsText" priority="245" operator="containsText" id="{70DA1400-61C7-EC43-8BC4-164C07915638}">
            <xm:f>NOT(ISERROR(SEARCH("Value Missing",F78)))</xm:f>
            <xm:f>"Value Missing"</xm:f>
            <x14:dxf>
              <font>
                <color rgb="FF9C0006"/>
              </font>
              <fill>
                <patternFill>
                  <bgColor rgb="FFFFC7CE"/>
                </patternFill>
              </fill>
            </x14:dxf>
          </x14:cfRule>
          <x14:cfRule type="containsText" priority="235" stopIfTrue="1" operator="containsText" id="{95514913-BC10-AE49-8421-7F949D543B83}">
            <xm:f>NOT(ISERROR(SEARCH("Value Missing",F78)))</xm:f>
            <xm:f>"Value Missing"</xm:f>
            <x14:dxf>
              <font>
                <color rgb="FF0E223A"/>
              </font>
              <fill>
                <patternFill>
                  <bgColor rgb="FFFFBE29"/>
                </patternFill>
              </fill>
            </x14:dxf>
          </x14:cfRule>
          <xm:sqref>F78:F84</xm:sqref>
        </x14:conditionalFormatting>
        <x14:conditionalFormatting xmlns:xm="http://schemas.microsoft.com/office/excel/2006/main">
          <x14:cfRule type="notContainsText" priority="227" operator="notContains" id="{EEC1DA16-DD6D-4D4F-ADDE-EA184686B355}">
            <xm:f>ISERROR(SEARCH("Value Missing",F86))</xm:f>
            <xm:f>"Value Missing"</xm:f>
            <x14:dxf>
              <font>
                <color rgb="FF006100"/>
              </font>
              <fill>
                <patternFill>
                  <bgColor rgb="FFC6EFCE"/>
                </patternFill>
              </fill>
            </x14:dxf>
          </x14:cfRule>
          <x14:cfRule type="containsText" priority="228" operator="containsText" id="{4C5966C5-4BB4-F74E-A8D3-B036F6542455}">
            <xm:f>NOT(ISERROR(SEARCH("Value Missing",F86)))</xm:f>
            <xm:f>"Value Missing"</xm:f>
            <x14:dxf>
              <font>
                <color rgb="FF9C0006"/>
              </font>
              <fill>
                <patternFill>
                  <bgColor rgb="FFFFC7CE"/>
                </patternFill>
              </fill>
            </x14:dxf>
          </x14:cfRule>
          <x14:cfRule type="containsText" priority="230" operator="containsText" id="{B360FADC-B8C9-FD4A-9277-CFA4A60D1F1D}">
            <xm:f>NOT(ISERROR(SEARCH("Value Missing",F86)))</xm:f>
            <xm:f>"Value Missing"</xm:f>
            <x14:dxf>
              <font>
                <color rgb="FF9C0006"/>
              </font>
              <fill>
                <patternFill>
                  <bgColor rgb="FFFFC7CE"/>
                </patternFill>
              </fill>
            </x14:dxf>
          </x14:cfRule>
          <x14:cfRule type="notContainsText" priority="229" operator="notContains" id="{0FC6281C-048E-4542-B091-5FAB4609C1F0}">
            <xm:f>ISERROR(SEARCH("Value Missing",F86))</xm:f>
            <xm:f>"Value Missing"</xm:f>
            <x14:dxf>
              <font>
                <color rgb="FF006100"/>
              </font>
              <fill>
                <patternFill>
                  <bgColor rgb="FFC6EFCE"/>
                </patternFill>
              </fill>
            </x14:dxf>
          </x14:cfRule>
          <xm:sqref>F86:F91</xm:sqref>
        </x14:conditionalFormatting>
        <x14:conditionalFormatting xmlns:xm="http://schemas.microsoft.com/office/excel/2006/main">
          <x14:cfRule type="containsText" priority="223" stopIfTrue="1" operator="containsText" id="{0831BD51-5711-C543-880C-EFF00DF61074}">
            <xm:f>NOT(ISERROR(SEARCH("Value Missing",F86)))</xm:f>
            <xm:f>"Value Missing"</xm:f>
            <x14:dxf>
              <font>
                <color rgb="FF0E223A"/>
              </font>
              <fill>
                <patternFill>
                  <bgColor rgb="FFFFBE29"/>
                </patternFill>
              </fill>
            </x14:dxf>
          </x14:cfRule>
          <x14:cfRule type="containsText" priority="233" operator="containsText" id="{F9E2C018-8870-DF4C-81D7-3C375A8F3739}">
            <xm:f>NOT(ISERROR(SEARCH("Value Missing",F86)))</xm:f>
            <xm:f>"Value Missing"</xm:f>
            <x14:dxf>
              <font>
                <color rgb="FF9C0006"/>
              </font>
              <fill>
                <patternFill>
                  <bgColor rgb="FFFFC7CE"/>
                </patternFill>
              </fill>
            </x14:dxf>
          </x14:cfRule>
          <x14:cfRule type="notContainsText" priority="232" operator="notContains" id="{B50294B2-1EAA-CF43-81A0-FDADDE41DC6A}">
            <xm:f>ISERROR(SEARCH("Value Missing",F86))</xm:f>
            <xm:f>"Value Missing"</xm:f>
            <x14:dxf>
              <font>
                <color rgb="FF006100"/>
              </font>
              <fill>
                <patternFill>
                  <bgColor rgb="FFC6EFCE"/>
                </patternFill>
              </fill>
            </x14:dxf>
          </x14:cfRule>
          <xm:sqref>F86:F92</xm:sqref>
        </x14:conditionalFormatting>
        <x14:conditionalFormatting xmlns:xm="http://schemas.microsoft.com/office/excel/2006/main">
          <x14:cfRule type="containsText" priority="2190" operator="containsText" id="{FC1C4826-F84D-4043-AB84-97E82518057E}">
            <xm:f>NOT(ISERROR(SEARCH("Value Missing",F63)))</xm:f>
            <xm:f>"Value Missing"</xm:f>
            <x14:dxf>
              <font>
                <color rgb="FF9C0006"/>
              </font>
              <fill>
                <patternFill>
                  <bgColor rgb="FFFFC7CE"/>
                </patternFill>
              </fill>
            </x14:dxf>
          </x14:cfRule>
          <xm:sqref>F106:F107 R63:R66 R85:R88 R114:R115 R119:R120</xm:sqref>
        </x14:conditionalFormatting>
        <x14:conditionalFormatting xmlns:xm="http://schemas.microsoft.com/office/excel/2006/main">
          <x14:cfRule type="containsText" priority="2172" operator="containsText" id="{72123F4B-709A-374A-9878-3CD45AC708BF}">
            <xm:f>NOT(ISERROR(SEARCH("Value Missing",F106)))</xm:f>
            <xm:f>"Value Missing"</xm:f>
            <x14:dxf>
              <font>
                <color rgb="FF9C0006"/>
              </font>
              <fill>
                <patternFill>
                  <bgColor rgb="FFFFC7CE"/>
                </patternFill>
              </fill>
            </x14:dxf>
          </x14:cfRule>
          <x14:cfRule type="notContainsText" priority="2189" operator="notContains" id="{69B866BF-45C9-3443-A6E1-7B3A146A6006}">
            <xm:f>ISERROR(SEARCH("Value Missing",F106))</xm:f>
            <xm:f>"Value Missing"</xm:f>
            <x14:dxf>
              <font>
                <color rgb="FF006100"/>
              </font>
              <fill>
                <patternFill>
                  <bgColor rgb="FFC6EFCE"/>
                </patternFill>
              </fill>
            </x14:dxf>
          </x14:cfRule>
          <xm:sqref>F106:F107</xm:sqref>
        </x14:conditionalFormatting>
        <x14:conditionalFormatting xmlns:xm="http://schemas.microsoft.com/office/excel/2006/main">
          <x14:cfRule type="containsText" priority="862" operator="containsText" id="{84A97266-B750-E445-9B79-EC1D979CA189}">
            <xm:f>NOT(ISERROR(SEARCH("Value Missing",F111)))</xm:f>
            <xm:f>"Value Missing"</xm:f>
            <x14:dxf>
              <font>
                <color rgb="FF9C0006"/>
              </font>
              <fill>
                <patternFill>
                  <bgColor rgb="FFFFC7CE"/>
                </patternFill>
              </fill>
            </x14:dxf>
          </x14:cfRule>
          <x14:cfRule type="notContainsText" priority="859" operator="notContains" id="{296704CA-9B80-7D46-9173-B92F71A5C879}">
            <xm:f>ISERROR(SEARCH("Value Missing",F111))</xm:f>
            <xm:f>"Value Missing"</xm:f>
            <x14:dxf>
              <font>
                <color rgb="FF006100"/>
              </font>
              <fill>
                <patternFill>
                  <bgColor rgb="FFC6EFCE"/>
                </patternFill>
              </fill>
            </x14:dxf>
          </x14:cfRule>
          <x14:cfRule type="notContainsText" priority="864" operator="notContains" id="{65845B85-5B9D-FD4A-88E0-7966F754EC6E}">
            <xm:f>ISERROR(SEARCH("Value Missing",F111))</xm:f>
            <xm:f>"Value Missing"</xm:f>
            <x14:dxf>
              <font>
                <color rgb="FF006100"/>
              </font>
              <fill>
                <patternFill>
                  <bgColor rgb="FFC6EFCE"/>
                </patternFill>
              </fill>
            </x14:dxf>
          </x14:cfRule>
          <x14:cfRule type="containsText" priority="855" stopIfTrue="1" operator="containsText" id="{4F5B644A-10A1-1D4F-84AD-0358D43C10AC}">
            <xm:f>NOT(ISERROR(SEARCH("Value Missing",F111)))</xm:f>
            <xm:f>"Value Missing"</xm:f>
            <x14:dxf>
              <font>
                <color rgb="FF0E223A"/>
              </font>
              <fill>
                <patternFill>
                  <bgColor rgb="FFFFBE29"/>
                </patternFill>
              </fill>
            </x14:dxf>
          </x14:cfRule>
          <x14:cfRule type="containsText" priority="860" operator="containsText" id="{E8D1464C-771D-DD49-8D18-5E048C9276C9}">
            <xm:f>NOT(ISERROR(SEARCH("Value Missing",F111)))</xm:f>
            <xm:f>"Value Missing"</xm:f>
            <x14:dxf>
              <font>
                <color rgb="FF9C0006"/>
              </font>
              <fill>
                <patternFill>
                  <bgColor rgb="FFFFC7CE"/>
                </patternFill>
              </fill>
            </x14:dxf>
          </x14:cfRule>
          <x14:cfRule type="containsText" priority="865" operator="containsText" id="{54FE884C-E5A9-794A-81A8-BCB5D53EC01A}">
            <xm:f>NOT(ISERROR(SEARCH("Value Missing",F111)))</xm:f>
            <xm:f>"Value Missing"</xm:f>
            <x14:dxf>
              <font>
                <color rgb="FF9C0006"/>
              </font>
              <fill>
                <patternFill>
                  <bgColor rgb="FFFFC7CE"/>
                </patternFill>
              </fill>
            </x14:dxf>
          </x14:cfRule>
          <x14:cfRule type="notContainsText" priority="861" operator="notContains" id="{B4325B3F-1F20-7549-8A4A-FB519AE4BB8F}">
            <xm:f>ISERROR(SEARCH("Value Missing",F111))</xm:f>
            <xm:f>"Value Missing"</xm:f>
            <x14:dxf>
              <font>
                <color rgb="FF006100"/>
              </font>
              <fill>
                <patternFill>
                  <bgColor rgb="FFC6EFCE"/>
                </patternFill>
              </fill>
            </x14:dxf>
          </x14:cfRule>
          <xm:sqref>F111:F116</xm:sqref>
        </x14:conditionalFormatting>
        <x14:conditionalFormatting xmlns:xm="http://schemas.microsoft.com/office/excel/2006/main">
          <x14:cfRule type="containsText" priority="209" operator="containsText" id="{EBB165B4-A6FB-5747-A631-E54187F7D898}">
            <xm:f>NOT(ISERROR(SEARCH("Value Missing",F120)))</xm:f>
            <xm:f>"Value Missing"</xm:f>
            <x14:dxf>
              <font>
                <color rgb="FF9C0006"/>
              </font>
              <fill>
                <patternFill>
                  <bgColor rgb="FFFFC7CE"/>
                </patternFill>
              </fill>
            </x14:dxf>
          </x14:cfRule>
          <x14:cfRule type="notContainsText" priority="208" operator="notContains" id="{B99C792E-16A1-934D-A338-7FEBDAD12263}">
            <xm:f>ISERROR(SEARCH("Value Missing",F120))</xm:f>
            <xm:f>"Value Missing"</xm:f>
            <x14:dxf>
              <font>
                <color rgb="FF006100"/>
              </font>
              <fill>
                <patternFill>
                  <bgColor rgb="FFC6EFCE"/>
                </patternFill>
              </fill>
            </x14:dxf>
          </x14:cfRule>
          <xm:sqref>F120:F126</xm:sqref>
        </x14:conditionalFormatting>
        <x14:conditionalFormatting xmlns:xm="http://schemas.microsoft.com/office/excel/2006/main">
          <x14:cfRule type="notContainsText" priority="205" operator="notContains" id="{22189B69-1E4E-D640-B7E8-46BD75875693}">
            <xm:f>ISERROR(SEARCH("Value Missing",F122))</xm:f>
            <xm:f>"Value Missing"</xm:f>
            <x14:dxf>
              <font>
                <color rgb="FF006100"/>
              </font>
              <fill>
                <patternFill>
                  <bgColor rgb="FFC6EFCE"/>
                </patternFill>
              </fill>
            </x14:dxf>
          </x14:cfRule>
          <x14:cfRule type="containsText" priority="204" operator="containsText" id="{B82DDD2A-4725-BB45-8AB5-6731986C0A8D}">
            <xm:f>NOT(ISERROR(SEARCH("Value Missing",F122)))</xm:f>
            <xm:f>"Value Missing"</xm:f>
            <x14:dxf>
              <font>
                <color rgb="FF9C0006"/>
              </font>
              <fill>
                <patternFill>
                  <bgColor rgb="FFFFC7CE"/>
                </patternFill>
              </fill>
            </x14:dxf>
          </x14:cfRule>
          <x14:cfRule type="notContainsText" priority="203" operator="notContains" id="{31E8D06A-E916-B84E-9084-78068BEA4092}">
            <xm:f>ISERROR(SEARCH("Value Missing",F122))</xm:f>
            <xm:f>"Value Missing"</xm:f>
            <x14:dxf>
              <font>
                <color rgb="FF006100"/>
              </font>
              <fill>
                <patternFill>
                  <bgColor rgb="FFC6EFCE"/>
                </patternFill>
              </fill>
            </x14:dxf>
          </x14:cfRule>
          <x14:cfRule type="containsText" priority="206" operator="containsText" id="{DE8BD9DD-9B0C-1646-BAA7-4526A23D74EF}">
            <xm:f>NOT(ISERROR(SEARCH("Value Missing",F122)))</xm:f>
            <xm:f>"Value Missing"</xm:f>
            <x14:dxf>
              <font>
                <color rgb="FF9C0006"/>
              </font>
              <fill>
                <patternFill>
                  <bgColor rgb="FFFFC7CE"/>
                </patternFill>
              </fill>
            </x14:dxf>
          </x14:cfRule>
          <xm:sqref>F122:F124</xm:sqref>
        </x14:conditionalFormatting>
        <x14:conditionalFormatting xmlns:xm="http://schemas.microsoft.com/office/excel/2006/main">
          <x14:cfRule type="containsText" priority="199" stopIfTrue="1" operator="containsText" id="{552043C1-5FB6-7E43-96A8-7C25AC814931}">
            <xm:f>NOT(ISERROR(SEARCH("Value Missing",F122)))</xm:f>
            <xm:f>"Value Missing"</xm:f>
            <x14:dxf>
              <font>
                <color rgb="FF0E223A"/>
              </font>
              <fill>
                <patternFill>
                  <bgColor rgb="FFFFBE29"/>
                </patternFill>
              </fill>
            </x14:dxf>
          </x14:cfRule>
          <xm:sqref>F122:F126</xm:sqref>
        </x14:conditionalFormatting>
        <x14:conditionalFormatting xmlns:xm="http://schemas.microsoft.com/office/excel/2006/main">
          <x14:cfRule type="notContainsText" priority="530" operator="notContains" id="{FDEE7712-1B7F-E84D-BFB0-D15565043ABA}">
            <xm:f>ISERROR(SEARCH("Value Missing",F130))</xm:f>
            <xm:f>"Value Missing"</xm:f>
            <x14:dxf>
              <font>
                <color rgb="FF006100"/>
              </font>
              <fill>
                <patternFill>
                  <bgColor rgb="FFC6EFCE"/>
                </patternFill>
              </fill>
            </x14:dxf>
          </x14:cfRule>
          <x14:cfRule type="containsText" priority="531" operator="containsText" id="{C8BE7839-1B90-7842-B71E-1502F9D95B6C}">
            <xm:f>NOT(ISERROR(SEARCH("Value Missing",F130)))</xm:f>
            <xm:f>"Value Missing"</xm:f>
            <x14:dxf>
              <font>
                <color rgb="FF9C0006"/>
              </font>
              <fill>
                <patternFill>
                  <bgColor rgb="FFFFC7CE"/>
                </patternFill>
              </fill>
            </x14:dxf>
          </x14:cfRule>
          <xm:sqref>F130:F135</xm:sqref>
        </x14:conditionalFormatting>
        <x14:conditionalFormatting xmlns:xm="http://schemas.microsoft.com/office/excel/2006/main">
          <x14:cfRule type="containsText" priority="526" operator="containsText" id="{8931243A-09C6-2044-B7C4-A6618315635F}">
            <xm:f>NOT(ISERROR(SEARCH("Value Missing",F132)))</xm:f>
            <xm:f>"Value Missing"</xm:f>
            <x14:dxf>
              <font>
                <color rgb="FF9C0006"/>
              </font>
              <fill>
                <patternFill>
                  <bgColor rgb="FFFFC7CE"/>
                </patternFill>
              </fill>
            </x14:dxf>
          </x14:cfRule>
          <x14:cfRule type="notContainsText" priority="527" operator="notContains" id="{4FE517B1-0047-2245-ACB6-55A2DA6B0BF5}">
            <xm:f>ISERROR(SEARCH("Value Missing",F132))</xm:f>
            <xm:f>"Value Missing"</xm:f>
            <x14:dxf>
              <font>
                <color rgb="FF006100"/>
              </font>
              <fill>
                <patternFill>
                  <bgColor rgb="FFC6EFCE"/>
                </patternFill>
              </fill>
            </x14:dxf>
          </x14:cfRule>
          <x14:cfRule type="containsText" priority="528" operator="containsText" id="{2888012B-9C4E-5346-A49B-A7E828140017}">
            <xm:f>NOT(ISERROR(SEARCH("Value Missing",F132)))</xm:f>
            <xm:f>"Value Missing"</xm:f>
            <x14:dxf>
              <font>
                <color rgb="FF9C0006"/>
              </font>
              <fill>
                <patternFill>
                  <bgColor rgb="FFFFC7CE"/>
                </patternFill>
              </fill>
            </x14:dxf>
          </x14:cfRule>
          <x14:cfRule type="notContainsText" priority="525" operator="notContains" id="{EEC65140-B91D-354F-BA82-9D88A22FD84B}">
            <xm:f>ISERROR(SEARCH("Value Missing",F132))</xm:f>
            <xm:f>"Value Missing"</xm:f>
            <x14:dxf>
              <font>
                <color rgb="FF006100"/>
              </font>
              <fill>
                <patternFill>
                  <bgColor rgb="FFC6EFCE"/>
                </patternFill>
              </fill>
            </x14:dxf>
          </x14:cfRule>
          <xm:sqref>F132:F137</xm:sqref>
        </x14:conditionalFormatting>
        <x14:conditionalFormatting xmlns:xm="http://schemas.microsoft.com/office/excel/2006/main">
          <x14:cfRule type="containsText" priority="179" stopIfTrue="1" operator="containsText" id="{378A49C7-A79F-D445-96C7-4ACB2F1CE767}">
            <xm:f>NOT(ISERROR(SEARCH("Value Missing",C132)))</xm:f>
            <xm:f>"Value Missing"</xm:f>
            <x14:dxf>
              <font>
                <color rgb="FF0E223A"/>
              </font>
              <fill>
                <patternFill>
                  <bgColor rgb="FFFFBE29"/>
                </patternFill>
              </fill>
            </x14:dxf>
          </x14:cfRule>
          <xm:sqref>F132:F140 C232:C242 C244:C251 L254:L262 L330:L365</xm:sqref>
        </x14:conditionalFormatting>
        <x14:conditionalFormatting xmlns:xm="http://schemas.microsoft.com/office/excel/2006/main">
          <x14:cfRule type="containsText" priority="194" operator="containsText" id="{A01C0CFD-6D39-E144-8B18-669CE399AD51}">
            <xm:f>NOT(ISERROR(SEARCH("Value Missing",C136)))</xm:f>
            <xm:f>"Value Missing"</xm:f>
            <x14:dxf>
              <font>
                <color rgb="FF9C0006"/>
              </font>
              <fill>
                <patternFill>
                  <bgColor rgb="FFFFC7CE"/>
                </patternFill>
              </fill>
            </x14:dxf>
          </x14:cfRule>
          <xm:sqref>F136:F137 C213:C218</xm:sqref>
        </x14:conditionalFormatting>
        <x14:conditionalFormatting xmlns:xm="http://schemas.microsoft.com/office/excel/2006/main">
          <x14:cfRule type="notContainsText" priority="849" operator="notContains" id="{5CDC1DE4-3224-C14F-BC98-7CA9086C50F5}">
            <xm:f>ISERROR(SEARCH("Value Missing",F144))</xm:f>
            <xm:f>"Value Missing"</xm:f>
            <x14:dxf>
              <font>
                <color rgb="FF006100"/>
              </font>
              <fill>
                <patternFill>
                  <bgColor rgb="FFC6EFCE"/>
                </patternFill>
              </fill>
            </x14:dxf>
          </x14:cfRule>
          <x14:cfRule type="containsText" priority="853" operator="containsText" id="{D0CCDC81-55F3-A24C-BBC3-82AD64C9691F}">
            <xm:f>NOT(ISERROR(SEARCH("Value Missing",F144)))</xm:f>
            <xm:f>"Value Missing"</xm:f>
            <x14:dxf>
              <font>
                <color rgb="FF9C0006"/>
              </font>
              <fill>
                <patternFill>
                  <bgColor rgb="FFFFC7CE"/>
                </patternFill>
              </fill>
            </x14:dxf>
          </x14:cfRule>
          <x14:cfRule type="notContainsText" priority="852" operator="notContains" id="{EB100480-97AC-4649-AE2D-7AD127E9F904}">
            <xm:f>ISERROR(SEARCH("Value Missing",F144))</xm:f>
            <xm:f>"Value Missing"</xm:f>
            <x14:dxf>
              <font>
                <color rgb="FF006100"/>
              </font>
              <fill>
                <patternFill>
                  <bgColor rgb="FFC6EFCE"/>
                </patternFill>
              </fill>
            </x14:dxf>
          </x14:cfRule>
          <x14:cfRule type="containsText" priority="850" operator="containsText" id="{6F505483-B797-E84A-B1C0-3EA1C7AB5DDA}">
            <xm:f>NOT(ISERROR(SEARCH("Value Missing",F144)))</xm:f>
            <xm:f>"Value Missing"</xm:f>
            <x14:dxf>
              <font>
                <color rgb="FF9C0006"/>
              </font>
              <fill>
                <patternFill>
                  <bgColor rgb="FFFFC7CE"/>
                </patternFill>
              </fill>
            </x14:dxf>
          </x14:cfRule>
          <xm:sqref>F144:F146</xm:sqref>
        </x14:conditionalFormatting>
        <x14:conditionalFormatting xmlns:xm="http://schemas.microsoft.com/office/excel/2006/main">
          <x14:cfRule type="containsText" priority="519" operator="containsText" id="{90B845BC-4A54-B949-A6B8-8602D72496DC}">
            <xm:f>NOT(ISERROR(SEARCH("Value Missing",F144)))</xm:f>
            <xm:f>"Value Missing"</xm:f>
            <x14:dxf>
              <font>
                <color rgb="FF9C0006"/>
              </font>
              <fill>
                <patternFill>
                  <bgColor rgb="FFFFC7CE"/>
                </patternFill>
              </fill>
            </x14:dxf>
          </x14:cfRule>
          <x14:cfRule type="notContainsText" priority="518" operator="notContains" id="{B5D7AAEF-EA09-214C-9209-41E16B51867F}">
            <xm:f>ISERROR(SEARCH("Value Missing",F144))</xm:f>
            <xm:f>"Value Missing"</xm:f>
            <x14:dxf>
              <font>
                <color rgb="FF006100"/>
              </font>
              <fill>
                <patternFill>
                  <bgColor rgb="FFC6EFCE"/>
                </patternFill>
              </fill>
            </x14:dxf>
          </x14:cfRule>
          <xm:sqref>F144:F152</xm:sqref>
        </x14:conditionalFormatting>
        <x14:conditionalFormatting xmlns:xm="http://schemas.microsoft.com/office/excel/2006/main">
          <x14:cfRule type="containsText" priority="509" stopIfTrue="1" operator="containsText" id="{0D168695-3B05-114E-9586-21A13CA44D46}">
            <xm:f>NOT(ISERROR(SEARCH("Value Missing",F144)))</xm:f>
            <xm:f>"Value Missing"</xm:f>
            <x14:dxf>
              <font>
                <color rgb="FF0E223A"/>
              </font>
              <fill>
                <patternFill>
                  <bgColor rgb="FFFFBE29"/>
                </patternFill>
              </fill>
            </x14:dxf>
          </x14:cfRule>
          <xm:sqref>F144:F158</xm:sqref>
        </x14:conditionalFormatting>
        <x14:conditionalFormatting xmlns:xm="http://schemas.microsoft.com/office/excel/2006/main">
          <x14:cfRule type="notContainsText" priority="513" operator="notContains" id="{DFAA3D8A-DA72-AE4D-BDD0-1B4C31D4A7DF}">
            <xm:f>ISERROR(SEARCH("Value Missing",F147))</xm:f>
            <xm:f>"Value Missing"</xm:f>
            <x14:dxf>
              <font>
                <color rgb="FF006100"/>
              </font>
              <fill>
                <patternFill>
                  <bgColor rgb="FFC6EFCE"/>
                </patternFill>
              </fill>
            </x14:dxf>
          </x14:cfRule>
          <x14:cfRule type="containsText" priority="514" operator="containsText" id="{BB475915-5DC0-324C-A93A-88361A5D862E}">
            <xm:f>NOT(ISERROR(SEARCH("Value Missing",F147)))</xm:f>
            <xm:f>"Value Missing"</xm:f>
            <x14:dxf>
              <font>
                <color rgb="FF9C0006"/>
              </font>
              <fill>
                <patternFill>
                  <bgColor rgb="FFFFC7CE"/>
                </patternFill>
              </fill>
            </x14:dxf>
          </x14:cfRule>
          <x14:cfRule type="notContainsText" priority="515" operator="notContains" id="{75ED6FA6-1C27-F145-873D-3D21CFE5EB61}">
            <xm:f>ISERROR(SEARCH("Value Missing",F147))</xm:f>
            <xm:f>"Value Missing"</xm:f>
            <x14:dxf>
              <font>
                <color rgb="FF006100"/>
              </font>
              <fill>
                <patternFill>
                  <bgColor rgb="FFC6EFCE"/>
                </patternFill>
              </fill>
            </x14:dxf>
          </x14:cfRule>
          <x14:cfRule type="containsText" priority="516" operator="containsText" id="{B540085E-D37A-5047-BA45-F8C60776869D}">
            <xm:f>NOT(ISERROR(SEARCH("Value Missing",F147)))</xm:f>
            <xm:f>"Value Missing"</xm:f>
            <x14:dxf>
              <font>
                <color rgb="FF9C0006"/>
              </font>
              <fill>
                <patternFill>
                  <bgColor rgb="FFFFC7CE"/>
                </patternFill>
              </fill>
            </x14:dxf>
          </x14:cfRule>
          <xm:sqref>F147</xm:sqref>
        </x14:conditionalFormatting>
        <x14:conditionalFormatting xmlns:xm="http://schemas.microsoft.com/office/excel/2006/main">
          <x14:cfRule type="containsText" priority="540" operator="containsText" id="{1752516E-E5FD-A942-8B09-F686547CD638}">
            <xm:f>NOT(ISERROR(SEARCH("Value Missing",F148)))</xm:f>
            <xm:f>"Value Missing"</xm:f>
            <x14:dxf>
              <font>
                <color rgb="FF9C0006"/>
              </font>
              <fill>
                <patternFill>
                  <bgColor rgb="FFFFC7CE"/>
                </patternFill>
              </fill>
            </x14:dxf>
          </x14:cfRule>
          <x14:cfRule type="notContainsText" priority="539" operator="notContains" id="{9962C4FE-9FA8-704A-B0C0-23F78B2D2435}">
            <xm:f>ISERROR(SEARCH("Value Missing",F148))</xm:f>
            <xm:f>"Value Missing"</xm:f>
            <x14:dxf>
              <font>
                <color rgb="FF006100"/>
              </font>
              <fill>
                <patternFill>
                  <bgColor rgb="FFC6EFCE"/>
                </patternFill>
              </fill>
            </x14:dxf>
          </x14:cfRule>
          <xm:sqref>F148:F152</xm:sqref>
        </x14:conditionalFormatting>
        <x14:conditionalFormatting xmlns:xm="http://schemas.microsoft.com/office/excel/2006/main">
          <x14:cfRule type="containsText" priority="543" operator="containsText" id="{1DA3D34C-74C7-B549-B9E0-520C2FA14718}">
            <xm:f>NOT(ISERROR(SEARCH("Value Missing",F148)))</xm:f>
            <xm:f>"Value Missing"</xm:f>
            <x14:dxf>
              <font>
                <color rgb="FF9C0006"/>
              </font>
              <fill>
                <patternFill>
                  <bgColor rgb="FFFFC7CE"/>
                </patternFill>
              </fill>
            </x14:dxf>
          </x14:cfRule>
          <x14:cfRule type="notContainsText" priority="542" operator="notContains" id="{95450771-CDCE-704C-8AF4-0F274C35DA18}">
            <xm:f>ISERROR(SEARCH("Value Missing",F148))</xm:f>
            <xm:f>"Value Missing"</xm:f>
            <x14:dxf>
              <font>
                <color rgb="FF006100"/>
              </font>
              <fill>
                <patternFill>
                  <bgColor rgb="FFC6EFCE"/>
                </patternFill>
              </fill>
            </x14:dxf>
          </x14:cfRule>
          <xm:sqref>F148:F158</xm:sqref>
        </x14:conditionalFormatting>
        <x14:conditionalFormatting xmlns:xm="http://schemas.microsoft.com/office/excel/2006/main">
          <x14:cfRule type="containsText" priority="171" stopIfTrue="1" operator="containsText" id="{D2045D45-F790-4F46-90F4-DE7AA45872D7}">
            <xm:f>NOT(ISERROR(SEARCH("Value Missing",C160)))</xm:f>
            <xm:f>"Value Missing"</xm:f>
            <x14:dxf>
              <font>
                <color rgb="FF0E223A"/>
              </font>
              <fill>
                <patternFill>
                  <bgColor rgb="FFFFBE29"/>
                </patternFill>
              </fill>
            </x14:dxf>
          </x14:cfRule>
          <xm:sqref>F160:F192 C253:C260</xm:sqref>
        </x14:conditionalFormatting>
        <x14:conditionalFormatting xmlns:xm="http://schemas.microsoft.com/office/excel/2006/main">
          <x14:cfRule type="containsText" priority="154" operator="containsText" id="{04C79DC9-F5D5-0C48-8171-397832D5F516}">
            <xm:f>NOT(ISERROR(SEARCH("Value Missing",F191)))</xm:f>
            <xm:f>"Value Missing"</xm:f>
            <x14:dxf>
              <font>
                <color rgb="FF9C0006"/>
              </font>
              <fill>
                <patternFill>
                  <bgColor rgb="FFFFC7CE"/>
                </patternFill>
              </fill>
            </x14:dxf>
          </x14:cfRule>
          <x14:cfRule type="notContainsText" priority="153" operator="notContains" id="{112E4F9D-3F37-1946-B8FB-F9C6D10B2DBA}">
            <xm:f>ISERROR(SEARCH("Value Missing",F191))</xm:f>
            <xm:f>"Value Missing"</xm:f>
            <x14:dxf>
              <font>
                <color rgb="FF006100"/>
              </font>
              <fill>
                <patternFill>
                  <bgColor rgb="FFC6EFCE"/>
                </patternFill>
              </fill>
            </x14:dxf>
          </x14:cfRule>
          <x14:cfRule type="containsText" priority="152" operator="containsText" id="{C6324A02-D0EA-6A48-B3D6-9C7CF26279BD}">
            <xm:f>NOT(ISERROR(SEARCH("Value Missing",F191)))</xm:f>
            <xm:f>"Value Missing"</xm:f>
            <x14:dxf>
              <font>
                <color rgb="FF9C0006"/>
              </font>
              <fill>
                <patternFill>
                  <bgColor rgb="FFFFC7CE"/>
                </patternFill>
              </fill>
            </x14:dxf>
          </x14:cfRule>
          <x14:cfRule type="notContainsText" priority="151" operator="notContains" id="{124710C1-A5A7-6D41-BB32-FCC3646701CE}">
            <xm:f>ISERROR(SEARCH("Value Missing",F191))</xm:f>
            <xm:f>"Value Missing"</xm:f>
            <x14:dxf>
              <font>
                <color rgb="FF006100"/>
              </font>
              <fill>
                <patternFill>
                  <bgColor rgb="FFC6EFCE"/>
                </patternFill>
              </fill>
            </x14:dxf>
          </x14:cfRule>
          <x14:cfRule type="containsText" priority="157" operator="containsText" id="{8056AF2E-9C5F-6F47-A4A3-00568163C277}">
            <xm:f>NOT(ISERROR(SEARCH("Value Missing",F191)))</xm:f>
            <xm:f>"Value Missing"</xm:f>
            <x14:dxf>
              <font>
                <color rgb="FF9C0006"/>
              </font>
              <fill>
                <patternFill>
                  <bgColor rgb="FFFFC7CE"/>
                </patternFill>
              </fill>
            </x14:dxf>
          </x14:cfRule>
          <x14:cfRule type="notContainsText" priority="156" operator="notContains" id="{1A134DFF-DA55-274A-9289-0D37AFF5E12E}">
            <xm:f>ISERROR(SEARCH("Value Missing",F191))</xm:f>
            <xm:f>"Value Missing"</xm:f>
            <x14:dxf>
              <font>
                <color rgb="FF006100"/>
              </font>
              <fill>
                <patternFill>
                  <bgColor rgb="FFC6EFCE"/>
                </patternFill>
              </fill>
            </x14:dxf>
          </x14:cfRule>
          <xm:sqref>F191:F192</xm:sqref>
        </x14:conditionalFormatting>
        <x14:conditionalFormatting xmlns:xm="http://schemas.microsoft.com/office/excel/2006/main">
          <x14:cfRule type="containsText" priority="482" stopIfTrue="1" operator="containsText" id="{B3480505-F41F-5E4F-90A1-8A245E3728B3}">
            <xm:f>NOT(ISERROR(SEARCH("Value Missing",C8)))</xm:f>
            <xm:f>"Value Missing"</xm:f>
            <x14:dxf>
              <font>
                <color rgb="FF0E223A"/>
              </font>
              <fill>
                <patternFill>
                  <bgColor rgb="FFFFBE29"/>
                </patternFill>
              </fill>
            </x14:dxf>
          </x14:cfRule>
          <xm:sqref>I8:I10 I12:I15 I17:I24 I26:I33 I35:I42 I53:I69 C147:C188</xm:sqref>
        </x14:conditionalFormatting>
        <x14:conditionalFormatting xmlns:xm="http://schemas.microsoft.com/office/excel/2006/main">
          <x14:cfRule type="containsText" priority="327" stopIfTrue="1" operator="containsText" id="{46B8FBB6-0D1E-3242-A27E-8C60957F4A43}">
            <xm:f>NOT(ISERROR(SEARCH("Value Missing",I17)))</xm:f>
            <xm:f>"Value Missing"</xm:f>
            <x14:dxf>
              <font>
                <color rgb="FF0E223A"/>
              </font>
              <fill>
                <patternFill>
                  <bgColor rgb="FFFFBE29"/>
                </patternFill>
              </fill>
            </x14:dxf>
          </x14:cfRule>
          <xm:sqref>I17:I24</xm:sqref>
        </x14:conditionalFormatting>
        <x14:conditionalFormatting xmlns:xm="http://schemas.microsoft.com/office/excel/2006/main">
          <x14:cfRule type="containsText" priority="323" stopIfTrue="1" operator="containsText" id="{AF6F50A4-1656-9D4C-8FE0-74EC44684F7E}">
            <xm:f>NOT(ISERROR(SEARCH("Value Missing",I26)))</xm:f>
            <xm:f>"Value Missing"</xm:f>
            <x14:dxf>
              <font>
                <color rgb="FF0E223A"/>
              </font>
              <fill>
                <patternFill>
                  <bgColor rgb="FFFFBE29"/>
                </patternFill>
              </fill>
            </x14:dxf>
          </x14:cfRule>
          <xm:sqref>I26:I33</xm:sqref>
        </x14:conditionalFormatting>
        <x14:conditionalFormatting xmlns:xm="http://schemas.microsoft.com/office/excel/2006/main">
          <x14:cfRule type="containsText" priority="319" stopIfTrue="1" operator="containsText" id="{98A6BAA6-E888-AD49-B6EE-D5EBD126932D}">
            <xm:f>NOT(ISERROR(SEARCH("Value Missing",I35)))</xm:f>
            <xm:f>"Value Missing"</xm:f>
            <x14:dxf>
              <font>
                <color rgb="FF0E223A"/>
              </font>
              <fill>
                <patternFill>
                  <bgColor rgb="FFFFBE29"/>
                </patternFill>
              </fill>
            </x14:dxf>
          </x14:cfRule>
          <xm:sqref>I35:I42</xm:sqref>
        </x14:conditionalFormatting>
        <x14:conditionalFormatting xmlns:xm="http://schemas.microsoft.com/office/excel/2006/main">
          <x14:cfRule type="containsText" priority="29" stopIfTrue="1" operator="containsText" id="{0B5A3707-83AB-CE4C-BF05-4A22BD5EC31E}">
            <xm:f>NOT(ISERROR(SEARCH("Value Missing",I44)))</xm:f>
            <xm:f>"Value Missing"</xm:f>
            <x14:dxf>
              <font>
                <color rgb="FF0E223A"/>
              </font>
              <fill>
                <patternFill>
                  <bgColor rgb="FFFFBE29"/>
                </patternFill>
              </fill>
            </x14:dxf>
          </x14:cfRule>
          <x14:cfRule type="containsText" priority="33" stopIfTrue="1" operator="containsText" id="{62581B00-3EFD-F541-8923-006A0F175BA3}">
            <xm:f>NOT(ISERROR(SEARCH("Value Missing",I44)))</xm:f>
            <xm:f>"Value Missing"</xm:f>
            <x14:dxf>
              <font>
                <color rgb="FF0E223A"/>
              </font>
              <fill>
                <patternFill>
                  <bgColor rgb="FFFFBE29"/>
                </patternFill>
              </fill>
            </x14:dxf>
          </x14:cfRule>
          <xm:sqref>I44:I51</xm:sqref>
        </x14:conditionalFormatting>
        <x14:conditionalFormatting xmlns:xm="http://schemas.microsoft.com/office/excel/2006/main">
          <x14:cfRule type="containsText" priority="933" stopIfTrue="1" operator="containsText" id="{204CD7AE-62CC-754C-B8E1-193695724F5A}">
            <xm:f>NOT(ISERROR(SEARCH("Value Missing",C14)))</xm:f>
            <xm:f>"Value Missing"</xm:f>
            <x14:dxf>
              <font>
                <color rgb="FF0E223A"/>
              </font>
              <fill>
                <patternFill>
                  <bgColor rgb="FFFFBE29"/>
                </patternFill>
              </fill>
            </x14:dxf>
          </x14:cfRule>
          <xm:sqref>I71:I125 O93:O130 C128:C135 I201:I221 I223:I230 I232:I239 I241:I247 C14:C33 C92:C97 C99:C104 C106:C111 C118:C124 I178:I197 L183:L224 L288:L327</xm:sqref>
        </x14:conditionalFormatting>
        <x14:conditionalFormatting xmlns:xm="http://schemas.microsoft.com/office/excel/2006/main">
          <x14:cfRule type="notContainsText" priority="462" operator="notContains" id="{ED209BA6-CC88-7C4A-8424-B646164BB160}">
            <xm:f>ISERROR(SEARCH("Value Missing",I127))</xm:f>
            <xm:f>"Value Missing"</xm:f>
            <x14:dxf>
              <font>
                <color rgb="FF006100"/>
              </font>
              <fill>
                <patternFill>
                  <bgColor rgb="FFC6EFCE"/>
                </patternFill>
              </fill>
            </x14:dxf>
          </x14:cfRule>
          <x14:cfRule type="notContainsText" priority="466" operator="notContains" id="{22805672-15DA-0647-B566-A8CD618CB73D}">
            <xm:f>ISERROR(SEARCH("Value Missing",I127))</xm:f>
            <xm:f>"Value Missing"</xm:f>
            <x14:dxf>
              <font>
                <color rgb="FF006100"/>
              </font>
              <fill>
                <patternFill>
                  <bgColor rgb="FFC6EFCE"/>
                </patternFill>
              </fill>
            </x14:dxf>
          </x14:cfRule>
          <x14:cfRule type="containsText" priority="458" stopIfTrue="1" operator="containsText" id="{C789315B-3C2F-5646-9AD8-0F27393EC8BD}">
            <xm:f>NOT(ISERROR(SEARCH("Value Missing",I127)))</xm:f>
            <xm:f>"Value Missing"</xm:f>
            <x14:dxf>
              <font>
                <color rgb="FF0E223A"/>
              </font>
              <fill>
                <patternFill>
                  <bgColor rgb="FFFFBE29"/>
                </patternFill>
              </fill>
            </x14:dxf>
          </x14:cfRule>
          <xm:sqref>I127:I130 I132:I135 I137:I140</xm:sqref>
        </x14:conditionalFormatting>
        <x14:conditionalFormatting xmlns:xm="http://schemas.microsoft.com/office/excel/2006/main">
          <x14:cfRule type="notContainsText" priority="456" operator="notContains" id="{64A936E1-A0B4-3344-B823-B0C88A30F083}">
            <xm:f>ISERROR(SEARCH("Value Missing",I142))</xm:f>
            <xm:f>"Value Missing"</xm:f>
            <x14:dxf>
              <font>
                <color rgb="FF006100"/>
              </font>
              <fill>
                <patternFill>
                  <bgColor rgb="FFC6EFCE"/>
                </patternFill>
              </fill>
            </x14:dxf>
          </x14:cfRule>
          <x14:cfRule type="containsText" priority="455" operator="containsText" id="{873E9D5E-8A00-FE41-BCD2-5F5B76C34A7E}">
            <xm:f>NOT(ISERROR(SEARCH("Value Missing",I142)))</xm:f>
            <xm:f>"Value Missing"</xm:f>
            <x14:dxf>
              <font>
                <color rgb="FF9C0006"/>
              </font>
              <fill>
                <patternFill>
                  <bgColor rgb="FFFFC7CE"/>
                </patternFill>
              </fill>
            </x14:dxf>
          </x14:cfRule>
          <x14:cfRule type="notContainsText" priority="454" operator="notContains" id="{24CE4B8E-0F75-DE4E-9244-56D548F9DB62}">
            <xm:f>ISERROR(SEARCH("Value Missing",I142))</xm:f>
            <xm:f>"Value Missing"</xm:f>
            <x14:dxf>
              <font>
                <color rgb="FF006100"/>
              </font>
              <fill>
                <patternFill>
                  <bgColor rgb="FFC6EFCE"/>
                </patternFill>
              </fill>
            </x14:dxf>
          </x14:cfRule>
          <x14:cfRule type="containsText" priority="451" operator="containsText" id="{B84D4832-E658-B34D-AE9C-6A01507CF641}">
            <xm:f>NOT(ISERROR(SEARCH("Value Missing",I142)))</xm:f>
            <xm:f>"Value Missing"</xm:f>
            <x14:dxf>
              <font>
                <color rgb="FF9C0006"/>
              </font>
              <fill>
                <patternFill>
                  <bgColor rgb="FFFFC7CE"/>
                </patternFill>
              </fill>
            </x14:dxf>
          </x14:cfRule>
          <x14:cfRule type="notContainsText" priority="450" operator="notContains" id="{E7FC1F43-E9EB-F74D-855A-7B0AF5E580EE}">
            <xm:f>ISERROR(SEARCH("Value Missing",I142))</xm:f>
            <xm:f>"Value Missing"</xm:f>
            <x14:dxf>
              <font>
                <color rgb="FF006100"/>
              </font>
              <fill>
                <patternFill>
                  <bgColor rgb="FFC6EFCE"/>
                </patternFill>
              </fill>
            </x14:dxf>
          </x14:cfRule>
          <x14:cfRule type="containsText" priority="446" stopIfTrue="1" operator="containsText" id="{E4E21A47-7B7F-CA46-8138-0AA41F01E253}">
            <xm:f>NOT(ISERROR(SEARCH("Value Missing",I142)))</xm:f>
            <xm:f>"Value Missing"</xm:f>
            <x14:dxf>
              <font>
                <color rgb="FF0E223A"/>
              </font>
              <fill>
                <patternFill>
                  <bgColor rgb="FFFFBE29"/>
                </patternFill>
              </fill>
            </x14:dxf>
          </x14:cfRule>
          <xm:sqref>I142:I145 I147:I150</xm:sqref>
        </x14:conditionalFormatting>
        <x14:conditionalFormatting xmlns:xm="http://schemas.microsoft.com/office/excel/2006/main">
          <x14:cfRule type="notContainsText" priority="432" operator="notContains" id="{B92AADED-222D-D74C-AAC7-4EE8D0075BB2}">
            <xm:f>ISERROR(SEARCH("Value Missing",I152))</xm:f>
            <xm:f>"Value Missing"</xm:f>
            <x14:dxf>
              <font>
                <color rgb="FF006100"/>
              </font>
              <fill>
                <patternFill>
                  <bgColor rgb="FFC6EFCE"/>
                </patternFill>
              </fill>
            </x14:dxf>
          </x14:cfRule>
          <x14:cfRule type="notContainsText" priority="426" operator="notContains" id="{E108BEA6-3444-4C41-88F4-78478F0D3CA1}">
            <xm:f>ISERROR(SEARCH("Value Missing",I152))</xm:f>
            <xm:f>"Value Missing"</xm:f>
            <x14:dxf>
              <font>
                <color rgb="FF006100"/>
              </font>
              <fill>
                <patternFill>
                  <bgColor rgb="FFC6EFCE"/>
                </patternFill>
              </fill>
            </x14:dxf>
          </x14:cfRule>
          <x14:cfRule type="containsText" priority="427" operator="containsText" id="{4E6045F5-D4C0-6B4C-AF3F-4505D3DBDE87}">
            <xm:f>NOT(ISERROR(SEARCH("Value Missing",I152)))</xm:f>
            <xm:f>"Value Missing"</xm:f>
            <x14:dxf>
              <font>
                <color rgb="FF9C0006"/>
              </font>
              <fill>
                <patternFill>
                  <bgColor rgb="FFFFC7CE"/>
                </patternFill>
              </fill>
            </x14:dxf>
          </x14:cfRule>
          <x14:cfRule type="notContainsText" priority="430" operator="notContains" id="{413F5A94-9277-FB4A-B341-05746C3BE9C5}">
            <xm:f>ISERROR(SEARCH("Value Missing",I152))</xm:f>
            <xm:f>"Value Missing"</xm:f>
            <x14:dxf>
              <font>
                <color rgb="FF006100"/>
              </font>
              <fill>
                <patternFill>
                  <bgColor rgb="FFC6EFCE"/>
                </patternFill>
              </fill>
            </x14:dxf>
          </x14:cfRule>
          <x14:cfRule type="containsText" priority="431" operator="containsText" id="{2AB77698-F427-3741-8EB2-9695AFFC60A0}">
            <xm:f>NOT(ISERROR(SEARCH("Value Missing",I152)))</xm:f>
            <xm:f>"Value Missing"</xm:f>
            <x14:dxf>
              <font>
                <color rgb="FF9C0006"/>
              </font>
              <fill>
                <patternFill>
                  <bgColor rgb="FFFFC7CE"/>
                </patternFill>
              </fill>
            </x14:dxf>
          </x14:cfRule>
          <x14:cfRule type="containsText" priority="422" stopIfTrue="1" operator="containsText" id="{191BE838-4409-4C46-BAC7-098F77322DA1}">
            <xm:f>NOT(ISERROR(SEARCH("Value Missing",I152)))</xm:f>
            <xm:f>"Value Missing"</xm:f>
            <x14:dxf>
              <font>
                <color rgb="FF0E223A"/>
              </font>
              <fill>
                <patternFill>
                  <bgColor rgb="FFFFBE29"/>
                </patternFill>
              </fill>
            </x14:dxf>
          </x14:cfRule>
          <xm:sqref>I152:I155</xm:sqref>
        </x14:conditionalFormatting>
        <x14:conditionalFormatting xmlns:xm="http://schemas.microsoft.com/office/excel/2006/main">
          <x14:cfRule type="notContainsText" priority="418" operator="notContains" id="{5651096A-8902-254B-9F26-84D63DC63B53}">
            <xm:f>ISERROR(SEARCH("Value Missing",I157))</xm:f>
            <xm:f>"Value Missing"</xm:f>
            <x14:dxf>
              <font>
                <color rgb="FF006100"/>
              </font>
              <fill>
                <patternFill>
                  <bgColor rgb="FFC6EFCE"/>
                </patternFill>
              </fill>
            </x14:dxf>
          </x14:cfRule>
          <x14:cfRule type="containsText" priority="419" operator="containsText" id="{C95A0006-2520-3F4E-8CAC-C2C2B91DA98E}">
            <xm:f>NOT(ISERROR(SEARCH("Value Missing",I157)))</xm:f>
            <xm:f>"Value Missing"</xm:f>
            <x14:dxf>
              <font>
                <color rgb="FF9C0006"/>
              </font>
              <fill>
                <patternFill>
                  <bgColor rgb="FFFFC7CE"/>
                </patternFill>
              </fill>
            </x14:dxf>
          </x14:cfRule>
          <x14:cfRule type="notContainsText" priority="414" operator="notContains" id="{081475AE-57A1-6C41-8EE7-BE81E7FE8043}">
            <xm:f>ISERROR(SEARCH("Value Missing",I157))</xm:f>
            <xm:f>"Value Missing"</xm:f>
            <x14:dxf>
              <font>
                <color rgb="FF006100"/>
              </font>
              <fill>
                <patternFill>
                  <bgColor rgb="FFC6EFCE"/>
                </patternFill>
              </fill>
            </x14:dxf>
          </x14:cfRule>
          <x14:cfRule type="containsText" priority="415" operator="containsText" id="{7FBCC206-B9DE-AC44-8812-6BCEC04A5615}">
            <xm:f>NOT(ISERROR(SEARCH("Value Missing",I157)))</xm:f>
            <xm:f>"Value Missing"</xm:f>
            <x14:dxf>
              <font>
                <color rgb="FF9C0006"/>
              </font>
              <fill>
                <patternFill>
                  <bgColor rgb="FFFFC7CE"/>
                </patternFill>
              </fill>
            </x14:dxf>
          </x14:cfRule>
          <xm:sqref>I157:I160</xm:sqref>
        </x14:conditionalFormatting>
        <x14:conditionalFormatting xmlns:xm="http://schemas.microsoft.com/office/excel/2006/main">
          <x14:cfRule type="notContainsText" priority="420" operator="notContains" id="{12F73065-1FB0-8F43-9664-4FE0D76D9171}">
            <xm:f>ISERROR(SEARCH("Value Missing",I157))</xm:f>
            <xm:f>"Value Missing"</xm:f>
            <x14:dxf>
              <font>
                <color rgb="FF006100"/>
              </font>
              <fill>
                <patternFill>
                  <bgColor rgb="FFC6EFCE"/>
                </patternFill>
              </fill>
            </x14:dxf>
          </x14:cfRule>
          <xm:sqref>I157:I174 L254:L260 L330:L351 L354:L365</xm:sqref>
        </x14:conditionalFormatting>
        <x14:conditionalFormatting xmlns:xm="http://schemas.microsoft.com/office/excel/2006/main">
          <x14:cfRule type="containsText" priority="410" stopIfTrue="1" operator="containsText" id="{F82BCA92-014B-4345-9BE3-0A41EE3E7F4A}">
            <xm:f>NOT(ISERROR(SEARCH("Value Missing",I157)))</xm:f>
            <xm:f>"Value Missing"</xm:f>
            <x14:dxf>
              <font>
                <color rgb="FF0E223A"/>
              </font>
              <fill>
                <patternFill>
                  <bgColor rgb="FFFFBE29"/>
                </patternFill>
              </fill>
            </x14:dxf>
          </x14:cfRule>
          <xm:sqref>I157:I174</xm:sqref>
        </x14:conditionalFormatting>
        <x14:conditionalFormatting xmlns:xm="http://schemas.microsoft.com/office/excel/2006/main">
          <x14:cfRule type="containsText" priority="439" operator="containsText" id="{239CAEC7-D309-6C48-A18D-7B77D75F398F}">
            <xm:f>NOT(ISERROR(SEARCH("Value Missing",I161)))</xm:f>
            <xm:f>"Value Missing"</xm:f>
            <x14:dxf>
              <font>
                <color rgb="FF9C0006"/>
              </font>
              <fill>
                <patternFill>
                  <bgColor rgb="FFFFC7CE"/>
                </patternFill>
              </fill>
            </x14:dxf>
          </x14:cfRule>
          <x14:cfRule type="containsText" priority="443" operator="containsText" id="{6C9C07AE-C97F-FD46-9128-64816771FD8E}">
            <xm:f>NOT(ISERROR(SEARCH("Value Missing",I161)))</xm:f>
            <xm:f>"Value Missing"</xm:f>
            <x14:dxf>
              <font>
                <color rgb="FF9C0006"/>
              </font>
              <fill>
                <patternFill>
                  <bgColor rgb="FFFFC7CE"/>
                </patternFill>
              </fill>
            </x14:dxf>
          </x14:cfRule>
          <x14:cfRule type="notContainsText" priority="442" operator="notContains" id="{A1D2A634-4810-E74B-9D2C-CC179641CF8A}">
            <xm:f>ISERROR(SEARCH("Value Missing",I161))</xm:f>
            <xm:f>"Value Missing"</xm:f>
            <x14:dxf>
              <font>
                <color rgb="FF006100"/>
              </font>
              <fill>
                <patternFill>
                  <bgColor rgb="FFC6EFCE"/>
                </patternFill>
              </fill>
            </x14:dxf>
          </x14:cfRule>
          <x14:cfRule type="notContainsText" priority="444" operator="notContains" id="{AC5ABB67-C7EA-5A4C-8F40-03B08E402E6A}">
            <xm:f>ISERROR(SEARCH("Value Missing",I161))</xm:f>
            <xm:f>"Value Missing"</xm:f>
            <x14:dxf>
              <font>
                <color rgb="FF006100"/>
              </font>
              <fill>
                <patternFill>
                  <bgColor rgb="FFC6EFCE"/>
                </patternFill>
              </fill>
            </x14:dxf>
          </x14:cfRule>
          <xm:sqref>I161:I174</xm:sqref>
        </x14:conditionalFormatting>
        <x14:conditionalFormatting xmlns:xm="http://schemas.microsoft.com/office/excel/2006/main">
          <x14:cfRule type="containsText" priority="21" stopIfTrue="1" operator="containsText" id="{D3968600-DF2E-A64E-9A13-728ED6465ECD}">
            <xm:f>NOT(ISERROR(SEARCH("Value Missing",I249)))</xm:f>
            <xm:f>"Value Missing"</xm:f>
            <x14:dxf>
              <font>
                <color rgb="FF0E223A"/>
              </font>
              <fill>
                <patternFill>
                  <bgColor rgb="FFFFBE29"/>
                </patternFill>
              </fill>
            </x14:dxf>
          </x14:cfRule>
          <xm:sqref>I249:I256</xm:sqref>
        </x14:conditionalFormatting>
        <x14:conditionalFormatting xmlns:xm="http://schemas.microsoft.com/office/excel/2006/main">
          <x14:cfRule type="containsText" priority="25" stopIfTrue="1" operator="containsText" id="{35BDBE70-989F-F64A-BE43-71DD42A8701D}">
            <xm:f>NOT(ISERROR(SEARCH("Value Missing",I249)))</xm:f>
            <xm:f>"Value Missing"</xm:f>
            <x14:dxf>
              <font>
                <color rgb="FF0E223A"/>
              </font>
              <fill>
                <patternFill>
                  <bgColor rgb="FFFFBE29"/>
                </patternFill>
              </fill>
            </x14:dxf>
          </x14:cfRule>
          <xm:sqref>I249:I312</xm:sqref>
        </x14:conditionalFormatting>
        <x14:conditionalFormatting xmlns:xm="http://schemas.microsoft.com/office/excel/2006/main">
          <x14:cfRule type="containsText" priority="617" operator="containsText" id="{8026684D-F4C9-9543-B6C3-1F7DB5FB8FC0}">
            <xm:f>NOT(ISERROR(SEARCH("Value Missing",L39)))</xm:f>
            <xm:f>"Value Missing"</xm:f>
            <x14:dxf>
              <font>
                <color rgb="FF9C0006"/>
              </font>
              <fill>
                <patternFill>
                  <bgColor rgb="FFFFC7CE"/>
                </patternFill>
              </fill>
            </x14:dxf>
          </x14:cfRule>
          <xm:sqref>L39</xm:sqref>
        </x14:conditionalFormatting>
        <x14:conditionalFormatting xmlns:xm="http://schemas.microsoft.com/office/excel/2006/main">
          <x14:cfRule type="containsText" priority="1768" operator="containsText" id="{A8286C1F-9D94-414E-ACED-700995BD9EA7}">
            <xm:f>NOT(ISERROR(SEARCH("Value Missing",L44)))</xm:f>
            <xm:f>"Value Missing"</xm:f>
            <x14:dxf>
              <font>
                <color rgb="FF9C0006"/>
              </font>
              <fill>
                <patternFill>
                  <bgColor rgb="FFFFC7CE"/>
                </patternFill>
              </fill>
            </x14:dxf>
          </x14:cfRule>
          <xm:sqref>L44:L62</xm:sqref>
        </x14:conditionalFormatting>
        <x14:conditionalFormatting xmlns:xm="http://schemas.microsoft.com/office/excel/2006/main">
          <x14:cfRule type="notContainsText" priority="1767" operator="notContains" id="{0404F85F-A291-6944-8CC8-EAB1103020B2}">
            <xm:f>ISERROR(SEARCH("Value Missing",L57))</xm:f>
            <xm:f>"Value Missing"</xm:f>
            <x14:dxf>
              <font>
                <color rgb="FF006100"/>
              </font>
              <fill>
                <patternFill>
                  <bgColor rgb="FFC6EFCE"/>
                </patternFill>
              </fill>
            </x14:dxf>
          </x14:cfRule>
          <xm:sqref>L57</xm:sqref>
        </x14:conditionalFormatting>
        <x14:conditionalFormatting xmlns:xm="http://schemas.microsoft.com/office/excel/2006/main">
          <x14:cfRule type="notContainsText" priority="1938" operator="notContains" id="{EB06B408-D343-1C45-A9DA-11348E40217A}">
            <xm:f>ISERROR(SEARCH("Value Missing",L66))</xm:f>
            <xm:f>"Value Missing"</xm:f>
            <x14:dxf>
              <font>
                <color rgb="FF006100"/>
              </font>
              <fill>
                <patternFill>
                  <bgColor rgb="FFC6EFCE"/>
                </patternFill>
              </fill>
            </x14:dxf>
          </x14:cfRule>
          <x14:cfRule type="containsText" priority="1939" operator="containsText" id="{C28561CE-3D71-7E47-BA51-7A5F77A95858}">
            <xm:f>NOT(ISERROR(SEARCH("Value Missing",L66)))</xm:f>
            <xm:f>"Value Missing"</xm:f>
            <x14:dxf>
              <font>
                <color rgb="FF9C0006"/>
              </font>
              <fill>
                <patternFill>
                  <bgColor rgb="FFFFC7CE"/>
                </patternFill>
              </fill>
            </x14:dxf>
          </x14:cfRule>
          <xm:sqref>L66:L67</xm:sqref>
        </x14:conditionalFormatting>
        <x14:conditionalFormatting xmlns:xm="http://schemas.microsoft.com/office/excel/2006/main">
          <x14:cfRule type="notContainsText" priority="5349" operator="notContains" id="{EB06B408-D343-1C45-A9DA-11348E40217A}">
            <xm:f>ISERROR(SEARCH("Value Missing",L68))</xm:f>
            <xm:f>"Value Missing"</xm:f>
            <x14:dxf>
              <font>
                <color rgb="FF006100"/>
              </font>
              <fill>
                <patternFill>
                  <bgColor rgb="FFC6EFCE"/>
                </patternFill>
              </fill>
            </x14:dxf>
          </x14:cfRule>
          <x14:cfRule type="containsText" priority="5350" operator="containsText" id="{C28561CE-3D71-7E47-BA51-7A5F77A95858}">
            <xm:f>NOT(ISERROR(SEARCH("Value Missing",L68)))</xm:f>
            <xm:f>"Value Missing"</xm:f>
            <x14:dxf>
              <font>
                <color rgb="FF9C0006"/>
              </font>
              <fill>
                <patternFill>
                  <bgColor rgb="FFFFC7CE"/>
                </patternFill>
              </fill>
            </x14:dxf>
          </x14:cfRule>
          <xm:sqref>L68</xm:sqref>
        </x14:conditionalFormatting>
        <x14:conditionalFormatting xmlns:xm="http://schemas.microsoft.com/office/excel/2006/main">
          <x14:cfRule type="containsText" priority="2286" operator="containsText" id="{F667AE56-B058-E742-B5A0-59BD3DD17B9D}">
            <xm:f>NOT(ISERROR(SEARCH("Value Missing",L72)))</xm:f>
            <xm:f>"Value Missing"</xm:f>
            <x14:dxf>
              <font>
                <color rgb="FF9C0006"/>
              </font>
              <fill>
                <patternFill>
                  <bgColor rgb="FFFFC7CE"/>
                </patternFill>
              </fill>
            </x14:dxf>
          </x14:cfRule>
          <x14:cfRule type="notContainsText" priority="2285" operator="notContains" id="{A6055999-7341-FD44-A821-28C6EA375C58}">
            <xm:f>ISERROR(SEARCH("Value Missing",L72))</xm:f>
            <xm:f>"Value Missing"</xm:f>
            <x14:dxf>
              <font>
                <color rgb="FF006100"/>
              </font>
              <fill>
                <patternFill>
                  <bgColor rgb="FFC6EFCE"/>
                </patternFill>
              </fill>
            </x14:dxf>
          </x14:cfRule>
          <xm:sqref>L72:L73</xm:sqref>
        </x14:conditionalFormatting>
        <x14:conditionalFormatting xmlns:xm="http://schemas.microsoft.com/office/excel/2006/main">
          <x14:cfRule type="containsText" priority="2284" operator="containsText" id="{A190E3DF-8B8A-AE41-955D-4EEA5D5A7A9E}">
            <xm:f>NOT(ISERROR(SEARCH("Value Missing",L77)))</xm:f>
            <xm:f>"Value Missing"</xm:f>
            <x14:dxf>
              <font>
                <color rgb="FF9C0006"/>
              </font>
              <fill>
                <patternFill>
                  <bgColor rgb="FFFFC7CE"/>
                </patternFill>
              </fill>
            </x14:dxf>
          </x14:cfRule>
          <x14:cfRule type="notContainsText" priority="2283" operator="notContains" id="{CF9A5631-84E5-A242-9D11-EC5251E412F3}">
            <xm:f>ISERROR(SEARCH("Value Missing",L77))</xm:f>
            <xm:f>"Value Missing"</xm:f>
            <x14:dxf>
              <font>
                <color rgb="FF006100"/>
              </font>
              <fill>
                <patternFill>
                  <bgColor rgb="FFC6EFCE"/>
                </patternFill>
              </fill>
            </x14:dxf>
          </x14:cfRule>
          <xm:sqref>L77:L78</xm:sqref>
        </x14:conditionalFormatting>
        <x14:conditionalFormatting xmlns:xm="http://schemas.microsoft.com/office/excel/2006/main">
          <x14:cfRule type="containsText" priority="2282" operator="containsText" id="{D8BA5D82-4AAB-684F-B3E8-B855F9C5CBDF}">
            <xm:f>NOT(ISERROR(SEARCH("Value Missing",L82)))</xm:f>
            <xm:f>"Value Missing"</xm:f>
            <x14:dxf>
              <font>
                <color rgb="FF9C0006"/>
              </font>
              <fill>
                <patternFill>
                  <bgColor rgb="FFFFC7CE"/>
                </patternFill>
              </fill>
            </x14:dxf>
          </x14:cfRule>
          <x14:cfRule type="notContainsText" priority="2281" operator="notContains" id="{4C2CED3A-085D-7C4A-A30D-527DBB1A2B94}">
            <xm:f>ISERROR(SEARCH("Value Missing",L82))</xm:f>
            <xm:f>"Value Missing"</xm:f>
            <x14:dxf>
              <font>
                <color rgb="FF006100"/>
              </font>
              <fill>
                <patternFill>
                  <bgColor rgb="FFC6EFCE"/>
                </patternFill>
              </fill>
            </x14:dxf>
          </x14:cfRule>
          <xm:sqref>L82:L83</xm:sqref>
        </x14:conditionalFormatting>
        <x14:conditionalFormatting xmlns:xm="http://schemas.microsoft.com/office/excel/2006/main">
          <x14:cfRule type="containsText" priority="2280" operator="containsText" id="{1E360F40-5887-A546-85AA-CE1919341AD2}">
            <xm:f>NOT(ISERROR(SEARCH("Value Missing",L87)))</xm:f>
            <xm:f>"Value Missing"</xm:f>
            <x14:dxf>
              <font>
                <color rgb="FF9C0006"/>
              </font>
              <fill>
                <patternFill>
                  <bgColor rgb="FFFFC7CE"/>
                </patternFill>
              </fill>
            </x14:dxf>
          </x14:cfRule>
          <x14:cfRule type="notContainsText" priority="2279" operator="notContains" id="{5162A225-94BA-E648-8021-C9746B852834}">
            <xm:f>ISERROR(SEARCH("Value Missing",L87))</xm:f>
            <xm:f>"Value Missing"</xm:f>
            <x14:dxf>
              <font>
                <color rgb="FF006100"/>
              </font>
              <fill>
                <patternFill>
                  <bgColor rgb="FFC6EFCE"/>
                </patternFill>
              </fill>
            </x14:dxf>
          </x14:cfRule>
          <xm:sqref>L87:L88</xm:sqref>
        </x14:conditionalFormatting>
        <x14:conditionalFormatting xmlns:xm="http://schemas.microsoft.com/office/excel/2006/main">
          <x14:cfRule type="containsText" priority="1854" operator="containsText" id="{B16C308F-57F7-454A-9EAA-C915315EA5EE}">
            <xm:f>NOT(ISERROR(SEARCH("Value Missing",L92)))</xm:f>
            <xm:f>"Value Missing"</xm:f>
            <x14:dxf>
              <font>
                <color rgb="FF9C0006"/>
              </font>
              <fill>
                <patternFill>
                  <bgColor rgb="FFFFC7CE"/>
                </patternFill>
              </fill>
            </x14:dxf>
          </x14:cfRule>
          <x14:cfRule type="notContainsText" priority="1853" operator="notContains" id="{66D7A8B4-DFA1-0F44-AF45-F6DFE73B10D7}">
            <xm:f>ISERROR(SEARCH("Value Missing",L92))</xm:f>
            <xm:f>"Value Missing"</xm:f>
            <x14:dxf>
              <font>
                <color rgb="FF006100"/>
              </font>
              <fill>
                <patternFill>
                  <bgColor rgb="FFC6EFCE"/>
                </patternFill>
              </fill>
            </x14:dxf>
          </x14:cfRule>
          <xm:sqref>L92:L93</xm:sqref>
        </x14:conditionalFormatting>
        <x14:conditionalFormatting xmlns:xm="http://schemas.microsoft.com/office/excel/2006/main">
          <x14:cfRule type="containsText" priority="1534" operator="containsText" id="{BEF954B9-E159-C54D-B02B-A152B6A1554C}">
            <xm:f>NOT(ISERROR(SEARCH("Value Missing",L97)))</xm:f>
            <xm:f>"Value Missing"</xm:f>
            <x14:dxf>
              <font>
                <color rgb="FF9C0006"/>
              </font>
              <fill>
                <patternFill>
                  <bgColor rgb="FFFFC7CE"/>
                </patternFill>
              </fill>
            </x14:dxf>
          </x14:cfRule>
          <x14:cfRule type="notContainsText" priority="1533" operator="notContains" id="{527EF464-5776-B14A-8F20-4E71DC2B6BE8}">
            <xm:f>ISERROR(SEARCH("Value Missing",L97))</xm:f>
            <xm:f>"Value Missing"</xm:f>
            <x14:dxf>
              <font>
                <color rgb="FF006100"/>
              </font>
              <fill>
                <patternFill>
                  <bgColor rgb="FFC6EFCE"/>
                </patternFill>
              </fill>
            </x14:dxf>
          </x14:cfRule>
          <xm:sqref>L97:L98 L111:L122</xm:sqref>
        </x14:conditionalFormatting>
        <x14:conditionalFormatting xmlns:xm="http://schemas.microsoft.com/office/excel/2006/main">
          <x14:cfRule type="containsText" priority="2024" operator="containsText" id="{EB634813-7434-9946-AC83-1C209EEC6624}">
            <xm:f>NOT(ISERROR(SEARCH("Value Missing",L105)))</xm:f>
            <xm:f>"Value Missing"</xm:f>
            <x14:dxf>
              <font>
                <color rgb="FF9C0006"/>
              </font>
              <fill>
                <patternFill>
                  <bgColor rgb="FFFFC7CE"/>
                </patternFill>
              </fill>
            </x14:dxf>
          </x14:cfRule>
          <x14:cfRule type="notContainsText" priority="2023" operator="notContains" id="{0BC9AB65-82BA-7F40-931A-DB297ED9FE28}">
            <xm:f>ISERROR(SEARCH("Value Missing",L105))</xm:f>
            <xm:f>"Value Missing"</xm:f>
            <x14:dxf>
              <font>
                <color rgb="FF006100"/>
              </font>
              <fill>
                <patternFill>
                  <bgColor rgb="FFC6EFCE"/>
                </patternFill>
              </fill>
            </x14:dxf>
          </x14:cfRule>
          <xm:sqref>L105</xm:sqref>
        </x14:conditionalFormatting>
        <x14:conditionalFormatting xmlns:xm="http://schemas.microsoft.com/office/excel/2006/main">
          <x14:cfRule type="containsText" priority="2032" operator="containsText" id="{9383DBED-1A97-434D-93BA-864E6F154708}">
            <xm:f>NOT(ISERROR(SEARCH("Value Missing",L106)))</xm:f>
            <xm:f>"Value Missing"</xm:f>
            <x14:dxf>
              <font>
                <color rgb="FF9C0006"/>
              </font>
              <fill>
                <patternFill>
                  <bgColor rgb="FFFFC7CE"/>
                </patternFill>
              </fill>
            </x14:dxf>
          </x14:cfRule>
          <x14:cfRule type="notContainsText" priority="2031" operator="notContains" id="{F29D4069-301D-E541-B3E3-18BFB9A7143B}">
            <xm:f>ISERROR(SEARCH("Value Missing",L106))</xm:f>
            <xm:f>"Value Missing"</xm:f>
            <x14:dxf>
              <font>
                <color rgb="FF006100"/>
              </font>
              <fill>
                <patternFill>
                  <bgColor rgb="FFC6EFCE"/>
                </patternFill>
              </fill>
            </x14:dxf>
          </x14:cfRule>
          <xm:sqref>L106:L107</xm:sqref>
        </x14:conditionalFormatting>
        <x14:conditionalFormatting xmlns:xm="http://schemas.microsoft.com/office/excel/2006/main">
          <x14:cfRule type="notContainsText" priority="2691" operator="notContains" id="{FF52140E-5BBD-4944-AD51-FD2984E05DF2}">
            <xm:f>ISERROR(SEARCH("Value Missing",L12))</xm:f>
            <xm:f>"Value Missing"</xm:f>
            <x14:dxf>
              <font>
                <color rgb="FF006100"/>
              </font>
              <fill>
                <patternFill>
                  <bgColor rgb="FFC6EFCE"/>
                </patternFill>
              </fill>
            </x14:dxf>
          </x14:cfRule>
          <xm:sqref>L126:L127 R56:R59 R77:R81 AA12 L99:L104 U103:U108 U121 R70:R73 U52:U54 AA62:AA67</xm:sqref>
        </x14:conditionalFormatting>
        <x14:conditionalFormatting xmlns:xm="http://schemas.microsoft.com/office/excel/2006/main">
          <x14:cfRule type="notContainsText" priority="2085" operator="notContains" id="{3F8F241C-E223-8A48-8406-E7B18BA564FA}">
            <xm:f>ISERROR(SEARCH("Value Missing",L131))</xm:f>
            <xm:f>"Value Missing"</xm:f>
            <x14:dxf>
              <font>
                <color rgb="FF006100"/>
              </font>
              <fill>
                <patternFill>
                  <bgColor rgb="FFC6EFCE"/>
                </patternFill>
              </fill>
            </x14:dxf>
          </x14:cfRule>
          <x14:cfRule type="containsText" priority="2086" operator="containsText" id="{27C6D238-65C9-3445-A866-E072F0BBF0AF}">
            <xm:f>NOT(ISERROR(SEARCH("Value Missing",L131)))</xm:f>
            <xm:f>"Value Missing"</xm:f>
            <x14:dxf>
              <font>
                <color rgb="FF9C0006"/>
              </font>
              <fill>
                <patternFill>
                  <bgColor rgb="FFFFC7CE"/>
                </patternFill>
              </fill>
            </x14:dxf>
          </x14:cfRule>
          <xm:sqref>L131:L132</xm:sqref>
        </x14:conditionalFormatting>
        <x14:conditionalFormatting xmlns:xm="http://schemas.microsoft.com/office/excel/2006/main">
          <x14:cfRule type="notContainsText" priority="1530" operator="notContains" id="{485F175F-22A5-F241-B988-F11B3EDEBBFC}">
            <xm:f>ISERROR(SEARCH("Value Missing",L164))</xm:f>
            <xm:f>"Value Missing"</xm:f>
            <x14:dxf>
              <font>
                <color rgb="FF006100"/>
              </font>
              <fill>
                <patternFill>
                  <bgColor rgb="FFC6EFCE"/>
                </patternFill>
              </fill>
            </x14:dxf>
          </x14:cfRule>
          <x14:cfRule type="containsText" priority="1531" operator="containsText" id="{ACAD98C9-C2F0-E64E-8332-154EA7A5DF00}">
            <xm:f>NOT(ISERROR(SEARCH("Value Missing",L164)))</xm:f>
            <xm:f>"Value Missing"</xm:f>
            <x14:dxf>
              <font>
                <color rgb="FF9C0006"/>
              </font>
              <fill>
                <patternFill>
                  <bgColor rgb="FFFFC7CE"/>
                </patternFill>
              </fill>
            </x14:dxf>
          </x14:cfRule>
          <xm:sqref>L164</xm:sqref>
        </x14:conditionalFormatting>
        <x14:conditionalFormatting xmlns:xm="http://schemas.microsoft.com/office/excel/2006/main">
          <x14:cfRule type="containsText" priority="581" operator="containsText" id="{40A5DED4-AB86-3146-B09E-D311A5B044FB}">
            <xm:f>NOT(ISERROR(SEARCH("Value Missing",L179)))</xm:f>
            <xm:f>"Value Missing"</xm:f>
            <x14:dxf>
              <font>
                <color rgb="FF9C0006"/>
              </font>
              <fill>
                <patternFill>
                  <bgColor rgb="FFFFC7CE"/>
                </patternFill>
              </fill>
            </x14:dxf>
          </x14:cfRule>
          <xm:sqref>L179</xm:sqref>
        </x14:conditionalFormatting>
        <x14:conditionalFormatting xmlns:xm="http://schemas.microsoft.com/office/excel/2006/main">
          <x14:cfRule type="containsText" priority="97" stopIfTrue="1" operator="containsText" id="{E22FD3A8-CD2A-8E4A-8E4F-C8233B5E87A5}">
            <xm:f>NOT(ISERROR(SEARCH("Value Missing",L229)))</xm:f>
            <xm:f>"Value Missing"</xm:f>
            <x14:dxf>
              <font>
                <color rgb="FF0E223A"/>
              </font>
              <fill>
                <patternFill>
                  <bgColor rgb="FFFFBE29"/>
                </patternFill>
              </fill>
            </x14:dxf>
          </x14:cfRule>
          <x14:cfRule type="notContainsText" priority="101" operator="notContains" id="{642EEB73-90AA-4840-8D2E-077B98AEE888}">
            <xm:f>ISERROR(SEARCH("Value Missing",L229))</xm:f>
            <xm:f>"Value Missing"</xm:f>
            <x14:dxf>
              <font>
                <color rgb="FF006100"/>
              </font>
              <fill>
                <patternFill>
                  <bgColor rgb="FFC6EFCE"/>
                </patternFill>
              </fill>
            </x14:dxf>
          </x14:cfRule>
          <xm:sqref>L229</xm:sqref>
        </x14:conditionalFormatting>
        <x14:conditionalFormatting xmlns:xm="http://schemas.microsoft.com/office/excel/2006/main">
          <x14:cfRule type="containsText" priority="103" stopIfTrue="1" operator="containsText" id="{4B8A7FCC-DBDD-614C-B831-A527E7102D19}">
            <xm:f>NOT(ISERROR(SEARCH("Value Missing",L234)))</xm:f>
            <xm:f>"Value Missing"</xm:f>
            <x14:dxf>
              <font>
                <color rgb="FF0E223A"/>
              </font>
              <fill>
                <patternFill>
                  <bgColor rgb="FFFFBE29"/>
                </patternFill>
              </fill>
            </x14:dxf>
          </x14:cfRule>
          <x14:cfRule type="notContainsText" priority="107" operator="notContains" id="{E44706DF-631C-7149-B354-D0E72DBE283F}">
            <xm:f>ISERROR(SEARCH("Value Missing",L234))</xm:f>
            <xm:f>"Value Missing"</xm:f>
            <x14:dxf>
              <font>
                <color rgb="FF006100"/>
              </font>
              <fill>
                <patternFill>
                  <bgColor rgb="FFC6EFCE"/>
                </patternFill>
              </fill>
            </x14:dxf>
          </x14:cfRule>
          <xm:sqref>L234:L252</xm:sqref>
        </x14:conditionalFormatting>
        <x14:conditionalFormatting xmlns:xm="http://schemas.microsoft.com/office/excel/2006/main">
          <x14:cfRule type="containsText" priority="79" stopIfTrue="1" operator="containsText" id="{E5CEA684-26C7-D448-AC49-AF58FB1D4C89}">
            <xm:f>NOT(ISERROR(SEARCH("Value Missing",L269)))</xm:f>
            <xm:f>"Value Missing"</xm:f>
            <x14:dxf>
              <font>
                <color rgb="FF0E223A"/>
              </font>
              <fill>
                <patternFill>
                  <bgColor rgb="FFFFBE29"/>
                </patternFill>
              </fill>
            </x14:dxf>
          </x14:cfRule>
          <x14:cfRule type="notContainsText" priority="83" operator="notContains" id="{ACDC23A2-F6B0-1944-AB8D-46CC999DFF47}">
            <xm:f>ISERROR(SEARCH("Value Missing",L269))</xm:f>
            <xm:f>"Value Missing"</xm:f>
            <x14:dxf>
              <font>
                <color rgb="FF006100"/>
              </font>
              <fill>
                <patternFill>
                  <bgColor rgb="FFC6EFCE"/>
                </patternFill>
              </fill>
            </x14:dxf>
          </x14:cfRule>
          <xm:sqref>L269:L272</xm:sqref>
        </x14:conditionalFormatting>
        <x14:conditionalFormatting xmlns:xm="http://schemas.microsoft.com/office/excel/2006/main">
          <x14:cfRule type="containsText" priority="73" stopIfTrue="1" operator="containsText" id="{4CB8A0CE-A2B2-B446-9E6B-8ECF54515776}">
            <xm:f>NOT(ISERROR(SEARCH("Value Missing",L274)))</xm:f>
            <xm:f>"Value Missing"</xm:f>
            <x14:dxf>
              <font>
                <color rgb="FF0E223A"/>
              </font>
              <fill>
                <patternFill>
                  <bgColor rgb="FFFFBE29"/>
                </patternFill>
              </fill>
            </x14:dxf>
          </x14:cfRule>
          <x14:cfRule type="notContainsText" priority="77" operator="notContains" id="{EA8EE2D5-55D7-8F43-921B-1B83A0E4D1EE}">
            <xm:f>ISERROR(SEARCH("Value Missing",L274))</xm:f>
            <xm:f>"Value Missing"</xm:f>
            <x14:dxf>
              <font>
                <color rgb="FF006100"/>
              </font>
              <fill>
                <patternFill>
                  <bgColor rgb="FFC6EFCE"/>
                </patternFill>
              </fill>
            </x14:dxf>
          </x14:cfRule>
          <xm:sqref>L274:L284</xm:sqref>
        </x14:conditionalFormatting>
        <x14:conditionalFormatting xmlns:xm="http://schemas.microsoft.com/office/excel/2006/main">
          <x14:cfRule type="containsText" priority="15" operator="containsText" id="{F1DAE2D5-CC9C-D147-8D1B-3061D1B2DD33}">
            <xm:f>NOT(ISERROR(SEARCH("Value Missing",O32)))</xm:f>
            <xm:f>"Value Missing"</xm:f>
            <x14:dxf>
              <font>
                <color rgb="FF9C0006"/>
              </font>
              <fill>
                <patternFill>
                  <bgColor rgb="FFFFC7CE"/>
                </patternFill>
              </fill>
            </x14:dxf>
          </x14:cfRule>
          <xm:sqref>O32:O33</xm:sqref>
        </x14:conditionalFormatting>
        <x14:conditionalFormatting xmlns:xm="http://schemas.microsoft.com/office/excel/2006/main">
          <x14:cfRule type="notContainsText" priority="2090" operator="notContains" id="{C5780161-3794-614B-A865-2D97ECFAFAA4}">
            <xm:f>ISERROR(SEARCH("Value Missing",L8))</xm:f>
            <xm:f>"Value Missing"</xm:f>
            <x14:dxf>
              <font>
                <color rgb="FF006100"/>
              </font>
              <fill>
                <patternFill>
                  <bgColor rgb="FFC6EFCE"/>
                </patternFill>
              </fill>
            </x14:dxf>
          </x14:cfRule>
          <xm:sqref>R8 R12 L44:L62</xm:sqref>
        </x14:conditionalFormatting>
        <x14:conditionalFormatting xmlns:xm="http://schemas.microsoft.com/office/excel/2006/main">
          <x14:cfRule type="notContainsText" priority="1022" operator="notContains" id="{9BCF9790-E186-9747-92CF-1BBDFB7A4594}">
            <xm:f>ISERROR(SEARCH("Value Missing",R8))</xm:f>
            <xm:f>"Value Missing"</xm:f>
            <x14:dxf>
              <font>
                <color rgb="FF006100"/>
              </font>
              <fill>
                <patternFill>
                  <bgColor rgb="FFC6EFCE"/>
                </patternFill>
              </fill>
            </x14:dxf>
          </x14:cfRule>
          <x14:cfRule type="notContainsText" priority="1024" operator="notContains" id="{D833FB44-6E5C-004B-9AB4-C0621EC6A7D6}">
            <xm:f>ISERROR(SEARCH("Value Missing",R8))</xm:f>
            <xm:f>"Value Missing"</xm:f>
            <x14:dxf>
              <font>
                <color rgb="FF006100"/>
              </font>
              <fill>
                <patternFill>
                  <bgColor rgb="FFC6EFCE"/>
                </patternFill>
              </fill>
            </x14:dxf>
          </x14:cfRule>
          <x14:cfRule type="containsText" priority="1023" operator="containsText" id="{D53AA8E6-9CD2-3A4D-8B55-FCEBD19BC852}">
            <xm:f>NOT(ISERROR(SEARCH("Value Missing",R8)))</xm:f>
            <xm:f>"Value Missing"</xm:f>
            <x14:dxf>
              <font>
                <color rgb="FF9C0006"/>
              </font>
              <fill>
                <patternFill>
                  <bgColor rgb="FFFFC7CE"/>
                </patternFill>
              </fill>
            </x14:dxf>
          </x14:cfRule>
          <x14:cfRule type="containsText" priority="1018" stopIfTrue="1" operator="containsText" id="{B406923D-C246-5846-93BF-5470F483BABD}">
            <xm:f>NOT(ISERROR(SEARCH("Value Missing",R8)))</xm:f>
            <xm:f>"Value Missing"</xm:f>
            <x14:dxf>
              <font>
                <color rgb="FF0E223A"/>
              </font>
              <fill>
                <patternFill>
                  <bgColor rgb="FFFFBE29"/>
                </patternFill>
              </fill>
            </x14:dxf>
          </x14:cfRule>
          <xm:sqref>R8</xm:sqref>
        </x14:conditionalFormatting>
        <x14:conditionalFormatting xmlns:xm="http://schemas.microsoft.com/office/excel/2006/main">
          <x14:cfRule type="notContainsText" priority="998" operator="notContains" id="{785BEFB9-10CA-A64C-8873-3DC94B3539CD}">
            <xm:f>ISERROR(SEARCH("Value Missing",R12))</xm:f>
            <xm:f>"Value Missing"</xm:f>
            <x14:dxf>
              <font>
                <color rgb="FF006100"/>
              </font>
              <fill>
                <patternFill>
                  <bgColor rgb="FFC6EFCE"/>
                </patternFill>
              </fill>
            </x14:dxf>
          </x14:cfRule>
          <x14:cfRule type="containsText" priority="999" operator="containsText" id="{6826B5C3-CB2E-404F-B109-2BC592FDE3FA}">
            <xm:f>NOT(ISERROR(SEARCH("Value Missing",R12)))</xm:f>
            <xm:f>"Value Missing"</xm:f>
            <x14:dxf>
              <font>
                <color rgb="FF9C0006"/>
              </font>
              <fill>
                <patternFill>
                  <bgColor rgb="FFFFC7CE"/>
                </patternFill>
              </fill>
            </x14:dxf>
          </x14:cfRule>
          <x14:cfRule type="notContainsText" priority="1000" operator="notContains" id="{92C2ED50-3AAD-724E-9E80-D1C6009F25AB}">
            <xm:f>ISERROR(SEARCH("Value Missing",R12))</xm:f>
            <xm:f>"Value Missing"</xm:f>
            <x14:dxf>
              <font>
                <color rgb="FF006100"/>
              </font>
              <fill>
                <patternFill>
                  <bgColor rgb="FFC6EFCE"/>
                </patternFill>
              </fill>
            </x14:dxf>
          </x14:cfRule>
          <x14:cfRule type="containsText" priority="1002" operator="containsText" id="{10DDAFFC-71B2-A140-B2B6-251F02547530}">
            <xm:f>NOT(ISERROR(SEARCH("Value Missing",R12)))</xm:f>
            <xm:f>"Value Missing"</xm:f>
            <x14:dxf>
              <font>
                <color rgb="FF9C0006"/>
              </font>
              <fill>
                <patternFill>
                  <bgColor rgb="FFFFC7CE"/>
                </patternFill>
              </fill>
            </x14:dxf>
          </x14:cfRule>
          <x14:cfRule type="notContainsText" priority="1003" operator="notContains" id="{77327FD0-8A72-544F-8C5A-9BD189CE4CE0}">
            <xm:f>ISERROR(SEARCH("Value Missing",R12))</xm:f>
            <xm:f>"Value Missing"</xm:f>
            <x14:dxf>
              <font>
                <color rgb="FF006100"/>
              </font>
              <fill>
                <patternFill>
                  <bgColor rgb="FFC6EFCE"/>
                </patternFill>
              </fill>
            </x14:dxf>
          </x14:cfRule>
          <x14:cfRule type="containsText" priority="1004" operator="containsText" id="{C7BFB2D0-6CDB-774B-B621-A88B49EE2CCE}">
            <xm:f>NOT(ISERROR(SEARCH("Value Missing",R12)))</xm:f>
            <xm:f>"Value Missing"</xm:f>
            <x14:dxf>
              <font>
                <color rgb="FF9C0006"/>
              </font>
              <fill>
                <patternFill>
                  <bgColor rgb="FFFFC7CE"/>
                </patternFill>
              </fill>
            </x14:dxf>
          </x14:cfRule>
          <x14:cfRule type="containsText" priority="992" stopIfTrue="1" operator="containsText" id="{D78B6AE8-CD43-844F-B66B-39AAC8AA71AF}">
            <xm:f>NOT(ISERROR(SEARCH("Value Missing",R12)))</xm:f>
            <xm:f>"Value Missing"</xm:f>
            <x14:dxf>
              <font>
                <color rgb="FF0E223A"/>
              </font>
              <fill>
                <patternFill>
                  <bgColor rgb="FFFFBE29"/>
                </patternFill>
              </fill>
            </x14:dxf>
          </x14:cfRule>
          <x14:cfRule type="notContainsText" priority="996" operator="notContains" id="{B6592FAD-741E-3644-A0B1-3432664B23CD}">
            <xm:f>ISERROR(SEARCH("Value Missing",R12))</xm:f>
            <xm:f>"Value Missing"</xm:f>
            <x14:dxf>
              <font>
                <color rgb="FF006100"/>
              </font>
              <fill>
                <patternFill>
                  <bgColor rgb="FFC6EFCE"/>
                </patternFill>
              </fill>
            </x14:dxf>
          </x14:cfRule>
          <x14:cfRule type="containsText" priority="997" operator="containsText" id="{7FF05F1D-5ABA-E644-932D-13D308B83AC9}">
            <xm:f>NOT(ISERROR(SEARCH("Value Missing",R12)))</xm:f>
            <xm:f>"Value Missing"</xm:f>
            <x14:dxf>
              <font>
                <color rgb="FF9C0006"/>
              </font>
              <fill>
                <patternFill>
                  <bgColor rgb="FFFFC7CE"/>
                </patternFill>
              </fill>
            </x14:dxf>
          </x14:cfRule>
          <xm:sqref>R12</xm:sqref>
        </x14:conditionalFormatting>
        <x14:conditionalFormatting xmlns:xm="http://schemas.microsoft.com/office/excel/2006/main">
          <x14:cfRule type="notContainsText" priority="1073" operator="notContains" id="{958DC334-9CD1-694A-890D-EC68E6032E87}">
            <xm:f>ISERROR(SEARCH("Value Missing",R16))</xm:f>
            <xm:f>"Value Missing"</xm:f>
            <x14:dxf>
              <font>
                <color rgb="FF006100"/>
              </font>
              <fill>
                <patternFill>
                  <bgColor rgb="FFC6EFCE"/>
                </patternFill>
              </fill>
            </x14:dxf>
          </x14:cfRule>
          <x14:cfRule type="containsText" priority="1016" operator="containsText" id="{9F7740C2-9D29-6548-93EF-BEC8AEC9587B}">
            <xm:f>NOT(ISERROR(SEARCH("Value Missing",R16)))</xm:f>
            <xm:f>"Value Missing"</xm:f>
            <x14:dxf>
              <font>
                <color rgb="FF9C0006"/>
              </font>
              <fill>
                <patternFill>
                  <bgColor rgb="FFFFC7CE"/>
                </patternFill>
              </fill>
            </x14:dxf>
          </x14:cfRule>
          <x14:cfRule type="notContainsText" priority="1014" operator="notContains" id="{4AAC2819-150F-1541-BA57-BCE0B4143A1D}">
            <xm:f>ISERROR(SEARCH("Value Missing",R16))</xm:f>
            <xm:f>"Value Missing"</xm:f>
            <x14:dxf>
              <font>
                <color rgb="FF006100"/>
              </font>
              <fill>
                <patternFill>
                  <bgColor rgb="FFC6EFCE"/>
                </patternFill>
              </fill>
            </x14:dxf>
          </x14:cfRule>
          <x14:cfRule type="containsText" priority="1013" operator="containsText" id="{69ED969C-9D8F-8B48-9827-33657E653FA7}">
            <xm:f>NOT(ISERROR(SEARCH("Value Missing",R16)))</xm:f>
            <xm:f>"Value Missing"</xm:f>
            <x14:dxf>
              <font>
                <color rgb="FF9C0006"/>
              </font>
              <fill>
                <patternFill>
                  <bgColor rgb="FFFFC7CE"/>
                </patternFill>
              </fill>
            </x14:dxf>
          </x14:cfRule>
          <x14:cfRule type="notContainsText" priority="1012" operator="notContains" id="{18F2AC8A-AEF9-4E44-86FE-BDBC21EC94AE}">
            <xm:f>ISERROR(SEARCH("Value Missing",R16))</xm:f>
            <xm:f>"Value Missing"</xm:f>
            <x14:dxf>
              <font>
                <color rgb="FF006100"/>
              </font>
              <fill>
                <patternFill>
                  <bgColor rgb="FFC6EFCE"/>
                </patternFill>
              </fill>
            </x14:dxf>
          </x14:cfRule>
          <x14:cfRule type="containsText" priority="1074" operator="containsText" id="{67BB18E0-38CA-B84F-8DB1-660AAAD7C505}">
            <xm:f>NOT(ISERROR(SEARCH("Value Missing",R16)))</xm:f>
            <xm:f>"Value Missing"</xm:f>
            <x14:dxf>
              <font>
                <color rgb="FF9C0006"/>
              </font>
              <fill>
                <patternFill>
                  <bgColor rgb="FFFFC7CE"/>
                </patternFill>
              </fill>
            </x14:dxf>
          </x14:cfRule>
          <x14:cfRule type="containsText" priority="1011" operator="containsText" id="{DCDE40FF-C586-484C-B924-34F66B3B068E}">
            <xm:f>NOT(ISERROR(SEARCH("Value Missing",R16)))</xm:f>
            <xm:f>"Value Missing"</xm:f>
            <x14:dxf>
              <font>
                <color rgb="FF9C0006"/>
              </font>
              <fill>
                <patternFill>
                  <bgColor rgb="FFFFC7CE"/>
                </patternFill>
              </fill>
            </x14:dxf>
          </x14:cfRule>
          <x14:cfRule type="notContainsText" priority="1010" operator="notContains" id="{D3AE1155-B827-0A4B-A649-BA481E3EC7BD}">
            <xm:f>ISERROR(SEARCH("Value Missing",R16))</xm:f>
            <xm:f>"Value Missing"</xm:f>
            <x14:dxf>
              <font>
                <color rgb="FF006100"/>
              </font>
              <fill>
                <patternFill>
                  <bgColor rgb="FFC6EFCE"/>
                </patternFill>
              </fill>
            </x14:dxf>
          </x14:cfRule>
          <x14:cfRule type="containsText" priority="1006" stopIfTrue="1" operator="containsText" id="{C4F967B8-AACC-EA4F-9444-9D141C0F4C6D}">
            <xm:f>NOT(ISERROR(SEARCH("Value Missing",R16)))</xm:f>
            <xm:f>"Value Missing"</xm:f>
            <x14:dxf>
              <font>
                <color rgb="FF0E223A"/>
              </font>
              <fill>
                <patternFill>
                  <bgColor rgb="FFFFBE29"/>
                </patternFill>
              </fill>
            </x14:dxf>
          </x14:cfRule>
          <xm:sqref>R16</xm:sqref>
        </x14:conditionalFormatting>
        <x14:conditionalFormatting xmlns:xm="http://schemas.microsoft.com/office/excel/2006/main">
          <x14:cfRule type="notContainsText" priority="1096" operator="notContains" id="{58795953-E013-904D-9B4F-EDD0EAB8FAA8}">
            <xm:f>ISERROR(SEARCH("Value Missing",R28))</xm:f>
            <xm:f>"Value Missing"</xm:f>
            <x14:dxf>
              <font>
                <color rgb="FF006100"/>
              </font>
              <fill>
                <patternFill>
                  <bgColor rgb="FFC6EFCE"/>
                </patternFill>
              </fill>
            </x14:dxf>
          </x14:cfRule>
          <x14:cfRule type="notContainsText" priority="1094" operator="notContains" id="{0462A11E-4843-CA4A-87BA-F11FB7A6D40C}">
            <xm:f>ISERROR(SEARCH("Value Missing",R28))</xm:f>
            <xm:f>"Value Missing"</xm:f>
            <x14:dxf>
              <font>
                <color rgb="FF006100"/>
              </font>
              <fill>
                <patternFill>
                  <bgColor rgb="FFC6EFCE"/>
                </patternFill>
              </fill>
            </x14:dxf>
          </x14:cfRule>
          <x14:cfRule type="containsText" priority="1095" operator="containsText" id="{950A25C2-CB87-7C43-A757-5255B44FEA2F}">
            <xm:f>NOT(ISERROR(SEARCH("Value Missing",R28)))</xm:f>
            <xm:f>"Value Missing"</xm:f>
            <x14:dxf>
              <font>
                <color rgb="FF9C0006"/>
              </font>
              <fill>
                <patternFill>
                  <bgColor rgb="FFFFC7CE"/>
                </patternFill>
              </fill>
            </x14:dxf>
          </x14:cfRule>
          <xm:sqref>R28 R31</xm:sqref>
        </x14:conditionalFormatting>
        <x14:conditionalFormatting xmlns:xm="http://schemas.microsoft.com/office/excel/2006/main">
          <x14:cfRule type="notContainsText" priority="1043" operator="notContains" id="{CE7C93E2-A89C-F643-81B3-3A61239AB6A3}">
            <xm:f>ISERROR(SEARCH("Value Missing",R34))</xm:f>
            <xm:f>"Value Missing"</xm:f>
            <x14:dxf>
              <font>
                <color rgb="FF006100"/>
              </font>
              <fill>
                <patternFill>
                  <bgColor rgb="FFC6EFCE"/>
                </patternFill>
              </fill>
            </x14:dxf>
          </x14:cfRule>
          <x14:cfRule type="notContainsText" priority="1045" operator="notContains" id="{9155DD1D-4E54-3244-9BFE-3DAE93E16F42}">
            <xm:f>ISERROR(SEARCH("Value Missing",R34))</xm:f>
            <xm:f>"Value Missing"</xm:f>
            <x14:dxf>
              <font>
                <color rgb="FF006100"/>
              </font>
              <fill>
                <patternFill>
                  <bgColor rgb="FFC6EFCE"/>
                </patternFill>
              </fill>
            </x14:dxf>
          </x14:cfRule>
          <x14:cfRule type="containsText" priority="1044" operator="containsText" id="{AD968792-2099-0740-9F7A-7FA682C87A01}">
            <xm:f>NOT(ISERROR(SEARCH("Value Missing",R34)))</xm:f>
            <xm:f>"Value Missing"</xm:f>
            <x14:dxf>
              <font>
                <color rgb="FF9C0006"/>
              </font>
              <fill>
                <patternFill>
                  <bgColor rgb="FFFFC7CE"/>
                </patternFill>
              </fill>
            </x14:dxf>
          </x14:cfRule>
          <xm:sqref>R34</xm:sqref>
        </x14:conditionalFormatting>
        <x14:conditionalFormatting xmlns:xm="http://schemas.microsoft.com/office/excel/2006/main">
          <x14:cfRule type="notContainsText" priority="981" operator="notContains" id="{FE6EE06D-EA32-B947-998A-40AFDBE9E1E8}">
            <xm:f>ISERROR(SEARCH("Value Missing",R38))</xm:f>
            <xm:f>"Value Missing"</xm:f>
            <x14:dxf>
              <font>
                <color rgb="FF006100"/>
              </font>
              <fill>
                <patternFill>
                  <bgColor rgb="FFC6EFCE"/>
                </patternFill>
              </fill>
            </x14:dxf>
          </x14:cfRule>
          <x14:cfRule type="containsText" priority="977" stopIfTrue="1" operator="containsText" id="{98ACDE98-E5A2-C045-B534-9A34C89285A5}">
            <xm:f>NOT(ISERROR(SEARCH("Value Missing",R38)))</xm:f>
            <xm:f>"Value Missing"</xm:f>
            <x14:dxf>
              <font>
                <color rgb="FF0E223A"/>
              </font>
              <fill>
                <patternFill>
                  <bgColor rgb="FFFFBE29"/>
                </patternFill>
              </fill>
            </x14:dxf>
          </x14:cfRule>
          <x14:cfRule type="containsText" priority="982" operator="containsText" id="{5EDDF8D9-9A16-AF47-AEA8-F8A269E1A9B3}">
            <xm:f>NOT(ISERROR(SEARCH("Value Missing",R38)))</xm:f>
            <xm:f>"Value Missing"</xm:f>
            <x14:dxf>
              <font>
                <color rgb="FF9C0006"/>
              </font>
              <fill>
                <patternFill>
                  <bgColor rgb="FFFFC7CE"/>
                </patternFill>
              </fill>
            </x14:dxf>
          </x14:cfRule>
          <x14:cfRule type="notContainsText" priority="983" operator="notContains" id="{E80D44C7-1812-D945-85D1-2DABC512CB4B}">
            <xm:f>ISERROR(SEARCH("Value Missing",R38))</xm:f>
            <xm:f>"Value Missing"</xm:f>
            <x14:dxf>
              <font>
                <color rgb="FF006100"/>
              </font>
              <fill>
                <patternFill>
                  <bgColor rgb="FFC6EFCE"/>
                </patternFill>
              </fill>
            </x14:dxf>
          </x14:cfRule>
          <x14:cfRule type="containsText" priority="984" operator="containsText" id="{D29B1B6B-E041-9246-A224-9937CA143CAD}">
            <xm:f>NOT(ISERROR(SEARCH("Value Missing",R38)))</xm:f>
            <xm:f>"Value Missing"</xm:f>
            <x14:dxf>
              <font>
                <color rgb="FF9C0006"/>
              </font>
              <fill>
                <patternFill>
                  <bgColor rgb="FFFFC7CE"/>
                </patternFill>
              </fill>
            </x14:dxf>
          </x14:cfRule>
          <x14:cfRule type="notContainsText" priority="985" operator="notContains" id="{4768D170-703F-8547-A1E7-8341537CD6C9}">
            <xm:f>ISERROR(SEARCH("Value Missing",R38))</xm:f>
            <xm:f>"Value Missing"</xm:f>
            <x14:dxf>
              <font>
                <color rgb="FF006100"/>
              </font>
              <fill>
                <patternFill>
                  <bgColor rgb="FFC6EFCE"/>
                </patternFill>
              </fill>
            </x14:dxf>
          </x14:cfRule>
          <x14:cfRule type="containsText" priority="987" operator="containsText" id="{F2AC1772-D526-7B4C-B1EE-0CB89CFC50D8}">
            <xm:f>NOT(ISERROR(SEARCH("Value Missing",R38)))</xm:f>
            <xm:f>"Value Missing"</xm:f>
            <x14:dxf>
              <font>
                <color rgb="FF9C0006"/>
              </font>
              <fill>
                <patternFill>
                  <bgColor rgb="FFFFC7CE"/>
                </patternFill>
              </fill>
            </x14:dxf>
          </x14:cfRule>
          <x14:cfRule type="containsText" priority="989" operator="containsText" id="{2E49C2E7-4B71-D144-A68D-FB239272EED9}">
            <xm:f>NOT(ISERROR(SEARCH("Value Missing",R38)))</xm:f>
            <xm:f>"Value Missing"</xm:f>
            <x14:dxf>
              <font>
                <color rgb="FF9C0006"/>
              </font>
              <fill>
                <patternFill>
                  <bgColor rgb="FFFFC7CE"/>
                </patternFill>
              </fill>
            </x14:dxf>
          </x14:cfRule>
          <x14:cfRule type="notContainsText" priority="988" operator="notContains" id="{A1950AB6-1A88-3146-B81F-F825765630B1}">
            <xm:f>ISERROR(SEARCH("Value Missing",R38))</xm:f>
            <xm:f>"Value Missing"</xm:f>
            <x14:dxf>
              <font>
                <color rgb="FF006100"/>
              </font>
              <fill>
                <patternFill>
                  <bgColor rgb="FFC6EFCE"/>
                </patternFill>
              </fill>
            </x14:dxf>
          </x14:cfRule>
          <xm:sqref>R38:R43</xm:sqref>
        </x14:conditionalFormatting>
        <x14:conditionalFormatting xmlns:xm="http://schemas.microsoft.com/office/excel/2006/main">
          <x14:cfRule type="containsText" priority="972" operator="containsText" id="{10C53C1A-5B9B-2044-AEF1-588D5B16A688}">
            <xm:f>NOT(ISERROR(SEARCH("Value Missing",R48)))</xm:f>
            <xm:f>"Value Missing"</xm:f>
            <x14:dxf>
              <font>
                <color rgb="FF9C0006"/>
              </font>
              <fill>
                <patternFill>
                  <bgColor rgb="FFFFC7CE"/>
                </patternFill>
              </fill>
            </x14:dxf>
          </x14:cfRule>
          <x14:cfRule type="containsText" priority="974" operator="containsText" id="{8506232F-B1D9-104C-84F0-4BA74D12743F}">
            <xm:f>NOT(ISERROR(SEARCH("Value Missing",R48)))</xm:f>
            <xm:f>"Value Missing"</xm:f>
            <x14:dxf>
              <font>
                <color rgb="FF9C0006"/>
              </font>
              <fill>
                <patternFill>
                  <bgColor rgb="FFFFC7CE"/>
                </patternFill>
              </fill>
            </x14:dxf>
          </x14:cfRule>
          <x14:cfRule type="containsText" priority="962" stopIfTrue="1" operator="containsText" id="{C747A61D-F79D-9648-B908-E31999C7EBF1}">
            <xm:f>NOT(ISERROR(SEARCH("Value Missing",R48)))</xm:f>
            <xm:f>"Value Missing"</xm:f>
            <x14:dxf>
              <font>
                <color rgb="FF0E223A"/>
              </font>
              <fill>
                <patternFill>
                  <bgColor rgb="FFFFBE29"/>
                </patternFill>
              </fill>
            </x14:dxf>
          </x14:cfRule>
          <x14:cfRule type="notContainsText" priority="973" operator="notContains" id="{5FB9FF32-6D6A-C940-ACAD-7DD4FB3558DD}">
            <xm:f>ISERROR(SEARCH("Value Missing",R48))</xm:f>
            <xm:f>"Value Missing"</xm:f>
            <x14:dxf>
              <font>
                <color rgb="FF006100"/>
              </font>
              <fill>
                <patternFill>
                  <bgColor rgb="FFC6EFCE"/>
                </patternFill>
              </fill>
            </x14:dxf>
          </x14:cfRule>
          <x14:cfRule type="notContainsText" priority="966" operator="notContains" id="{04DB8987-1ADD-1E4B-B48D-A7607EC0457D}">
            <xm:f>ISERROR(SEARCH("Value Missing",R48))</xm:f>
            <xm:f>"Value Missing"</xm:f>
            <x14:dxf>
              <font>
                <color rgb="FF006100"/>
              </font>
              <fill>
                <patternFill>
                  <bgColor rgb="FFC6EFCE"/>
                </patternFill>
              </fill>
            </x14:dxf>
          </x14:cfRule>
          <x14:cfRule type="containsText" priority="967" operator="containsText" id="{ECDCC1A4-6C9A-C54E-A8CA-84D7FC45856A}">
            <xm:f>NOT(ISERROR(SEARCH("Value Missing",R48)))</xm:f>
            <xm:f>"Value Missing"</xm:f>
            <x14:dxf>
              <font>
                <color rgb="FF9C0006"/>
              </font>
              <fill>
                <patternFill>
                  <bgColor rgb="FFFFC7CE"/>
                </patternFill>
              </fill>
            </x14:dxf>
          </x14:cfRule>
          <x14:cfRule type="notContainsText" priority="968" operator="notContains" id="{84DB17FC-53A1-6747-8965-5E11BD0C40DA}">
            <xm:f>ISERROR(SEARCH("Value Missing",R48))</xm:f>
            <xm:f>"Value Missing"</xm:f>
            <x14:dxf>
              <font>
                <color rgb="FF006100"/>
              </font>
              <fill>
                <patternFill>
                  <bgColor rgb="FFC6EFCE"/>
                </patternFill>
              </fill>
            </x14:dxf>
          </x14:cfRule>
          <x14:cfRule type="containsText" priority="969" operator="containsText" id="{A281237B-1911-0149-ACCA-82A132054E66}">
            <xm:f>NOT(ISERROR(SEARCH("Value Missing",R48)))</xm:f>
            <xm:f>"Value Missing"</xm:f>
            <x14:dxf>
              <font>
                <color rgb="FF9C0006"/>
              </font>
              <fill>
                <patternFill>
                  <bgColor rgb="FFFFC7CE"/>
                </patternFill>
              </fill>
            </x14:dxf>
          </x14:cfRule>
          <x14:cfRule type="notContainsText" priority="970" operator="notContains" id="{868F8CA5-3D23-1341-8908-EB70EADC09F9}">
            <xm:f>ISERROR(SEARCH("Value Missing",R48))</xm:f>
            <xm:f>"Value Missing"</xm:f>
            <x14:dxf>
              <font>
                <color rgb="FF006100"/>
              </font>
              <fill>
                <patternFill>
                  <bgColor rgb="FFC6EFCE"/>
                </patternFill>
              </fill>
            </x14:dxf>
          </x14:cfRule>
          <xm:sqref>R48</xm:sqref>
        </x14:conditionalFormatting>
        <x14:conditionalFormatting xmlns:xm="http://schemas.microsoft.com/office/excel/2006/main">
          <x14:cfRule type="containsText" priority="954" operator="containsText" id="{BDE2240E-D23C-424E-9D78-DAD0989FBD63}">
            <xm:f>NOT(ISERROR(SEARCH("Value Missing",R52)))</xm:f>
            <xm:f>"Value Missing"</xm:f>
            <x14:dxf>
              <font>
                <color rgb="FF9C0006"/>
              </font>
              <fill>
                <patternFill>
                  <bgColor rgb="FFFFC7CE"/>
                </patternFill>
              </fill>
            </x14:dxf>
          </x14:cfRule>
          <x14:cfRule type="notContainsText" priority="953" operator="notContains" id="{DFB38067-77C1-9B4D-A8D8-3F8CA1CEF277}">
            <xm:f>ISERROR(SEARCH("Value Missing",R52))</xm:f>
            <xm:f>"Value Missing"</xm:f>
            <x14:dxf>
              <font>
                <color rgb="FF006100"/>
              </font>
              <fill>
                <patternFill>
                  <bgColor rgb="FFC6EFCE"/>
                </patternFill>
              </fill>
            </x14:dxf>
          </x14:cfRule>
          <x14:cfRule type="containsText" priority="952" operator="containsText" id="{CE219DAA-0DBF-A34A-9185-83325406B327}">
            <xm:f>NOT(ISERROR(SEARCH("Value Missing",R52)))</xm:f>
            <xm:f>"Value Missing"</xm:f>
            <x14:dxf>
              <font>
                <color rgb="FF9C0006"/>
              </font>
              <fill>
                <patternFill>
                  <bgColor rgb="FFFFC7CE"/>
                </patternFill>
              </fill>
            </x14:dxf>
          </x14:cfRule>
          <x14:cfRule type="notContainsText" priority="951" operator="notContains" id="{FB260DA2-188A-7346-A019-E10302DE1010}">
            <xm:f>ISERROR(SEARCH("Value Missing",R52))</xm:f>
            <xm:f>"Value Missing"</xm:f>
            <x14:dxf>
              <font>
                <color rgb="FF006100"/>
              </font>
              <fill>
                <patternFill>
                  <bgColor rgb="FFC6EFCE"/>
                </patternFill>
              </fill>
            </x14:dxf>
          </x14:cfRule>
          <x14:cfRule type="containsText" priority="959" operator="containsText" id="{D2F2F511-075C-454F-B151-ECF9FF4ABE26}">
            <xm:f>NOT(ISERROR(SEARCH("Value Missing",R52)))</xm:f>
            <xm:f>"Value Missing"</xm:f>
            <x14:dxf>
              <font>
                <color rgb="FF9C0006"/>
              </font>
              <fill>
                <patternFill>
                  <bgColor rgb="FFFFC7CE"/>
                </patternFill>
              </fill>
            </x14:dxf>
          </x14:cfRule>
          <x14:cfRule type="notContainsText" priority="958" operator="notContains" id="{CA8D24FB-4764-7F4B-A0EA-9D046968D4B0}">
            <xm:f>ISERROR(SEARCH("Value Missing",R52))</xm:f>
            <xm:f>"Value Missing"</xm:f>
            <x14:dxf>
              <font>
                <color rgb="FF006100"/>
              </font>
              <fill>
                <patternFill>
                  <bgColor rgb="FFC6EFCE"/>
                </patternFill>
              </fill>
            </x14:dxf>
          </x14:cfRule>
          <x14:cfRule type="containsText" priority="957" operator="containsText" id="{5903A377-0F9C-5D41-94D3-853E62433B68}">
            <xm:f>NOT(ISERROR(SEARCH("Value Missing",R52)))</xm:f>
            <xm:f>"Value Missing"</xm:f>
            <x14:dxf>
              <font>
                <color rgb="FF9C0006"/>
              </font>
              <fill>
                <patternFill>
                  <bgColor rgb="FFFFC7CE"/>
                </patternFill>
              </fill>
            </x14:dxf>
          </x14:cfRule>
          <x14:cfRule type="notContainsText" priority="955" operator="notContains" id="{786FC343-4BB0-4F4C-99CF-C64EE4E37554}">
            <xm:f>ISERROR(SEARCH("Value Missing",R52))</xm:f>
            <xm:f>"Value Missing"</xm:f>
            <x14:dxf>
              <font>
                <color rgb="FF006100"/>
              </font>
              <fill>
                <patternFill>
                  <bgColor rgb="FFC6EFCE"/>
                </patternFill>
              </fill>
            </x14:dxf>
          </x14:cfRule>
          <x14:cfRule type="containsText" priority="947" stopIfTrue="1" operator="containsText" id="{2C2F8B9F-9DB2-3641-80BE-C6405821A35C}">
            <xm:f>NOT(ISERROR(SEARCH("Value Missing",R52)))</xm:f>
            <xm:f>"Value Missing"</xm:f>
            <x14:dxf>
              <font>
                <color rgb="FF0E223A"/>
              </font>
              <fill>
                <patternFill>
                  <bgColor rgb="FFFFBE29"/>
                </patternFill>
              </fill>
            </x14:dxf>
          </x14:cfRule>
          <xm:sqref>R52</xm:sqref>
        </x14:conditionalFormatting>
        <x14:conditionalFormatting xmlns:xm="http://schemas.microsoft.com/office/excel/2006/main">
          <x14:cfRule type="containsText" priority="2266" operator="containsText" id="{ED7E2262-5488-B642-9DA0-65E2362D54F3}">
            <xm:f>NOT(ISERROR(SEARCH("Value Missing",F56)))</xm:f>
            <xm:f>"Value Missing"</xm:f>
            <x14:dxf>
              <font>
                <color rgb="FF9C0006"/>
              </font>
              <fill>
                <patternFill>
                  <bgColor rgb="FFFFC7CE"/>
                </patternFill>
              </fill>
            </x14:dxf>
          </x14:cfRule>
          <xm:sqref>R56:R59 L66:L68 R77:R81 F130:F131</xm:sqref>
        </x14:conditionalFormatting>
        <x14:conditionalFormatting xmlns:xm="http://schemas.microsoft.com/office/excel/2006/main">
          <x14:cfRule type="notContainsText" priority="2448" operator="notContains" id="{B6A69EFC-05C0-BD4F-995E-E9D6ABB4EC9D}">
            <xm:f>ISERROR(SEARCH("Value Missing",C63))</xm:f>
            <xm:f>"Value Missing"</xm:f>
            <x14:dxf>
              <font>
                <color rgb="FF006100"/>
              </font>
              <fill>
                <patternFill>
                  <bgColor rgb="FFC6EFCE"/>
                </patternFill>
              </fill>
            </x14:dxf>
          </x14:cfRule>
          <xm:sqref>R63:R66 R85:R88 F106:F107 R114:R115 R119:R120 C192:C193</xm:sqref>
        </x14:conditionalFormatting>
        <x14:conditionalFormatting xmlns:xm="http://schemas.microsoft.com/office/excel/2006/main">
          <x14:cfRule type="notContainsText" priority="2265" operator="notContains" id="{7C40FA3B-7B98-2844-9240-562F2D8C5A34}">
            <xm:f>ISERROR(SEARCH("Value Missing",F56))</xm:f>
            <xm:f>"Value Missing"</xm:f>
            <x14:dxf>
              <font>
                <color rgb="FF006100"/>
              </font>
              <fill>
                <patternFill>
                  <bgColor rgb="FFC6EFCE"/>
                </patternFill>
              </fill>
            </x14:dxf>
          </x14:cfRule>
          <xm:sqref>R77:R81 R56:R59 L66:L68 F130:F131</xm:sqref>
        </x14:conditionalFormatting>
        <x14:conditionalFormatting xmlns:xm="http://schemas.microsoft.com/office/excel/2006/main">
          <x14:cfRule type="notContainsText" priority="2152" operator="notContains" id="{4608FEC1-ABA9-904E-AEAD-0D02A30F8056}">
            <xm:f>ISERROR(SEARCH("Value Missing",C63))</xm:f>
            <xm:f>"Value Missing"</xm:f>
            <x14:dxf>
              <font>
                <color rgb="FF006100"/>
              </font>
              <fill>
                <patternFill>
                  <bgColor rgb="FFC6EFCE"/>
                </patternFill>
              </fill>
            </x14:dxf>
          </x14:cfRule>
          <xm:sqref>R85:R88 R63:R66 R114:R115 R119:R120 F106:F107 C192:C193</xm:sqref>
        </x14:conditionalFormatting>
        <x14:conditionalFormatting xmlns:xm="http://schemas.microsoft.com/office/excel/2006/main">
          <x14:cfRule type="containsText" priority="1030" stopIfTrue="1" operator="containsText" id="{0B44FFC0-B5E3-6D49-93D4-D04FE9BB8EF3}">
            <xm:f>NOT(ISERROR(SEARCH("Value Missing",R85)))</xm:f>
            <xm:f>"Value Missing"</xm:f>
            <x14:dxf>
              <font>
                <color rgb="FF0E223A"/>
              </font>
              <fill>
                <patternFill>
                  <bgColor rgb="FFFFBE29"/>
                </patternFill>
              </fill>
            </x14:dxf>
          </x14:cfRule>
          <xm:sqref>R85:R89</xm:sqref>
        </x14:conditionalFormatting>
        <x14:conditionalFormatting xmlns:xm="http://schemas.microsoft.com/office/excel/2006/main">
          <x14:cfRule type="containsText" priority="1026" stopIfTrue="1" operator="containsText" id="{347C3D86-AD58-0F4F-BDB0-D329BCF87D81}">
            <xm:f>NOT(ISERROR(SEARCH("Value Missing",R93)))</xm:f>
            <xm:f>"Value Missing"</xm:f>
            <x14:dxf>
              <font>
                <color rgb="FF0E223A"/>
              </font>
              <fill>
                <patternFill>
                  <bgColor rgb="FFFFBE29"/>
                </patternFill>
              </fill>
            </x14:dxf>
          </x14:cfRule>
          <xm:sqref>R93:R97</xm:sqref>
        </x14:conditionalFormatting>
        <x14:conditionalFormatting xmlns:xm="http://schemas.microsoft.com/office/excel/2006/main">
          <x14:cfRule type="containsText" priority="1426" operator="containsText" id="{147AD28B-CD9B-8043-BC38-424E2793FCDA}">
            <xm:f>NOT(ISERROR(SEARCH("Value Missing",R101)))</xm:f>
            <xm:f>"Value Missing"</xm:f>
            <x14:dxf>
              <font>
                <color rgb="FF9C0006"/>
              </font>
              <fill>
                <patternFill>
                  <bgColor rgb="FFFFC7CE"/>
                </patternFill>
              </fill>
            </x14:dxf>
          </x14:cfRule>
          <x14:cfRule type="notContainsText" priority="1425" operator="notContains" id="{3334E1B8-527D-164D-A3DA-AE594F1829B5}">
            <xm:f>ISERROR(SEARCH("Value Missing",R101))</xm:f>
            <xm:f>"Value Missing"</xm:f>
            <x14:dxf>
              <font>
                <color rgb="FF006100"/>
              </font>
              <fill>
                <patternFill>
                  <bgColor rgb="FFC6EFCE"/>
                </patternFill>
              </fill>
            </x14:dxf>
          </x14:cfRule>
          <xm:sqref>R101:R104</xm:sqref>
        </x14:conditionalFormatting>
        <x14:conditionalFormatting xmlns:xm="http://schemas.microsoft.com/office/excel/2006/main">
          <x14:cfRule type="containsText" priority="1446" operator="containsText" id="{C96BE528-836B-CC44-ACC9-A66CE6FD51F2}">
            <xm:f>NOT(ISERROR(SEARCH("Value Missing",R108)))</xm:f>
            <xm:f>"Value Missing"</xm:f>
            <x14:dxf>
              <font>
                <color rgb="FF9C0006"/>
              </font>
              <fill>
                <patternFill>
                  <bgColor rgb="FFFFC7CE"/>
                </patternFill>
              </fill>
            </x14:dxf>
          </x14:cfRule>
          <x14:cfRule type="notContainsText" priority="1445" operator="notContains" id="{06F54E94-2D64-4144-88BD-ACC98259AA90}">
            <xm:f>ISERROR(SEARCH("Value Missing",R108))</xm:f>
            <xm:f>"Value Missing"</xm:f>
            <x14:dxf>
              <font>
                <color rgb="FF006100"/>
              </font>
              <fill>
                <patternFill>
                  <bgColor rgb="FFC6EFCE"/>
                </patternFill>
              </fill>
            </x14:dxf>
          </x14:cfRule>
          <xm:sqref>R108:R110</xm:sqref>
        </x14:conditionalFormatting>
        <x14:conditionalFormatting xmlns:xm="http://schemas.microsoft.com/office/excel/2006/main">
          <x14:cfRule type="notContainsText" priority="1439" operator="notContains" id="{269182F5-E88F-9146-8A84-A06F97937521}">
            <xm:f>ISERROR(SEARCH("Value Missing",R114))</xm:f>
            <xm:f>"Value Missing"</xm:f>
            <x14:dxf>
              <font>
                <color rgb="FF006100"/>
              </font>
              <fill>
                <patternFill>
                  <bgColor rgb="FFC6EFCE"/>
                </patternFill>
              </fill>
            </x14:dxf>
          </x14:cfRule>
          <x14:cfRule type="containsText" priority="1440" operator="containsText" id="{C83E172E-5E47-C640-B63C-C6EC07BF94CA}">
            <xm:f>NOT(ISERROR(SEARCH("Value Missing",R114)))</xm:f>
            <xm:f>"Value Missing"</xm:f>
            <x14:dxf>
              <font>
                <color rgb="FF9C0006"/>
              </font>
              <fill>
                <patternFill>
                  <bgColor rgb="FFFFC7CE"/>
                </patternFill>
              </fill>
            </x14:dxf>
          </x14:cfRule>
          <xm:sqref>R114:R115</xm:sqref>
        </x14:conditionalFormatting>
        <x14:conditionalFormatting xmlns:xm="http://schemas.microsoft.com/office/excel/2006/main">
          <x14:cfRule type="containsText" priority="1436" operator="containsText" id="{F6D18970-8014-0E46-A072-D76E96086786}">
            <xm:f>NOT(ISERROR(SEARCH("Value Missing",R119)))</xm:f>
            <xm:f>"Value Missing"</xm:f>
            <x14:dxf>
              <font>
                <color rgb="FF9C0006"/>
              </font>
              <fill>
                <patternFill>
                  <bgColor rgb="FFFFC7CE"/>
                </patternFill>
              </fill>
            </x14:dxf>
          </x14:cfRule>
          <x14:cfRule type="notContainsText" priority="1435" operator="notContains" id="{5BF99BCE-21AE-644B-9DD8-C38F98C0BA40}">
            <xm:f>ISERROR(SEARCH("Value Missing",R119))</xm:f>
            <xm:f>"Value Missing"</xm:f>
            <x14:dxf>
              <font>
                <color rgb="FF006100"/>
              </font>
              <fill>
                <patternFill>
                  <bgColor rgb="FFC6EFCE"/>
                </patternFill>
              </fill>
            </x14:dxf>
          </x14:cfRule>
          <xm:sqref>R119:R120</xm:sqref>
        </x14:conditionalFormatting>
        <x14:conditionalFormatting xmlns:xm="http://schemas.microsoft.com/office/excel/2006/main">
          <x14:cfRule type="notContainsText" priority="1431" operator="notContains" id="{5FAE5C21-9C4E-8849-860E-239D505855CF}">
            <xm:f>ISERROR(SEARCH("Value Missing",R129))</xm:f>
            <xm:f>"Value Missing"</xm:f>
            <x14:dxf>
              <font>
                <color rgb="FF006100"/>
              </font>
              <fill>
                <patternFill>
                  <bgColor rgb="FFC6EFCE"/>
                </patternFill>
              </fill>
            </x14:dxf>
          </x14:cfRule>
          <x14:cfRule type="containsText" priority="1432" operator="containsText" id="{2887FFCC-7AC0-1245-A4BB-A7D33A70D8DE}">
            <xm:f>NOT(ISERROR(SEARCH("Value Missing",R129)))</xm:f>
            <xm:f>"Value Missing"</xm:f>
            <x14:dxf>
              <font>
                <color rgb="FF9C0006"/>
              </font>
              <fill>
                <patternFill>
                  <bgColor rgb="FFFFC7CE"/>
                </patternFill>
              </fill>
            </x14:dxf>
          </x14:cfRule>
          <xm:sqref>R129:R130</xm:sqref>
        </x14:conditionalFormatting>
        <x14:conditionalFormatting xmlns:xm="http://schemas.microsoft.com/office/excel/2006/main">
          <x14:cfRule type="notContainsText" priority="1141" operator="notContains" id="{3193313F-8651-B24D-834D-AC9B4D630FC8}">
            <xm:f>ISERROR(SEARCH("Value Missing",R134))</xm:f>
            <xm:f>"Value Missing"</xm:f>
            <x14:dxf>
              <font>
                <color rgb="FF006100"/>
              </font>
              <fill>
                <patternFill>
                  <bgColor rgb="FFC6EFCE"/>
                </patternFill>
              </fill>
            </x14:dxf>
          </x14:cfRule>
          <x14:cfRule type="notContainsText" priority="1143" operator="notContains" id="{CCA37073-18EA-B44E-A6A6-8498C2F7F36D}">
            <xm:f>ISERROR(SEARCH("Value Missing",R134))</xm:f>
            <xm:f>"Value Missing"</xm:f>
            <x14:dxf>
              <font>
                <color rgb="FF006100"/>
              </font>
              <fill>
                <patternFill>
                  <bgColor rgb="FFC6EFCE"/>
                </patternFill>
              </fill>
            </x14:dxf>
          </x14:cfRule>
          <x14:cfRule type="containsText" priority="1144" operator="containsText" id="{469F9144-5B62-EF41-8995-4A6CC8AE7797}">
            <xm:f>NOT(ISERROR(SEARCH("Value Missing",R134)))</xm:f>
            <xm:f>"Value Missing"</xm:f>
            <x14:dxf>
              <font>
                <color rgb="FF9C0006"/>
              </font>
              <fill>
                <patternFill>
                  <bgColor rgb="FFFFC7CE"/>
                </patternFill>
              </fill>
            </x14:dxf>
          </x14:cfRule>
          <x14:cfRule type="containsText" priority="1142" operator="containsText" id="{676353C6-A8CB-4A4B-84B4-0063B2C471FA}">
            <xm:f>NOT(ISERROR(SEARCH("Value Missing",R134)))</xm:f>
            <xm:f>"Value Missing"</xm:f>
            <x14:dxf>
              <font>
                <color rgb="FF9C0006"/>
              </font>
              <fill>
                <patternFill>
                  <bgColor rgb="FFFFC7CE"/>
                </patternFill>
              </fill>
            </x14:dxf>
          </x14:cfRule>
          <xm:sqref>R134:R135</xm:sqref>
        </x14:conditionalFormatting>
        <x14:conditionalFormatting xmlns:xm="http://schemas.microsoft.com/office/excel/2006/main">
          <x14:cfRule type="notContainsText" priority="1148" operator="notContains" id="{3C5B06B0-4E82-0841-83A6-BBBE0C3BC3E9}">
            <xm:f>ISERROR(SEARCH("Value Missing",R139))</xm:f>
            <xm:f>"Value Missing"</xm:f>
            <x14:dxf>
              <font>
                <color rgb="FF006100"/>
              </font>
              <fill>
                <patternFill>
                  <bgColor rgb="FFC6EFCE"/>
                </patternFill>
              </fill>
            </x14:dxf>
          </x14:cfRule>
          <x14:cfRule type="containsText" priority="1149" operator="containsText" id="{104118BD-CB82-524E-9638-973BBE17838C}">
            <xm:f>NOT(ISERROR(SEARCH("Value Missing",R139)))</xm:f>
            <xm:f>"Value Missing"</xm:f>
            <x14:dxf>
              <font>
                <color rgb="FF9C0006"/>
              </font>
              <fill>
                <patternFill>
                  <bgColor rgb="FFFFC7CE"/>
                </patternFill>
              </fill>
            </x14:dxf>
          </x14:cfRule>
          <x14:cfRule type="containsText" priority="1147" operator="containsText" id="{3B77764A-B09C-2948-AE57-C5FA0599DE53}">
            <xm:f>NOT(ISERROR(SEARCH("Value Missing",R139)))</xm:f>
            <xm:f>"Value Missing"</xm:f>
            <x14:dxf>
              <font>
                <color rgb="FF9C0006"/>
              </font>
              <fill>
                <patternFill>
                  <bgColor rgb="FFFFC7CE"/>
                </patternFill>
              </fill>
            </x14:dxf>
          </x14:cfRule>
          <x14:cfRule type="notContainsText" priority="1146" operator="notContains" id="{31FF1EC6-C61B-F34D-8AFC-039532B93406}">
            <xm:f>ISERROR(SEARCH("Value Missing",R139))</xm:f>
            <xm:f>"Value Missing"</xm:f>
            <x14:dxf>
              <font>
                <color rgb="FF006100"/>
              </font>
              <fill>
                <patternFill>
                  <bgColor rgb="FFC6EFCE"/>
                </patternFill>
              </fill>
            </x14:dxf>
          </x14:cfRule>
          <xm:sqref>R139:R140</xm:sqref>
        </x14:conditionalFormatting>
        <x14:conditionalFormatting xmlns:xm="http://schemas.microsoft.com/office/excel/2006/main">
          <x14:cfRule type="notContainsText" priority="1952" operator="notContains" id="{C9F8C065-134D-BB41-87E1-6E6F32D43543}">
            <xm:f>ISERROR(SEARCH("Value Missing",L8))</xm:f>
            <xm:f>"Value Missing"</xm:f>
            <x14:dxf>
              <font>
                <color rgb="FF006100"/>
              </font>
              <fill>
                <patternFill>
                  <bgColor rgb="FFC6EFCE"/>
                </patternFill>
              </fill>
            </x14:dxf>
          </x14:cfRule>
          <x14:cfRule type="containsText" priority="1628" operator="containsText" id="{81F8458F-0B16-0440-BFC1-DCE849E3AD30}">
            <xm:f>NOT(ISERROR(SEARCH("Value Missing",L8)))</xm:f>
            <xm:f>"Value Missing"</xm:f>
            <x14:dxf>
              <font>
                <color rgb="FF9C0006"/>
              </font>
              <fill>
                <patternFill>
                  <bgColor rgb="FFFFC7CE"/>
                </patternFill>
              </fill>
            </x14:dxf>
          </x14:cfRule>
          <xm:sqref>U8:U40 L9</xm:sqref>
        </x14:conditionalFormatting>
        <x14:conditionalFormatting xmlns:xm="http://schemas.microsoft.com/office/excel/2006/main">
          <x14:cfRule type="notContainsText" priority="1627" operator="notContains" id="{8E2E5EB3-CEA9-2C43-8B2E-ECBA96A00BC9}">
            <xm:f>ISERROR(SEARCH("Value Missing",U8))</xm:f>
            <xm:f>"Value Missing"</xm:f>
            <x14:dxf>
              <font>
                <color rgb="FF006100"/>
              </font>
              <fill>
                <patternFill>
                  <bgColor rgb="FFC6EFCE"/>
                </patternFill>
              </fill>
            </x14:dxf>
          </x14:cfRule>
          <xm:sqref>U8:U40</xm:sqref>
        </x14:conditionalFormatting>
        <x14:conditionalFormatting xmlns:xm="http://schemas.microsoft.com/office/excel/2006/main">
          <x14:cfRule type="containsText" priority="1171" operator="containsText" id="{9582BDDB-AE4E-E249-9264-DBFF4B29545C}">
            <xm:f>NOT(ISERROR(SEARCH("Value Missing",R28)))</xm:f>
            <xm:f>"Value Missing"</xm:f>
            <x14:dxf>
              <font>
                <color rgb="FF9C0006"/>
              </font>
              <fill>
                <patternFill>
                  <bgColor rgb="FFFFC7CE"/>
                </patternFill>
              </fill>
            </x14:dxf>
          </x14:cfRule>
          <xm:sqref>U44:U47 R28 R31 R34</xm:sqref>
        </x14:conditionalFormatting>
        <x14:conditionalFormatting xmlns:xm="http://schemas.microsoft.com/office/excel/2006/main">
          <x14:cfRule type="notContainsText" priority="1170" operator="notContains" id="{D087A155-83CB-394F-B329-47BE90F9E34E}">
            <xm:f>ISERROR(SEARCH("Value Missing",U44))</xm:f>
            <xm:f>"Value Missing"</xm:f>
            <x14:dxf>
              <font>
                <color rgb="FF006100"/>
              </font>
              <fill>
                <patternFill>
                  <bgColor rgb="FFC6EFCE"/>
                </patternFill>
              </fill>
            </x14:dxf>
          </x14:cfRule>
          <xm:sqref>U44:U47</xm:sqref>
        </x14:conditionalFormatting>
        <x14:conditionalFormatting xmlns:xm="http://schemas.microsoft.com/office/excel/2006/main">
          <x14:cfRule type="containsText" priority="1429" operator="containsText" id="{6BD79D30-FD50-3642-88E9-B1B1B76EB5C5}">
            <xm:f>NOT(ISERROR(SEARCH("Value Missing",U52)))</xm:f>
            <xm:f>"Value Missing"</xm:f>
            <x14:dxf>
              <font>
                <color rgb="FF9C0006"/>
              </font>
              <fill>
                <patternFill>
                  <bgColor rgb="FFFFC7CE"/>
                </patternFill>
              </fill>
            </x14:dxf>
          </x14:cfRule>
          <x14:cfRule type="notContainsText" priority="1428" operator="notContains" id="{57C8A54C-69CA-324C-99BE-1DE795AFE07B}">
            <xm:f>ISERROR(SEARCH("Value Missing",U52))</xm:f>
            <xm:f>"Value Missing"</xm:f>
            <x14:dxf>
              <font>
                <color rgb="FF006100"/>
              </font>
              <fill>
                <patternFill>
                  <bgColor rgb="FFC6EFCE"/>
                </patternFill>
              </fill>
            </x14:dxf>
          </x14:cfRule>
          <xm:sqref>U52:U60</xm:sqref>
        </x14:conditionalFormatting>
        <x14:conditionalFormatting xmlns:xm="http://schemas.microsoft.com/office/excel/2006/main">
          <x14:cfRule type="containsText" priority="1329" operator="containsText" id="{981BEB68-FB6E-3646-A16C-1224A3F8253B}">
            <xm:f>NOT(ISERROR(SEARCH("Value Missing",U55)))</xm:f>
            <xm:f>"Value Missing"</xm:f>
            <x14:dxf>
              <font>
                <color rgb="FF9C0006"/>
              </font>
              <fill>
                <patternFill>
                  <bgColor rgb="FFFFC7CE"/>
                </patternFill>
              </fill>
            </x14:dxf>
          </x14:cfRule>
          <x14:cfRule type="notContainsText" priority="1328" operator="notContains" id="{48BF000C-DAA1-9A49-BABE-FB79BA2E9FDA}">
            <xm:f>ISERROR(SEARCH("Value Missing",U55))</xm:f>
            <xm:f>"Value Missing"</xm:f>
            <x14:dxf>
              <font>
                <color rgb="FF006100"/>
              </font>
              <fill>
                <patternFill>
                  <bgColor rgb="FFC6EFCE"/>
                </patternFill>
              </fill>
            </x14:dxf>
          </x14:cfRule>
          <xm:sqref>U55:U60</xm:sqref>
        </x14:conditionalFormatting>
        <x14:conditionalFormatting xmlns:xm="http://schemas.microsoft.com/office/excel/2006/main">
          <x14:cfRule type="notContainsText" priority="1373" operator="notContains" id="{689D6E64-E929-B041-AAA0-CD56000FB8C9}">
            <xm:f>ISERROR(SEARCH("Value Missing",U64))</xm:f>
            <xm:f>"Value Missing"</xm:f>
            <x14:dxf>
              <font>
                <color rgb="FF006100"/>
              </font>
              <fill>
                <patternFill>
                  <bgColor rgb="FFC6EFCE"/>
                </patternFill>
              </fill>
            </x14:dxf>
          </x14:cfRule>
          <x14:cfRule type="containsText" priority="1374" operator="containsText" id="{A328C2EF-F06B-214C-B15D-3A74354AE8D1}">
            <xm:f>NOT(ISERROR(SEARCH("Value Missing",U64)))</xm:f>
            <xm:f>"Value Missing"</xm:f>
            <x14:dxf>
              <font>
                <color rgb="FF9C0006"/>
              </font>
              <fill>
                <patternFill>
                  <bgColor rgb="FFFFC7CE"/>
                </patternFill>
              </fill>
            </x14:dxf>
          </x14:cfRule>
          <xm:sqref>U64</xm:sqref>
        </x14:conditionalFormatting>
        <x14:conditionalFormatting xmlns:xm="http://schemas.microsoft.com/office/excel/2006/main">
          <x14:cfRule type="containsText" priority="1953" operator="containsText" id="{95F646E6-B74B-5A47-A718-34D3BA316CC8}">
            <xm:f>NOT(ISERROR(SEARCH("Value Missing",R8)))</xm:f>
            <xm:f>"Value Missing"</xm:f>
            <x14:dxf>
              <font>
                <color rgb="FF9C0006"/>
              </font>
              <fill>
                <patternFill>
                  <bgColor rgb="FFFFC7CE"/>
                </patternFill>
              </fill>
            </x14:dxf>
          </x14:cfRule>
          <xm:sqref>U64:U98 U109:U122 R8</xm:sqref>
        </x14:conditionalFormatting>
        <x14:conditionalFormatting xmlns:xm="http://schemas.microsoft.com/office/excel/2006/main">
          <x14:cfRule type="notContainsText" priority="1417" operator="notContains" id="{68EA98EC-C7D3-574A-BAAB-6E4045192DAF}">
            <xm:f>ISERROR(SEARCH("Value Missing",U64))</xm:f>
            <xm:f>"Value Missing"</xm:f>
            <x14:dxf>
              <font>
                <color rgb="FF006100"/>
              </font>
              <fill>
                <patternFill>
                  <bgColor rgb="FFC6EFCE"/>
                </patternFill>
              </fill>
            </x14:dxf>
          </x14:cfRule>
          <xm:sqref>U64:U98</xm:sqref>
        </x14:conditionalFormatting>
        <x14:conditionalFormatting xmlns:xm="http://schemas.microsoft.com/office/excel/2006/main">
          <x14:cfRule type="notContainsText" priority="1414" operator="notContains" id="{9E68E843-A3A4-7944-93D1-748A9854A463}">
            <xm:f>ISERROR(SEARCH("Value Missing",U79))</xm:f>
            <xm:f>"Value Missing"</xm:f>
            <x14:dxf>
              <font>
                <color rgb="FF006100"/>
              </font>
              <fill>
                <patternFill>
                  <bgColor rgb="FFC6EFCE"/>
                </patternFill>
              </fill>
            </x14:dxf>
          </x14:cfRule>
          <x14:cfRule type="containsText" priority="1415" operator="containsText" id="{EE0C5DB8-7946-5547-9B63-1F5CF03206F0}">
            <xm:f>NOT(ISERROR(SEARCH("Value Missing",U79)))</xm:f>
            <xm:f>"Value Missing"</xm:f>
            <x14:dxf>
              <font>
                <color rgb="FF9C0006"/>
              </font>
              <fill>
                <patternFill>
                  <bgColor rgb="FFFFC7CE"/>
                </patternFill>
              </fill>
            </x14:dxf>
          </x14:cfRule>
          <xm:sqref>U79</xm:sqref>
        </x14:conditionalFormatting>
        <x14:conditionalFormatting xmlns:xm="http://schemas.microsoft.com/office/excel/2006/main">
          <x14:cfRule type="notContainsText" priority="1993" operator="notContains" id="{35C67C57-0F0F-2C49-AFEB-C171FD6A3F5A}">
            <xm:f>ISERROR(SEARCH("Value Missing",L80))</xm:f>
            <xm:f>"Value Missing"</xm:f>
            <x14:dxf>
              <font>
                <color rgb="FF006100"/>
              </font>
              <fill>
                <patternFill>
                  <bgColor rgb="FFC6EFCE"/>
                </patternFill>
              </fill>
            </x14:dxf>
          </x14:cfRule>
          <x14:cfRule type="containsText" priority="1994" operator="containsText" id="{AA601A5E-A136-704B-BA9B-294C341E50BC}">
            <xm:f>NOT(ISERROR(SEARCH("Value Missing",L80)))</xm:f>
            <xm:f>"Value Missing"</xm:f>
            <x14:dxf>
              <font>
                <color rgb="FF9C0006"/>
              </font>
              <fill>
                <patternFill>
                  <bgColor rgb="FFFFC7CE"/>
                </patternFill>
              </fill>
            </x14:dxf>
          </x14:cfRule>
          <xm:sqref>U80 L139:L141</xm:sqref>
        </x14:conditionalFormatting>
        <x14:conditionalFormatting xmlns:xm="http://schemas.microsoft.com/office/excel/2006/main">
          <x14:cfRule type="containsText" priority="1382" operator="containsText" id="{E9C1603B-D4AE-874E-BAE9-48086556B6CE}">
            <xm:f>NOT(ISERROR(SEARCH("Value Missing",U91)))</xm:f>
            <xm:f>"Value Missing"</xm:f>
            <x14:dxf>
              <font>
                <color rgb="FF9C0006"/>
              </font>
              <fill>
                <patternFill>
                  <bgColor rgb="FFFFC7CE"/>
                </patternFill>
              </fill>
            </x14:dxf>
          </x14:cfRule>
          <x14:cfRule type="notContainsText" priority="1381" operator="notContains" id="{4E045DA0-FD53-5E40-BBF0-2CDC4CE9F47E}">
            <xm:f>ISERROR(SEARCH("Value Missing",U91))</xm:f>
            <xm:f>"Value Missing"</xm:f>
            <x14:dxf>
              <font>
                <color rgb="FF006100"/>
              </font>
              <fill>
                <patternFill>
                  <bgColor rgb="FFC6EFCE"/>
                </patternFill>
              </fill>
            </x14:dxf>
          </x14:cfRule>
          <xm:sqref>U91:U99</xm:sqref>
        </x14:conditionalFormatting>
        <x14:conditionalFormatting xmlns:xm="http://schemas.microsoft.com/office/excel/2006/main">
          <x14:cfRule type="containsText" priority="1103" operator="containsText" id="{E22536AA-527A-854B-8152-1A4EDF21B2F5}">
            <xm:f>NOT(ISERROR(SEARCH("Value Missing",L103)))</xm:f>
            <xm:f>"Value Missing"</xm:f>
            <x14:dxf>
              <font>
                <color rgb="FF9C0006"/>
              </font>
              <fill>
                <patternFill>
                  <bgColor rgb="FFFFC7CE"/>
                </patternFill>
              </fill>
            </x14:dxf>
          </x14:cfRule>
          <x14:cfRule type="notContainsText" priority="1102" operator="notContains" id="{37EB2435-523C-504A-BAAB-E62CE9A7DD52}">
            <xm:f>ISERROR(SEARCH("Value Missing",L103))</xm:f>
            <xm:f>"Value Missing"</xm:f>
            <x14:dxf>
              <font>
                <color rgb="FF006100"/>
              </font>
              <fill>
                <patternFill>
                  <bgColor rgb="FFC6EFCE"/>
                </patternFill>
              </fill>
            </x14:dxf>
          </x14:cfRule>
          <xm:sqref>U103:U120 U127:U153 L142:L160</xm:sqref>
        </x14:conditionalFormatting>
        <x14:conditionalFormatting xmlns:xm="http://schemas.microsoft.com/office/excel/2006/main">
          <x14:cfRule type="notContainsText" priority="1393" operator="notContains" id="{4DFFBA2C-D6A5-5B41-93FF-957BBC667C53}">
            <xm:f>ISERROR(SEARCH("Value Missing",U122))</xm:f>
            <xm:f>"Value Missing"</xm:f>
            <x14:dxf>
              <font>
                <color rgb="FF006100"/>
              </font>
              <fill>
                <patternFill>
                  <bgColor rgb="FFC6EFCE"/>
                </patternFill>
              </fill>
            </x14:dxf>
          </x14:cfRule>
          <xm:sqref>U122</xm:sqref>
        </x14:conditionalFormatting>
        <x14:conditionalFormatting xmlns:xm="http://schemas.microsoft.com/office/excel/2006/main">
          <x14:cfRule type="containsText" priority="175" stopIfTrue="1" operator="containsText" id="{422572CD-22A8-BE4B-BD68-28022998FE10}">
            <xm:f>NOT(ISERROR(SEARCH("Value Missing",U191)))</xm:f>
            <xm:f>"Value Missing"</xm:f>
            <x14:dxf>
              <font>
                <color rgb="FF0E223A"/>
              </font>
              <fill>
                <patternFill>
                  <bgColor rgb="FFFFBE29"/>
                </patternFill>
              </fill>
            </x14:dxf>
          </x14:cfRule>
          <xm:sqref>U191:U211</xm:sqref>
        </x14:conditionalFormatting>
        <x14:conditionalFormatting xmlns:xm="http://schemas.microsoft.com/office/excel/2006/main">
          <x14:cfRule type="containsText" priority="44" operator="containsText" id="{7B648180-8E2D-6144-8B66-30293AF9926D}">
            <xm:f>NOT(ISERROR(SEARCH("Value Missing",U212)))</xm:f>
            <xm:f>"Value Missing"</xm:f>
            <x14:dxf>
              <font>
                <color theme="1"/>
              </font>
              <fill>
                <patternFill>
                  <bgColor rgb="FFFFBE29"/>
                </patternFill>
              </fill>
            </x14:dxf>
          </x14:cfRule>
          <xm:sqref>U212</xm:sqref>
        </x14:conditionalFormatting>
        <x14:conditionalFormatting xmlns:xm="http://schemas.microsoft.com/office/excel/2006/main">
          <x14:cfRule type="containsText" priority="2627" operator="containsText" id="{4DE0EAC0-D6C1-A24D-A0A3-E69D3875A170}">
            <xm:f>NOT(ISERROR(SEARCH("Value Missing",X8)))</xm:f>
            <xm:f>"Value Missing"</xm:f>
            <x14:dxf>
              <font>
                <color rgb="FF9C0006"/>
              </font>
              <fill>
                <patternFill>
                  <bgColor rgb="FFFFC7CE"/>
                </patternFill>
              </fill>
            </x14:dxf>
          </x14:cfRule>
          <x14:cfRule type="notContainsText" priority="2626" operator="notContains" id="{44931D3D-915C-8641-915A-39E8A8EBF7A6}">
            <xm:f>ISERROR(SEARCH("Value Missing",X8))</xm:f>
            <xm:f>"Value Missing"</xm:f>
            <x14:dxf>
              <font>
                <color rgb="FF006100"/>
              </font>
              <fill>
                <patternFill>
                  <bgColor rgb="FFC6EFCE"/>
                </patternFill>
              </fill>
            </x14:dxf>
          </x14:cfRule>
          <xm:sqref>X8:X9</xm:sqref>
        </x14:conditionalFormatting>
        <x14:conditionalFormatting xmlns:xm="http://schemas.microsoft.com/office/excel/2006/main">
          <x14:cfRule type="containsText" priority="2620" operator="containsText" id="{1997DC49-A5D2-B441-B9B0-FF9C99CFD8F7}">
            <xm:f>NOT(ISERROR(SEARCH("Value Missing",X13)))</xm:f>
            <xm:f>"Value Missing"</xm:f>
            <x14:dxf>
              <font>
                <color rgb="FF9C0006"/>
              </font>
              <fill>
                <patternFill>
                  <bgColor rgb="FFFFC7CE"/>
                </patternFill>
              </fill>
            </x14:dxf>
          </x14:cfRule>
          <x14:cfRule type="notContainsText" priority="2619" operator="notContains" id="{44EEBB87-F811-BB4B-BC11-6001152F69BD}">
            <xm:f>ISERROR(SEARCH("Value Missing",X13))</xm:f>
            <xm:f>"Value Missing"</xm:f>
            <x14:dxf>
              <font>
                <color rgb="FF006100"/>
              </font>
              <fill>
                <patternFill>
                  <bgColor rgb="FFC6EFCE"/>
                </patternFill>
              </fill>
            </x14:dxf>
          </x14:cfRule>
          <xm:sqref>X13:X14</xm:sqref>
        </x14:conditionalFormatting>
        <x14:conditionalFormatting xmlns:xm="http://schemas.microsoft.com/office/excel/2006/main">
          <x14:cfRule type="containsText" priority="2615" operator="containsText" id="{CECA1DF2-AE4F-F840-9E9E-93FE60797373}">
            <xm:f>NOT(ISERROR(SEARCH("Value Missing",X18)))</xm:f>
            <xm:f>"Value Missing"</xm:f>
            <x14:dxf>
              <font>
                <color rgb="FF9C0006"/>
              </font>
              <fill>
                <patternFill>
                  <bgColor rgb="FFFFC7CE"/>
                </patternFill>
              </fill>
            </x14:dxf>
          </x14:cfRule>
          <x14:cfRule type="notContainsText" priority="2614" operator="notContains" id="{E9F5C35D-6DF6-A04D-BB7D-C236297DA160}">
            <xm:f>ISERROR(SEARCH("Value Missing",X18))</xm:f>
            <xm:f>"Value Missing"</xm:f>
            <x14:dxf>
              <font>
                <color rgb="FF006100"/>
              </font>
              <fill>
                <patternFill>
                  <bgColor rgb="FFC6EFCE"/>
                </patternFill>
              </fill>
            </x14:dxf>
          </x14:cfRule>
          <xm:sqref>X18:X19</xm:sqref>
        </x14:conditionalFormatting>
        <x14:conditionalFormatting xmlns:xm="http://schemas.microsoft.com/office/excel/2006/main">
          <x14:cfRule type="containsText" priority="2625" operator="containsText" id="{8B7CD512-9743-1441-9F6D-E37ADFBA5B05}">
            <xm:f>NOT(ISERROR(SEARCH("Value Missing",X28)))</xm:f>
            <xm:f>"Value Missing"</xm:f>
            <x14:dxf>
              <font>
                <color rgb="FF9C0006"/>
              </font>
              <fill>
                <patternFill>
                  <bgColor rgb="FFFFC7CE"/>
                </patternFill>
              </fill>
            </x14:dxf>
          </x14:cfRule>
          <x14:cfRule type="notContainsText" priority="2624" operator="notContains" id="{9A37B9CE-9E40-D64A-9357-1CA33AD79BDB}">
            <xm:f>ISERROR(SEARCH("Value Missing",X28))</xm:f>
            <xm:f>"Value Missing"</xm:f>
            <x14:dxf>
              <font>
                <color rgb="FF006100"/>
              </font>
              <fill>
                <patternFill>
                  <bgColor rgb="FFC6EFCE"/>
                </patternFill>
              </fill>
            </x14:dxf>
          </x14:cfRule>
          <xm:sqref>X28</xm:sqref>
        </x14:conditionalFormatting>
        <x14:conditionalFormatting xmlns:xm="http://schemas.microsoft.com/office/excel/2006/main">
          <x14:cfRule type="containsText" priority="2426" operator="containsText" id="{A222DF2A-8F10-D84C-97F7-EA18995B3CB2}">
            <xm:f>NOT(ISERROR(SEARCH("Value Missing",X32)))</xm:f>
            <xm:f>"Value Missing"</xm:f>
            <x14:dxf>
              <font>
                <color rgb="FF9C0006"/>
              </font>
              <fill>
                <patternFill>
                  <bgColor rgb="FFFFC7CE"/>
                </patternFill>
              </fill>
            </x14:dxf>
          </x14:cfRule>
          <x14:cfRule type="notContainsText" priority="2425" operator="notContains" id="{664328CD-3C4C-C34A-8A3F-F609646C6E1B}">
            <xm:f>ISERROR(SEARCH("Value Missing",X32))</xm:f>
            <xm:f>"Value Missing"</xm:f>
            <x14:dxf>
              <font>
                <color rgb="FF006100"/>
              </font>
              <fill>
                <patternFill>
                  <bgColor rgb="FFC6EFCE"/>
                </patternFill>
              </fill>
            </x14:dxf>
          </x14:cfRule>
          <xm:sqref>X32</xm:sqref>
        </x14:conditionalFormatting>
        <x14:conditionalFormatting xmlns:xm="http://schemas.microsoft.com/office/excel/2006/main">
          <x14:cfRule type="containsText" priority="2424" operator="containsText" id="{334DF228-2CB6-FE42-AFB7-9F61BB732FAC}">
            <xm:f>NOT(ISERROR(SEARCH("Value Missing",X36)))</xm:f>
            <xm:f>"Value Missing"</xm:f>
            <x14:dxf>
              <font>
                <color rgb="FF9C0006"/>
              </font>
              <fill>
                <patternFill>
                  <bgColor rgb="FFFFC7CE"/>
                </patternFill>
              </fill>
            </x14:dxf>
          </x14:cfRule>
          <x14:cfRule type="notContainsText" priority="2423" operator="notContains" id="{BBAD9CE7-DF50-0E41-9999-71B5DA30D888}">
            <xm:f>ISERROR(SEARCH("Value Missing",X36))</xm:f>
            <xm:f>"Value Missing"</xm:f>
            <x14:dxf>
              <font>
                <color rgb="FF006100"/>
              </font>
              <fill>
                <patternFill>
                  <bgColor rgb="FFC6EFCE"/>
                </patternFill>
              </fill>
            </x14:dxf>
          </x14:cfRule>
          <xm:sqref>X36</xm:sqref>
        </x14:conditionalFormatting>
        <x14:conditionalFormatting xmlns:xm="http://schemas.microsoft.com/office/excel/2006/main">
          <x14:cfRule type="notContainsText" priority="2421" operator="notContains" id="{3799A907-1A1C-414E-A7DA-DF8415A7E5F9}">
            <xm:f>ISERROR(SEARCH("Value Missing",X40))</xm:f>
            <xm:f>"Value Missing"</xm:f>
            <x14:dxf>
              <font>
                <color rgb="FF006100"/>
              </font>
              <fill>
                <patternFill>
                  <bgColor rgb="FFC6EFCE"/>
                </patternFill>
              </fill>
            </x14:dxf>
          </x14:cfRule>
          <x14:cfRule type="containsText" priority="2422" operator="containsText" id="{6BE37C52-268E-3148-B071-7D0754434044}">
            <xm:f>NOT(ISERROR(SEARCH("Value Missing",X40)))</xm:f>
            <xm:f>"Value Missing"</xm:f>
            <x14:dxf>
              <font>
                <color rgb="FF9C0006"/>
              </font>
              <fill>
                <patternFill>
                  <bgColor rgb="FFFFC7CE"/>
                </patternFill>
              </fill>
            </x14:dxf>
          </x14:cfRule>
          <xm:sqref>X40</xm:sqref>
        </x14:conditionalFormatting>
        <x14:conditionalFormatting xmlns:xm="http://schemas.microsoft.com/office/excel/2006/main">
          <x14:cfRule type="notContainsText" priority="2419" operator="notContains" id="{5FBEE526-4A6A-784F-BBF8-727EC75975D0}">
            <xm:f>ISERROR(SEARCH("Value Missing",X44))</xm:f>
            <xm:f>"Value Missing"</xm:f>
            <x14:dxf>
              <font>
                <color rgb="FF006100"/>
              </font>
              <fill>
                <patternFill>
                  <bgColor rgb="FFC6EFCE"/>
                </patternFill>
              </fill>
            </x14:dxf>
          </x14:cfRule>
          <x14:cfRule type="containsText" priority="2420" operator="containsText" id="{7014DB30-1F0E-5140-88DF-02CE068A49DB}">
            <xm:f>NOT(ISERROR(SEARCH("Value Missing",X44)))</xm:f>
            <xm:f>"Value Missing"</xm:f>
            <x14:dxf>
              <font>
                <color rgb="FF9C0006"/>
              </font>
              <fill>
                <patternFill>
                  <bgColor rgb="FFFFC7CE"/>
                </patternFill>
              </fill>
            </x14:dxf>
          </x14:cfRule>
          <xm:sqref>X44</xm:sqref>
        </x14:conditionalFormatting>
        <x14:conditionalFormatting xmlns:xm="http://schemas.microsoft.com/office/excel/2006/main">
          <x14:cfRule type="containsText" priority="2418" operator="containsText" id="{FB431EDF-E94E-034E-9114-1BF618B35CE5}">
            <xm:f>NOT(ISERROR(SEARCH("Value Missing",X48)))</xm:f>
            <xm:f>"Value Missing"</xm:f>
            <x14:dxf>
              <font>
                <color rgb="FF9C0006"/>
              </font>
              <fill>
                <patternFill>
                  <bgColor rgb="FFFFC7CE"/>
                </patternFill>
              </fill>
            </x14:dxf>
          </x14:cfRule>
          <x14:cfRule type="notContainsText" priority="2417" operator="notContains" id="{D92FE75C-5A72-1D44-901E-112F40D295E8}">
            <xm:f>ISERROR(SEARCH("Value Missing",X48))</xm:f>
            <xm:f>"Value Missing"</xm:f>
            <x14:dxf>
              <font>
                <color rgb="FF006100"/>
              </font>
              <fill>
                <patternFill>
                  <bgColor rgb="FFC6EFCE"/>
                </patternFill>
              </fill>
            </x14:dxf>
          </x14:cfRule>
          <xm:sqref>X48</xm:sqref>
        </x14:conditionalFormatting>
        <x14:conditionalFormatting xmlns:xm="http://schemas.microsoft.com/office/excel/2006/main">
          <x14:cfRule type="notContainsText" priority="2415" operator="notContains" id="{BFC63F22-6362-154A-B0E7-18BAC33E7DE0}">
            <xm:f>ISERROR(SEARCH("Value Missing",X52))</xm:f>
            <xm:f>"Value Missing"</xm:f>
            <x14:dxf>
              <font>
                <color rgb="FF006100"/>
              </font>
              <fill>
                <patternFill>
                  <bgColor rgb="FFC6EFCE"/>
                </patternFill>
              </fill>
            </x14:dxf>
          </x14:cfRule>
          <x14:cfRule type="containsText" priority="2416" operator="containsText" id="{B2B9AD9B-1514-8D45-A723-8F4B7BEAFC9B}">
            <xm:f>NOT(ISERROR(SEARCH("Value Missing",X52)))</xm:f>
            <xm:f>"Value Missing"</xm:f>
            <x14:dxf>
              <font>
                <color rgb="FF9C0006"/>
              </font>
              <fill>
                <patternFill>
                  <bgColor rgb="FFFFC7CE"/>
                </patternFill>
              </fill>
            </x14:dxf>
          </x14:cfRule>
          <xm:sqref>X52</xm:sqref>
        </x14:conditionalFormatting>
        <x14:conditionalFormatting xmlns:xm="http://schemas.microsoft.com/office/excel/2006/main">
          <x14:cfRule type="notContainsText" priority="2413" operator="notContains" id="{D6276D16-CCE7-D346-A67C-9F325C3A0D00}">
            <xm:f>ISERROR(SEARCH("Value Missing",X56))</xm:f>
            <xm:f>"Value Missing"</xm:f>
            <x14:dxf>
              <font>
                <color rgb="FF006100"/>
              </font>
              <fill>
                <patternFill>
                  <bgColor rgb="FFC6EFCE"/>
                </patternFill>
              </fill>
            </x14:dxf>
          </x14:cfRule>
          <x14:cfRule type="containsText" priority="2414" operator="containsText" id="{3DE87D87-B424-734D-9E1A-3FD8A64C60F7}">
            <xm:f>NOT(ISERROR(SEARCH("Value Missing",X56)))</xm:f>
            <xm:f>"Value Missing"</xm:f>
            <x14:dxf>
              <font>
                <color rgb="FF9C0006"/>
              </font>
              <fill>
                <patternFill>
                  <bgColor rgb="FFFFC7CE"/>
                </patternFill>
              </fill>
            </x14:dxf>
          </x14:cfRule>
          <xm:sqref>X56</xm:sqref>
        </x14:conditionalFormatting>
        <x14:conditionalFormatting xmlns:xm="http://schemas.microsoft.com/office/excel/2006/main">
          <x14:cfRule type="notContainsText" priority="2411" operator="notContains" id="{E8E52FD7-DFD5-454C-BD56-561E415F20FF}">
            <xm:f>ISERROR(SEARCH("Value Missing",X60))</xm:f>
            <xm:f>"Value Missing"</xm:f>
            <x14:dxf>
              <font>
                <color rgb="FF006100"/>
              </font>
              <fill>
                <patternFill>
                  <bgColor rgb="FFC6EFCE"/>
                </patternFill>
              </fill>
            </x14:dxf>
          </x14:cfRule>
          <x14:cfRule type="containsText" priority="2412" operator="containsText" id="{F66C3292-F1DC-B94A-A53B-D1B4592CDD9F}">
            <xm:f>NOT(ISERROR(SEARCH("Value Missing",X60)))</xm:f>
            <xm:f>"Value Missing"</xm:f>
            <x14:dxf>
              <font>
                <color rgb="FF9C0006"/>
              </font>
              <fill>
                <patternFill>
                  <bgColor rgb="FFFFC7CE"/>
                </patternFill>
              </fill>
            </x14:dxf>
          </x14:cfRule>
          <xm:sqref>X60</xm:sqref>
        </x14:conditionalFormatting>
        <x14:conditionalFormatting xmlns:xm="http://schemas.microsoft.com/office/excel/2006/main">
          <x14:cfRule type="notContainsText" priority="2409" operator="notContains" id="{6E00A636-58DA-874E-9F4D-2A18FDF33177}">
            <xm:f>ISERROR(SEARCH("Value Missing",X64))</xm:f>
            <xm:f>"Value Missing"</xm:f>
            <x14:dxf>
              <font>
                <color rgb="FF006100"/>
              </font>
              <fill>
                <patternFill>
                  <bgColor rgb="FFC6EFCE"/>
                </patternFill>
              </fill>
            </x14:dxf>
          </x14:cfRule>
          <x14:cfRule type="containsText" priority="2410" operator="containsText" id="{9A4CE4C9-7EEF-F247-843A-D8F447B441FC}">
            <xm:f>NOT(ISERROR(SEARCH("Value Missing",X64)))</xm:f>
            <xm:f>"Value Missing"</xm:f>
            <x14:dxf>
              <font>
                <color rgb="FF9C0006"/>
              </font>
              <fill>
                <patternFill>
                  <bgColor rgb="FFFFC7CE"/>
                </patternFill>
              </fill>
            </x14:dxf>
          </x14:cfRule>
          <xm:sqref>X64</xm:sqref>
        </x14:conditionalFormatting>
        <x14:conditionalFormatting xmlns:xm="http://schemas.microsoft.com/office/excel/2006/main">
          <x14:cfRule type="notContainsText" priority="2407" operator="notContains" id="{9AF8A23A-5F46-5C41-AB50-41F56FF84FB2}">
            <xm:f>ISERROR(SEARCH("Value Missing",X68))</xm:f>
            <xm:f>"Value Missing"</xm:f>
            <x14:dxf>
              <font>
                <color rgb="FF006100"/>
              </font>
              <fill>
                <patternFill>
                  <bgColor rgb="FFC6EFCE"/>
                </patternFill>
              </fill>
            </x14:dxf>
          </x14:cfRule>
          <x14:cfRule type="containsText" priority="2408" operator="containsText" id="{8C22B40F-307A-014E-81A5-8C924E8B8637}">
            <xm:f>NOT(ISERROR(SEARCH("Value Missing",X68)))</xm:f>
            <xm:f>"Value Missing"</xm:f>
            <x14:dxf>
              <font>
                <color rgb="FF9C0006"/>
              </font>
              <fill>
                <patternFill>
                  <bgColor rgb="FFFFC7CE"/>
                </patternFill>
              </fill>
            </x14:dxf>
          </x14:cfRule>
          <xm:sqref>X68</xm:sqref>
        </x14:conditionalFormatting>
        <x14:conditionalFormatting xmlns:xm="http://schemas.microsoft.com/office/excel/2006/main">
          <x14:cfRule type="notContainsText" priority="2126" operator="notContains" id="{DD5398D3-EA12-B243-BCD6-A23EFF664D3C}">
            <xm:f>ISERROR(SEARCH("Value Missing",C8))</xm:f>
            <xm:f>"Value Missing"</xm:f>
            <x14:dxf>
              <font>
                <color rgb="FF006100"/>
              </font>
              <fill>
                <patternFill>
                  <bgColor rgb="FFC6EFCE"/>
                </patternFill>
              </fill>
            </x14:dxf>
          </x14:cfRule>
          <x14:cfRule type="containsText" priority="2127" operator="containsText" id="{DF52A004-968D-844F-8C87-105273187820}">
            <xm:f>NOT(ISERROR(SEARCH("Value Missing",C8)))</xm:f>
            <xm:f>"Value Missing"</xm:f>
            <x14:dxf>
              <font>
                <color rgb="FF9C0006"/>
              </font>
              <fill>
                <patternFill>
                  <bgColor rgb="FFFFC7CE"/>
                </patternFill>
              </fill>
            </x14:dxf>
          </x14:cfRule>
          <xm:sqref>AA8:AA16 C206:C209</xm:sqref>
        </x14:conditionalFormatting>
        <x14:conditionalFormatting xmlns:xm="http://schemas.microsoft.com/office/excel/2006/main">
          <x14:cfRule type="containsText" priority="1690" operator="containsText" id="{69EF0644-407D-0C47-8B54-B5288C8A965B}">
            <xm:f>NOT(ISERROR(SEARCH("Value Missing",AA11)))</xm:f>
            <xm:f>"Value Missing"</xm:f>
            <x14:dxf>
              <font>
                <color rgb="FF9C0006"/>
              </font>
              <fill>
                <patternFill>
                  <bgColor rgb="FFFFC7CE"/>
                </patternFill>
              </fill>
            </x14:dxf>
          </x14:cfRule>
          <xm:sqref>AA11 AA30:AA32</xm:sqref>
        </x14:conditionalFormatting>
        <x14:conditionalFormatting xmlns:xm="http://schemas.microsoft.com/office/excel/2006/main">
          <x14:cfRule type="containsText" priority="2692" operator="containsText" id="{BC91E0E0-4C4D-5D44-A855-25B6E4FD2964}">
            <xm:f>NOT(ISERROR(SEARCH("Value Missing",L8)))</xm:f>
            <xm:f>"Value Missing"</xm:f>
            <x14:dxf>
              <font>
                <color rgb="FF9C0006"/>
              </font>
              <fill>
                <patternFill>
                  <bgColor rgb="FFFFC7CE"/>
                </patternFill>
              </fill>
            </x14:dxf>
          </x14:cfRule>
          <xm:sqref>AA12 U52:U54 R56:R59 AA62:AA67 R70:R73 R77:R81 L99:L104 U103:U108 U121 L126:L127 R63:R66 R85:R88 R8 R12 L58:L62 U65:U70</xm:sqref>
        </x14:conditionalFormatting>
        <x14:conditionalFormatting xmlns:xm="http://schemas.microsoft.com/office/excel/2006/main">
          <x14:cfRule type="containsText" priority="487" operator="containsText" id="{87FA1E82-6173-8548-91C8-8B9EEF1A4303}">
            <xm:f>NOT(ISERROR(SEARCH("Value Missing",R17)))</xm:f>
            <xm:f>"Value Missing"</xm:f>
            <x14:dxf>
              <font>
                <color rgb="FF9C0006"/>
              </font>
              <fill>
                <patternFill>
                  <bgColor rgb="FFFFC7CE"/>
                </patternFill>
              </fill>
            </x14:dxf>
          </x14:cfRule>
          <xm:sqref>AA17:AA28 R20:R25 X23:X24</xm:sqref>
        </x14:conditionalFormatting>
        <x14:conditionalFormatting xmlns:xm="http://schemas.microsoft.com/office/excel/2006/main">
          <x14:cfRule type="notContainsText" priority="1905" operator="notContains" id="{4425913C-C1FE-844D-9ACF-F7B6611D440C}">
            <xm:f>ISERROR(SEARCH("Value Missing",AA29))</xm:f>
            <xm:f>"Value Missing"</xm:f>
            <x14:dxf>
              <font>
                <color rgb="FF006100"/>
              </font>
              <fill>
                <patternFill>
                  <bgColor rgb="FFC6EFCE"/>
                </patternFill>
              </fill>
            </x14:dxf>
          </x14:cfRule>
          <xm:sqref>AA29</xm:sqref>
        </x14:conditionalFormatting>
        <x14:conditionalFormatting xmlns:xm="http://schemas.microsoft.com/office/excel/2006/main">
          <x14:cfRule type="notContainsText" priority="1689" operator="notContains" id="{87F80119-6159-4441-AD08-241729F04ACE}">
            <xm:f>ISERROR(SEARCH("Value Missing",AA11))</xm:f>
            <xm:f>"Value Missing"</xm:f>
            <x14:dxf>
              <font>
                <color rgb="FF006100"/>
              </font>
              <fill>
                <patternFill>
                  <bgColor rgb="FFC6EFCE"/>
                </patternFill>
              </fill>
            </x14:dxf>
          </x14:cfRule>
          <xm:sqref>AA30:AA32 AA11</xm:sqref>
        </x14:conditionalFormatting>
        <x14:conditionalFormatting xmlns:xm="http://schemas.microsoft.com/office/excel/2006/main">
          <x14:cfRule type="notContainsText" priority="1945" operator="notContains" id="{7CF55370-F370-CB45-9457-9C4A5CC08C4F}">
            <xm:f>ISERROR(SEARCH("Value Missing",AA36))</xm:f>
            <xm:f>"Value Missing"</xm:f>
            <x14:dxf>
              <font>
                <color rgb="FF006100"/>
              </font>
              <fill>
                <patternFill>
                  <bgColor rgb="FFC6EFCE"/>
                </patternFill>
              </fill>
            </x14:dxf>
          </x14:cfRule>
          <x14:cfRule type="containsText" priority="1946" operator="containsText" id="{8B7311FB-B1C0-9647-9369-36C4179FEE64}">
            <xm:f>NOT(ISERROR(SEARCH("Value Missing",AA36)))</xm:f>
            <xm:f>"Value Missing"</xm:f>
            <x14:dxf>
              <font>
                <color rgb="FF9C0006"/>
              </font>
              <fill>
                <patternFill>
                  <bgColor rgb="FFFFC7CE"/>
                </patternFill>
              </fill>
            </x14:dxf>
          </x14:cfRule>
          <xm:sqref>AA36</xm:sqref>
        </x14:conditionalFormatting>
        <x14:conditionalFormatting xmlns:xm="http://schemas.microsoft.com/office/excel/2006/main">
          <x14:cfRule type="notContainsText" priority="1770" operator="notContains" id="{9CFCCADB-0D4F-1649-9DDA-8820303729DE}">
            <xm:f>ISERROR(SEARCH("Value Missing",AA36))</xm:f>
            <xm:f>"Value Missing"</xm:f>
            <x14:dxf>
              <font>
                <color rgb="FF006100"/>
              </font>
              <fill>
                <patternFill>
                  <bgColor rgb="FFC6EFCE"/>
                </patternFill>
              </fill>
            </x14:dxf>
          </x14:cfRule>
          <x14:cfRule type="containsText" priority="1805" operator="containsText" id="{372593AD-5990-5E4F-984D-2425FFEA4C40}">
            <xm:f>NOT(ISERROR(SEARCH("Value Missing",AA36)))</xm:f>
            <xm:f>"Value Missing"</xm:f>
            <x14:dxf>
              <font>
                <color rgb="FF9C0006"/>
              </font>
              <fill>
                <patternFill>
                  <bgColor rgb="FFFFC7CE"/>
                </patternFill>
              </fill>
            </x14:dxf>
          </x14:cfRule>
          <x14:cfRule type="notContainsText" priority="1851" operator="notContains" id="{FDE05BF0-EB6C-6948-A8A4-7FD7AA9FA81C}">
            <xm:f>ISERROR(SEARCH("Value Missing",AA36))</xm:f>
            <xm:f>"Value Missing"</xm:f>
            <x14:dxf>
              <font>
                <color rgb="FF006100"/>
              </font>
              <fill>
                <patternFill>
                  <bgColor rgb="FFC6EFCE"/>
                </patternFill>
              </fill>
            </x14:dxf>
          </x14:cfRule>
          <x14:cfRule type="containsText" priority="1852" operator="containsText" id="{6696D501-A536-F143-83FA-0D29AB85D63F}">
            <xm:f>NOT(ISERROR(SEARCH("Value Missing",AA36)))</xm:f>
            <xm:f>"Value Missing"</xm:f>
            <x14:dxf>
              <font>
                <color rgb="FF9C0006"/>
              </font>
              <fill>
                <patternFill>
                  <bgColor rgb="FFFFC7CE"/>
                </patternFill>
              </fill>
            </x14:dxf>
          </x14:cfRule>
          <xm:sqref>AA36:AA50</xm:sqref>
        </x14:conditionalFormatting>
        <x14:conditionalFormatting xmlns:xm="http://schemas.microsoft.com/office/excel/2006/main">
          <x14:cfRule type="notContainsText" priority="1653" operator="notContains" id="{4644EA75-0466-4949-9622-C2C9B6A15EA2}">
            <xm:f>ISERROR(SEARCH("Value Missing",AA38))</xm:f>
            <xm:f>"Value Missing"</xm:f>
            <x14:dxf>
              <font>
                <color rgb="FF006100"/>
              </font>
              <fill>
                <patternFill>
                  <bgColor rgb="FFC6EFCE"/>
                </patternFill>
              </fill>
            </x14:dxf>
          </x14:cfRule>
          <x14:cfRule type="containsText" priority="1654" operator="containsText" id="{39C87DB9-06E5-644F-AFCE-985CAA262F1F}">
            <xm:f>NOT(ISERROR(SEARCH("Value Missing",AA38)))</xm:f>
            <xm:f>"Value Missing"</xm:f>
            <x14:dxf>
              <font>
                <color rgb="FF9C0006"/>
              </font>
              <fill>
                <patternFill>
                  <bgColor rgb="FFFFC7CE"/>
                </patternFill>
              </fill>
            </x14:dxf>
          </x14:cfRule>
          <xm:sqref>AA38:AA39</xm:sqref>
        </x14:conditionalFormatting>
        <x14:conditionalFormatting xmlns:xm="http://schemas.microsoft.com/office/excel/2006/main">
          <x14:cfRule type="notContainsText" priority="1804" operator="notContains" id="{ABA98C35-62DF-464A-ACDA-35E352CEA1D0}">
            <xm:f>ISERROR(SEARCH("Value Missing",AA40))</xm:f>
            <xm:f>"Value Missing"</xm:f>
            <x14:dxf>
              <font>
                <color rgb="FF006100"/>
              </font>
              <fill>
                <patternFill>
                  <bgColor rgb="FFC6EFCE"/>
                </patternFill>
              </fill>
            </x14:dxf>
          </x14:cfRule>
          <xm:sqref>AA40:AA50</xm:sqref>
        </x14:conditionalFormatting>
        <x14:conditionalFormatting xmlns:xm="http://schemas.microsoft.com/office/excel/2006/main">
          <x14:cfRule type="containsText" priority="1771" operator="containsText" id="{CB8A1822-3108-A04C-822A-2BC74103D2E2}">
            <xm:f>NOT(ISERROR(SEARCH("Value Missing",AA44)))</xm:f>
            <xm:f>"Value Missing"</xm:f>
            <x14:dxf>
              <font>
                <color rgb="FF9C0006"/>
              </font>
              <fill>
                <patternFill>
                  <bgColor rgb="FFFFC7CE"/>
                </patternFill>
              </fill>
            </x14:dxf>
          </x14:cfRule>
          <xm:sqref>AA44:AA50</xm:sqref>
        </x14:conditionalFormatting>
        <x14:conditionalFormatting xmlns:xm="http://schemas.microsoft.com/office/excel/2006/main">
          <x14:cfRule type="containsText" priority="1402" operator="containsText" id="{4C19A037-4CE8-A640-9E66-9707F917C538}">
            <xm:f>NOT(ISERROR(SEARCH("Value Missing",AA46)))</xm:f>
            <xm:f>"Value Missing"</xm:f>
            <x14:dxf>
              <font>
                <color rgb="FF9C0006"/>
              </font>
              <fill>
                <patternFill>
                  <bgColor rgb="FFFFC7CE"/>
                </patternFill>
              </fill>
            </x14:dxf>
          </x14:cfRule>
          <xm:sqref>AA46:AA50</xm:sqref>
        </x14:conditionalFormatting>
        <x14:conditionalFormatting xmlns:xm="http://schemas.microsoft.com/office/excel/2006/main">
          <x14:cfRule type="containsText" priority="728" operator="containsText" id="{BA24E059-0A8E-CA49-8D81-BB1C4C11E7F6}">
            <xm:f>NOT(ISERROR(SEARCH("Value Missing",AA59)))</xm:f>
            <xm:f>"Value Missing"</xm:f>
            <x14:dxf>
              <font>
                <color rgb="FF9C0006"/>
              </font>
              <fill>
                <patternFill>
                  <bgColor rgb="FFFFC7CE"/>
                </patternFill>
              </fill>
            </x14:dxf>
          </x14:cfRule>
          <xm:sqref>AA59:AA87</xm:sqref>
        </x14:conditionalFormatting>
        <x14:conditionalFormatting xmlns:xm="http://schemas.microsoft.com/office/excel/2006/main">
          <x14:cfRule type="notContainsText" priority="1467" operator="notContains" id="{F0B59E40-E6DB-D94E-ACC1-C5F51B42942B}">
            <xm:f>ISERROR(SEARCH("Value Missing",AA86))</xm:f>
            <xm:f>"Value Missing"</xm:f>
            <x14:dxf>
              <font>
                <color rgb="FF006100"/>
              </font>
              <fill>
                <patternFill>
                  <bgColor rgb="FFC6EFCE"/>
                </patternFill>
              </fill>
            </x14:dxf>
          </x14:cfRule>
          <x14:cfRule type="containsText" priority="1468" operator="containsText" id="{222C26CC-4905-4D4B-9E56-04B6432864D5}">
            <xm:f>NOT(ISERROR(SEARCH("Value Missing",AA86)))</xm:f>
            <xm:f>"Value Missing"</xm:f>
            <x14:dxf>
              <font>
                <color rgb="FF9C0006"/>
              </font>
              <fill>
                <patternFill>
                  <bgColor rgb="FFFFC7CE"/>
                </patternFill>
              </fill>
            </x14:dxf>
          </x14:cfRule>
          <xm:sqref>AA86:AA87</xm:sqref>
        </x14:conditionalFormatting>
        <x14:conditionalFormatting xmlns:xm="http://schemas.microsoft.com/office/excel/2006/main">
          <x14:cfRule type="containsText" priority="2000" operator="containsText" id="{3310644F-19CB-2540-9167-ADA445DA9855}">
            <xm:f>NOT(ISERROR(SEARCH("Value Missing",L94)))</xm:f>
            <xm:f>"Value Missing"</xm:f>
            <x14:dxf>
              <font>
                <color rgb="FF9C0006"/>
              </font>
              <fill>
                <patternFill>
                  <bgColor rgb="FFFFC7CE"/>
                </patternFill>
              </fill>
            </x14:dxf>
          </x14:cfRule>
          <x14:cfRule type="notContainsText" priority="1999" operator="notContains" id="{5D77C4D5-3A10-0141-87E6-EC09827A7370}">
            <xm:f>ISERROR(SEARCH("Value Missing",L94))</xm:f>
            <xm:f>"Value Missing"</xm:f>
            <x14:dxf>
              <font>
                <color rgb="FF006100"/>
              </font>
              <fill>
                <patternFill>
                  <bgColor rgb="FFC6EFCE"/>
                </patternFill>
              </fill>
            </x14:dxf>
          </x14:cfRule>
          <xm:sqref>AA94:AA106 L133:L138</xm:sqref>
        </x14:conditionalFormatting>
        <x14:conditionalFormatting xmlns:xm="http://schemas.microsoft.com/office/excel/2006/main">
          <x14:cfRule type="notContainsText" priority="1133" operator="notContains" id="{462F0E7A-F056-DD45-8FA9-CB8CB9D73537}">
            <xm:f>ISERROR(SEARCH("Value Missing",AD8))</xm:f>
            <xm:f>"Value Missing"</xm:f>
            <x14:dxf>
              <font>
                <color rgb="FF006100"/>
              </font>
              <fill>
                <patternFill>
                  <bgColor rgb="FFC6EFCE"/>
                </patternFill>
              </fill>
            </x14:dxf>
          </x14:cfRule>
          <x14:cfRule type="notContainsText" priority="1131" operator="notContains" id="{D136C9DA-39AF-684F-B931-090F0DE80EB8}">
            <xm:f>ISERROR(SEARCH("Value Missing",AD8))</xm:f>
            <xm:f>"Value Missing"</xm:f>
            <x14:dxf>
              <font>
                <color rgb="FF006100"/>
              </font>
              <fill>
                <patternFill>
                  <bgColor rgb="FFC6EFCE"/>
                </patternFill>
              </fill>
            </x14:dxf>
          </x14:cfRule>
          <x14:cfRule type="containsText" priority="1132" operator="containsText" id="{710DD210-C5F7-9648-AD30-6B65C6130D83}">
            <xm:f>NOT(ISERROR(SEARCH("Value Missing",AD8)))</xm:f>
            <xm:f>"Value Missing"</xm:f>
            <x14:dxf>
              <font>
                <color rgb="FF9C0006"/>
              </font>
              <fill>
                <patternFill>
                  <bgColor rgb="FFFFC7CE"/>
                </patternFill>
              </fill>
            </x14:dxf>
          </x14:cfRule>
          <xm:sqref>AD8:AE10</xm:sqref>
        </x14:conditionalFormatting>
        <x14:conditionalFormatting xmlns:xm="http://schemas.microsoft.com/office/excel/2006/main">
          <x14:cfRule type="notContainsText" priority="1214" operator="notContains" id="{917B724E-5459-2041-B285-D24C387C9831}">
            <xm:f>ISERROR(SEARCH("Value Missing",AD17))</xm:f>
            <xm:f>"Value Missing"</xm:f>
            <x14:dxf>
              <font>
                <color rgb="FF006100"/>
              </font>
              <fill>
                <patternFill>
                  <bgColor rgb="FFC6EFCE"/>
                </patternFill>
              </fill>
            </x14:dxf>
          </x14:cfRule>
          <x14:cfRule type="containsText" priority="1215" operator="containsText" id="{2FF7DEA5-38D3-4244-8C2A-D599AD7E627F}">
            <xm:f>NOT(ISERROR(SEARCH("Value Missing",AD17)))</xm:f>
            <xm:f>"Value Missing"</xm:f>
            <x14:dxf>
              <font>
                <color rgb="FF9C0006"/>
              </font>
              <fill>
                <patternFill>
                  <bgColor rgb="FFFFC7CE"/>
                </patternFill>
              </fill>
            </x14:dxf>
          </x14:cfRule>
          <xm:sqref>AD17:AE17</xm:sqref>
        </x14:conditionalFormatting>
        <x14:conditionalFormatting xmlns:xm="http://schemas.microsoft.com/office/excel/2006/main">
          <x14:cfRule type="notContainsText" priority="1188" operator="notContains" id="{CCDE91C0-5115-5546-9569-388F081C3C55}">
            <xm:f>ISERROR(SEARCH("Value Missing",AA21))</xm:f>
            <xm:f>"Value Missing"</xm:f>
            <x14:dxf>
              <font>
                <color rgb="FF006100"/>
              </font>
              <fill>
                <patternFill>
                  <bgColor rgb="FFC6EFCE"/>
                </patternFill>
              </fill>
            </x14:dxf>
          </x14:cfRule>
          <xm:sqref>AD21:AE21 AA46:AA50</xm:sqref>
        </x14:conditionalFormatting>
        <x14:conditionalFormatting xmlns:xm="http://schemas.microsoft.com/office/excel/2006/main">
          <x14:cfRule type="containsText" priority="1189" operator="containsText" id="{EDF8C0A2-F3E3-9D48-B813-7A551DA0C7FF}">
            <xm:f>NOT(ISERROR(SEARCH("Value Missing",AD21)))</xm:f>
            <xm:f>"Value Missing"</xm:f>
            <x14:dxf>
              <font>
                <color rgb="FF9C0006"/>
              </font>
              <fill>
                <patternFill>
                  <bgColor rgb="FFFFC7CE"/>
                </patternFill>
              </fill>
            </x14:dxf>
          </x14:cfRule>
          <xm:sqref>AD21:AE21</xm:sqref>
        </x14:conditionalFormatting>
        <x14:conditionalFormatting xmlns:xm="http://schemas.microsoft.com/office/excel/2006/main">
          <x14:cfRule type="notContainsText" priority="1186" operator="notContains" id="{871E156B-5CEA-E241-B3EA-F929B77D0F2C}">
            <xm:f>ISERROR(SEARCH("Value Missing",AD25))</xm:f>
            <xm:f>"Value Missing"</xm:f>
            <x14:dxf>
              <font>
                <color rgb="FF006100"/>
              </font>
              <fill>
                <patternFill>
                  <bgColor rgb="FFC6EFCE"/>
                </patternFill>
              </fill>
            </x14:dxf>
          </x14:cfRule>
          <x14:cfRule type="containsText" priority="1187" operator="containsText" id="{792995C6-CFBD-9A43-BF33-175CFD67583D}">
            <xm:f>NOT(ISERROR(SEARCH("Value Missing",AD25)))</xm:f>
            <xm:f>"Value Missing"</xm:f>
            <x14:dxf>
              <font>
                <color rgb="FF9C0006"/>
              </font>
              <fill>
                <patternFill>
                  <bgColor rgb="FFFFC7CE"/>
                </patternFill>
              </fill>
            </x14:dxf>
          </x14:cfRule>
          <xm:sqref>AD25:AE25</xm:sqref>
        </x14:conditionalFormatting>
        <x14:conditionalFormatting xmlns:xm="http://schemas.microsoft.com/office/excel/2006/main">
          <x14:cfRule type="containsText" priority="1183" operator="containsText" id="{99F086BA-0E53-6745-892D-C8931839D241}">
            <xm:f>NOT(ISERROR(SEARCH("Value Missing",AD29)))</xm:f>
            <xm:f>"Value Missing"</xm:f>
            <x14:dxf>
              <font>
                <color rgb="FF9C0006"/>
              </font>
              <fill>
                <patternFill>
                  <bgColor rgb="FFFFC7CE"/>
                </patternFill>
              </fill>
            </x14:dxf>
          </x14:cfRule>
          <x14:cfRule type="notContainsText" priority="1182" operator="notContains" id="{C5AE94E0-85E8-0247-A25F-2C67E6BD3A89}">
            <xm:f>ISERROR(SEARCH("Value Missing",AD29))</xm:f>
            <xm:f>"Value Missing"</xm:f>
            <x14:dxf>
              <font>
                <color rgb="FF006100"/>
              </font>
              <fill>
                <patternFill>
                  <bgColor rgb="FFC6EFCE"/>
                </patternFill>
              </fill>
            </x14:dxf>
          </x14:cfRule>
          <xm:sqref>AD29:AE29</xm:sqref>
        </x14:conditionalFormatting>
        <x14:conditionalFormatting xmlns:xm="http://schemas.microsoft.com/office/excel/2006/main">
          <x14:cfRule type="containsText" priority="1817" operator="containsText" id="{3B827EB2-2A8F-C747-9F49-11D59159CC80}">
            <xm:f>NOT(ISERROR(SEARCH("Value Missing",AD33)))</xm:f>
            <xm:f>"Value Missing"</xm:f>
            <x14:dxf>
              <font>
                <color rgb="FF9C0006"/>
              </font>
              <fill>
                <patternFill>
                  <bgColor rgb="FFFFC7CE"/>
                </patternFill>
              </fill>
            </x14:dxf>
          </x14:cfRule>
          <x14:cfRule type="notContainsText" priority="1816" operator="notContains" id="{DBA93385-0C50-FB49-9628-3C8443955D7F}">
            <xm:f>ISERROR(SEARCH("Value Missing",AD33))</xm:f>
            <xm:f>"Value Missing"</xm:f>
            <x14:dxf>
              <font>
                <color rgb="FF006100"/>
              </font>
              <fill>
                <patternFill>
                  <bgColor rgb="FFC6EFCE"/>
                </patternFill>
              </fill>
            </x14:dxf>
          </x14:cfRule>
          <xm:sqref>AD33:AE33</xm:sqref>
        </x14:conditionalFormatting>
        <x14:conditionalFormatting xmlns:xm="http://schemas.microsoft.com/office/excel/2006/main">
          <x14:cfRule type="containsText" priority="1207" operator="containsText" id="{3F5ED746-A181-BF43-AAB8-44543530893E}">
            <xm:f>NOT(ISERROR(SEARCH("Value Missing",AD37)))</xm:f>
            <xm:f>"Value Missing"</xm:f>
            <x14:dxf>
              <font>
                <color rgb="FF9C0006"/>
              </font>
              <fill>
                <patternFill>
                  <bgColor rgb="FFFFC7CE"/>
                </patternFill>
              </fill>
            </x14:dxf>
          </x14:cfRule>
          <x14:cfRule type="notContainsText" priority="1206" operator="notContains" id="{7E609425-F091-0240-A677-9FA723C11EAF}">
            <xm:f>ISERROR(SEARCH("Value Missing",AD37))</xm:f>
            <xm:f>"Value Missing"</xm:f>
            <x14:dxf>
              <font>
                <color rgb="FF006100"/>
              </font>
              <fill>
                <patternFill>
                  <bgColor rgb="FFC6EFCE"/>
                </patternFill>
              </fill>
            </x14:dxf>
          </x14:cfRule>
          <xm:sqref>AD37:AE37</xm:sqref>
        </x14:conditionalFormatting>
        <x14:conditionalFormatting xmlns:xm="http://schemas.microsoft.com/office/excel/2006/main">
          <x14:cfRule type="notContainsText" priority="1190" operator="notContains" id="{9A1D59FB-DFAA-1043-8046-D0E7880C86DB}">
            <xm:f>ISERROR(SEARCH("Value Missing",AD42))</xm:f>
            <xm:f>"Value Missing"</xm:f>
            <x14:dxf>
              <font>
                <color rgb="FF006100"/>
              </font>
              <fill>
                <patternFill>
                  <bgColor rgb="FFC6EFCE"/>
                </patternFill>
              </fill>
            </x14:dxf>
          </x14:cfRule>
          <x14:cfRule type="containsText" priority="1191" operator="containsText" id="{70F6B6DD-FA0C-C549-8CC7-063876CCA5EC}">
            <xm:f>NOT(ISERROR(SEARCH("Value Missing",AD42)))</xm:f>
            <xm:f>"Value Missing"</xm:f>
            <x14:dxf>
              <font>
                <color rgb="FF9C0006"/>
              </font>
              <fill>
                <patternFill>
                  <bgColor rgb="FFFFC7CE"/>
                </patternFill>
              </fill>
            </x14:dxf>
          </x14:cfRule>
          <xm:sqref>AD42:AE42 AE43</xm:sqref>
        </x14:conditionalFormatting>
        <x14:conditionalFormatting xmlns:xm="http://schemas.microsoft.com/office/excel/2006/main">
          <x14:cfRule type="notContainsText" priority="1194" operator="notContains" id="{69519E85-40AC-F64E-B098-034C65152F0F}">
            <xm:f>ISERROR(SEARCH("Value Missing",AD47))</xm:f>
            <xm:f>"Value Missing"</xm:f>
            <x14:dxf>
              <font>
                <color rgb="FF006100"/>
              </font>
              <fill>
                <patternFill>
                  <bgColor rgb="FFC6EFCE"/>
                </patternFill>
              </fill>
            </x14:dxf>
          </x14:cfRule>
          <x14:cfRule type="containsText" priority="1195" operator="containsText" id="{A2DF7135-BFB0-4346-9E8D-9A6DFA64468A}">
            <xm:f>NOT(ISERROR(SEARCH("Value Missing",AD47)))</xm:f>
            <xm:f>"Value Missing"</xm:f>
            <x14:dxf>
              <font>
                <color rgb="FF9C0006"/>
              </font>
              <fill>
                <patternFill>
                  <bgColor rgb="FFFFC7CE"/>
                </patternFill>
              </fill>
            </x14:dxf>
          </x14:cfRule>
          <xm:sqref>AD47:AE47</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09A17-4D38-9546-888C-004E4A58E20B}">
  <sheetPr codeName="Sheet11">
    <tabColor theme="3"/>
  </sheetPr>
  <dimension ref="A1:U467"/>
  <sheetViews>
    <sheetView showGridLines="0" zoomScaleNormal="100" workbookViewId="0">
      <pane ySplit="4" topLeftCell="A5" activePane="bottomLeft" state="frozen"/>
      <selection pane="bottomLeft" activeCell="E34" sqref="E34:G37"/>
    </sheetView>
  </sheetViews>
  <sheetFormatPr defaultColWidth="10.85546875" defaultRowHeight="15" x14ac:dyDescent="0.45"/>
  <cols>
    <col min="1" max="1" width="2.85546875" style="2" customWidth="1"/>
    <col min="2" max="2" width="51" style="2" customWidth="1"/>
    <col min="3" max="3" width="34.35546875" style="2" bestFit="1" customWidth="1"/>
    <col min="4" max="4" width="24.140625" style="10" bestFit="1" customWidth="1"/>
    <col min="5" max="5" width="28.85546875" style="3" customWidth="1"/>
    <col min="6" max="6" width="23.5" style="2" bestFit="1" customWidth="1"/>
    <col min="7" max="7" width="29.5" style="2" bestFit="1" customWidth="1"/>
    <col min="8" max="8" width="44.35546875" style="2" bestFit="1" customWidth="1"/>
    <col min="9" max="9" width="22.640625" style="2" customWidth="1"/>
    <col min="10" max="10" width="23" style="2" bestFit="1" customWidth="1"/>
    <col min="11" max="11" width="26.140625" style="2" bestFit="1" customWidth="1"/>
    <col min="12" max="21" width="22.85546875" style="2" customWidth="1"/>
    <col min="22" max="29" width="10.85546875" style="2" customWidth="1"/>
    <col min="30" max="16384" width="10.85546875" style="2"/>
  </cols>
  <sheetData>
    <row r="1" spans="1:21" ht="16" customHeight="1" x14ac:dyDescent="0.45">
      <c r="A1" s="2" t="s">
        <v>1027</v>
      </c>
      <c r="D1" s="2"/>
      <c r="E1" s="2"/>
    </row>
    <row r="2" spans="1:21" ht="54" customHeight="1" x14ac:dyDescent="0.45">
      <c r="B2" s="597" t="s">
        <v>2470</v>
      </c>
      <c r="C2" s="597"/>
      <c r="D2" s="597"/>
      <c r="E2" s="597"/>
      <c r="F2" s="597"/>
      <c r="G2" s="597"/>
      <c r="H2" s="597"/>
      <c r="I2" s="597"/>
      <c r="J2" s="597"/>
      <c r="K2" s="597"/>
      <c r="L2" s="597"/>
      <c r="M2" s="597"/>
      <c r="N2" s="597"/>
      <c r="O2" s="597"/>
      <c r="P2" s="597"/>
      <c r="Q2" s="597"/>
      <c r="R2" s="597"/>
      <c r="S2" s="597"/>
      <c r="T2" s="597"/>
      <c r="U2" s="597"/>
    </row>
    <row r="3" spans="1:21" ht="20.05" customHeight="1" x14ac:dyDescent="0.45">
      <c r="B3" s="419" t="s">
        <v>2471</v>
      </c>
      <c r="C3" s="419"/>
      <c r="D3" s="419"/>
      <c r="E3" s="419"/>
      <c r="F3" s="419"/>
      <c r="G3" s="419"/>
      <c r="H3" s="419"/>
      <c r="I3" s="419"/>
      <c r="J3" s="419"/>
      <c r="K3" s="419"/>
      <c r="L3" s="419"/>
      <c r="M3" s="419"/>
      <c r="N3" s="419"/>
      <c r="O3" s="419"/>
      <c r="P3" s="419"/>
      <c r="Q3" s="419"/>
      <c r="R3" s="419"/>
      <c r="S3" s="419"/>
      <c r="T3" s="419"/>
      <c r="U3" s="419"/>
    </row>
    <row r="6" spans="1:21" s="104" customFormat="1" ht="34" customHeight="1" x14ac:dyDescent="0.45">
      <c r="B6" s="594" t="s">
        <v>2472</v>
      </c>
      <c r="C6" s="594"/>
      <c r="D6" s="10"/>
      <c r="E6" s="395" t="s">
        <v>2473</v>
      </c>
      <c r="F6" s="2"/>
      <c r="L6" s="598" t="s">
        <v>2474</v>
      </c>
      <c r="M6" s="599"/>
      <c r="N6" s="599"/>
      <c r="O6" s="599"/>
      <c r="P6" s="600"/>
    </row>
    <row r="7" spans="1:21" ht="20.05" customHeight="1" x14ac:dyDescent="0.45">
      <c r="B7" s="166" t="s">
        <v>2475</v>
      </c>
      <c r="C7" s="166" t="s">
        <v>1268</v>
      </c>
      <c r="E7" s="337" t="s">
        <v>183</v>
      </c>
      <c r="L7" s="601" t="s">
        <v>2476</v>
      </c>
      <c r="M7" s="604" t="s">
        <v>2477</v>
      </c>
      <c r="N7" s="605"/>
      <c r="O7" s="605"/>
      <c r="P7" s="606"/>
    </row>
    <row r="8" spans="1:21" ht="20.05" customHeight="1" x14ac:dyDescent="0.45">
      <c r="B8" s="190" t="s">
        <v>2478</v>
      </c>
      <c r="C8" s="190" t="s">
        <v>2479</v>
      </c>
      <c r="E8" s="337" t="s">
        <v>13</v>
      </c>
      <c r="F8" s="2" t="s">
        <v>2480</v>
      </c>
      <c r="L8" s="602"/>
      <c r="M8" s="607"/>
      <c r="N8" s="608"/>
      <c r="O8" s="608"/>
      <c r="P8" s="609"/>
    </row>
    <row r="9" spans="1:21" x14ac:dyDescent="0.45">
      <c r="B9" s="190" t="s">
        <v>2478</v>
      </c>
      <c r="C9" s="190" t="s">
        <v>581</v>
      </c>
      <c r="L9" s="602"/>
      <c r="M9" s="607"/>
      <c r="N9" s="608"/>
      <c r="O9" s="608"/>
      <c r="P9" s="609"/>
    </row>
    <row r="10" spans="1:21" ht="15.45" x14ac:dyDescent="0.45">
      <c r="B10" s="190" t="s">
        <v>2478</v>
      </c>
      <c r="C10" s="190" t="s">
        <v>93</v>
      </c>
      <c r="E10" s="395" t="s">
        <v>2481</v>
      </c>
      <c r="F10" s="395" t="s">
        <v>2482</v>
      </c>
      <c r="G10" s="395" t="s">
        <v>2483</v>
      </c>
      <c r="H10" s="395" t="s">
        <v>2484</v>
      </c>
      <c r="L10" s="602"/>
      <c r="M10" s="607"/>
      <c r="N10" s="608"/>
      <c r="O10" s="608"/>
      <c r="P10" s="609"/>
    </row>
    <row r="11" spans="1:21" x14ac:dyDescent="0.35">
      <c r="B11" s="190" t="s">
        <v>2478</v>
      </c>
      <c r="C11" s="190" t="s">
        <v>751</v>
      </c>
      <c r="E11" s="331" t="s">
        <v>2485</v>
      </c>
      <c r="F11" s="331" t="s">
        <v>2483</v>
      </c>
      <c r="G11" s="331" t="s">
        <v>2486</v>
      </c>
      <c r="H11" s="32" t="s">
        <v>2487</v>
      </c>
      <c r="I11" s="2" t="s">
        <v>2488</v>
      </c>
      <c r="L11" s="602"/>
      <c r="M11" s="607"/>
      <c r="N11" s="608"/>
      <c r="O11" s="608"/>
      <c r="P11" s="609"/>
    </row>
    <row r="12" spans="1:21" x14ac:dyDescent="0.35">
      <c r="B12" s="190" t="s">
        <v>2478</v>
      </c>
      <c r="C12" s="190" t="s">
        <v>2489</v>
      </c>
      <c r="E12" s="331" t="s">
        <v>101</v>
      </c>
      <c r="F12" s="331" t="s">
        <v>2484</v>
      </c>
      <c r="G12" s="331" t="s">
        <v>2490</v>
      </c>
      <c r="H12" s="32" t="s">
        <v>2490</v>
      </c>
      <c r="L12" s="602"/>
      <c r="M12" s="607"/>
      <c r="N12" s="608"/>
      <c r="O12" s="608"/>
      <c r="P12" s="609"/>
    </row>
    <row r="13" spans="1:21" x14ac:dyDescent="0.35">
      <c r="B13" s="190" t="s">
        <v>2491</v>
      </c>
      <c r="C13" s="190" t="s">
        <v>852</v>
      </c>
      <c r="G13" s="331" t="s">
        <v>2492</v>
      </c>
      <c r="H13" s="32" t="s">
        <v>2492</v>
      </c>
      <c r="L13" s="602"/>
      <c r="M13" s="607"/>
      <c r="N13" s="608"/>
      <c r="O13" s="608"/>
      <c r="P13" s="609"/>
    </row>
    <row r="14" spans="1:21" ht="15.45" x14ac:dyDescent="0.35">
      <c r="B14" s="190" t="s">
        <v>2491</v>
      </c>
      <c r="C14" s="190" t="s">
        <v>751</v>
      </c>
      <c r="E14" s="192" t="s">
        <v>1306</v>
      </c>
      <c r="G14" s="331" t="s">
        <v>2493</v>
      </c>
      <c r="H14" s="32" t="s">
        <v>2493</v>
      </c>
      <c r="L14" s="602"/>
      <c r="M14" s="607"/>
      <c r="N14" s="608"/>
      <c r="O14" s="608"/>
      <c r="P14" s="609"/>
    </row>
    <row r="15" spans="1:21" x14ac:dyDescent="0.35">
      <c r="B15" s="190" t="s">
        <v>2491</v>
      </c>
      <c r="C15" s="190" t="s">
        <v>2489</v>
      </c>
      <c r="E15" s="331" t="s">
        <v>2494</v>
      </c>
      <c r="G15" s="331" t="s">
        <v>2495</v>
      </c>
      <c r="H15" s="32" t="s">
        <v>2495</v>
      </c>
      <c r="L15" s="602"/>
      <c r="M15" s="607"/>
      <c r="N15" s="608"/>
      <c r="O15" s="608"/>
      <c r="P15" s="609"/>
    </row>
    <row r="16" spans="1:21" x14ac:dyDescent="0.45">
      <c r="B16" s="190" t="s">
        <v>2496</v>
      </c>
      <c r="C16" s="190" t="s">
        <v>2497</v>
      </c>
      <c r="E16" s="331" t="s">
        <v>2498</v>
      </c>
      <c r="L16" s="602"/>
      <c r="M16" s="607"/>
      <c r="N16" s="608"/>
      <c r="O16" s="608"/>
      <c r="P16" s="609"/>
    </row>
    <row r="17" spans="2:16" x14ac:dyDescent="0.45">
      <c r="B17" s="190" t="s">
        <v>2496</v>
      </c>
      <c r="C17" s="190" t="s">
        <v>581</v>
      </c>
      <c r="E17" s="331" t="s">
        <v>2499</v>
      </c>
      <c r="L17" s="602"/>
      <c r="M17" s="607"/>
      <c r="N17" s="608"/>
      <c r="O17" s="608"/>
      <c r="P17" s="609"/>
    </row>
    <row r="18" spans="2:16" x14ac:dyDescent="0.45">
      <c r="B18" s="190" t="s">
        <v>2496</v>
      </c>
      <c r="C18" s="190" t="s">
        <v>93</v>
      </c>
      <c r="E18" s="331" t="s">
        <v>732</v>
      </c>
      <c r="L18" s="602"/>
      <c r="M18" s="607"/>
      <c r="N18" s="608"/>
      <c r="O18" s="608"/>
      <c r="P18" s="609"/>
    </row>
    <row r="19" spans="2:16" x14ac:dyDescent="0.45">
      <c r="B19" s="190" t="s">
        <v>2496</v>
      </c>
      <c r="C19" s="190" t="s">
        <v>751</v>
      </c>
      <c r="E19" s="331" t="s">
        <v>2495</v>
      </c>
      <c r="L19" s="602"/>
      <c r="M19" s="607"/>
      <c r="N19" s="608"/>
      <c r="O19" s="608"/>
      <c r="P19" s="609"/>
    </row>
    <row r="20" spans="2:16" x14ac:dyDescent="0.45">
      <c r="B20" s="190" t="s">
        <v>2496</v>
      </c>
      <c r="C20" s="190" t="s">
        <v>2489</v>
      </c>
      <c r="L20" s="602"/>
      <c r="M20" s="607"/>
      <c r="N20" s="608"/>
      <c r="O20" s="608"/>
      <c r="P20" s="609"/>
    </row>
    <row r="21" spans="2:16" ht="15.45" x14ac:dyDescent="0.45">
      <c r="B21" s="190" t="s">
        <v>2500</v>
      </c>
      <c r="C21" s="190" t="s">
        <v>2480</v>
      </c>
      <c r="E21" s="395" t="s">
        <v>1306</v>
      </c>
      <c r="L21" s="602"/>
      <c r="M21" s="607"/>
      <c r="N21" s="608"/>
      <c r="O21" s="608"/>
      <c r="P21" s="609"/>
    </row>
    <row r="22" spans="2:16" x14ac:dyDescent="0.45">
      <c r="B22" s="190" t="s">
        <v>2500</v>
      </c>
      <c r="C22" s="190" t="s">
        <v>581</v>
      </c>
      <c r="E22" s="331" t="s">
        <v>2498</v>
      </c>
      <c r="L22" s="602"/>
      <c r="M22" s="607"/>
      <c r="N22" s="608"/>
      <c r="O22" s="608"/>
      <c r="P22" s="609"/>
    </row>
    <row r="23" spans="2:16" x14ac:dyDescent="0.45">
      <c r="B23" s="190" t="s">
        <v>2500</v>
      </c>
      <c r="C23" s="190" t="s">
        <v>93</v>
      </c>
      <c r="E23" s="331" t="s">
        <v>2494</v>
      </c>
      <c r="L23" s="602"/>
      <c r="M23" s="607"/>
      <c r="N23" s="608"/>
      <c r="O23" s="608"/>
      <c r="P23" s="609"/>
    </row>
    <row r="24" spans="2:16" x14ac:dyDescent="0.45">
      <c r="B24" s="190" t="s">
        <v>2500</v>
      </c>
      <c r="C24" s="190" t="s">
        <v>751</v>
      </c>
      <c r="E24" s="331" t="s">
        <v>732</v>
      </c>
      <c r="L24" s="602"/>
      <c r="M24" s="607"/>
      <c r="N24" s="608"/>
      <c r="O24" s="608"/>
      <c r="P24" s="609"/>
    </row>
    <row r="25" spans="2:16" ht="20.05" customHeight="1" x14ac:dyDescent="0.45">
      <c r="B25" s="190" t="s">
        <v>2500</v>
      </c>
      <c r="C25" s="190" t="s">
        <v>2489</v>
      </c>
      <c r="F25" s="616"/>
      <c r="G25" s="616"/>
      <c r="L25" s="602"/>
      <c r="M25" s="607"/>
      <c r="N25" s="608"/>
      <c r="O25" s="608"/>
      <c r="P25" s="609"/>
    </row>
    <row r="26" spans="2:16" ht="15.45" x14ac:dyDescent="0.45">
      <c r="B26" s="190" t="s">
        <v>2500</v>
      </c>
      <c r="C26" s="190" t="s">
        <v>2501</v>
      </c>
      <c r="D26" s="3"/>
      <c r="E26" s="395" t="s">
        <v>2502</v>
      </c>
      <c r="F26" s="613" t="s">
        <v>2503</v>
      </c>
      <c r="G26" s="613"/>
      <c r="L26" s="602"/>
      <c r="M26" s="607"/>
      <c r="N26" s="608"/>
      <c r="O26" s="608"/>
      <c r="P26" s="609"/>
    </row>
    <row r="27" spans="2:16" x14ac:dyDescent="0.45">
      <c r="B27" s="191"/>
      <c r="C27" s="191"/>
      <c r="D27" s="3"/>
      <c r="E27" s="337" t="s">
        <v>2479</v>
      </c>
      <c r="F27" s="614" t="s">
        <v>2504</v>
      </c>
      <c r="G27" s="615"/>
      <c r="L27" s="602"/>
      <c r="M27" s="607"/>
      <c r="N27" s="608"/>
      <c r="O27" s="608"/>
      <c r="P27" s="609"/>
    </row>
    <row r="28" spans="2:16" ht="17.600000000000001" x14ac:dyDescent="0.45">
      <c r="B28" s="579" t="s">
        <v>2505</v>
      </c>
      <c r="C28" s="581"/>
      <c r="D28" s="3"/>
      <c r="E28" s="337" t="s">
        <v>581</v>
      </c>
      <c r="F28" s="614" t="s">
        <v>2506</v>
      </c>
      <c r="G28" s="615"/>
      <c r="L28" s="602"/>
      <c r="M28" s="607"/>
      <c r="N28" s="608"/>
      <c r="O28" s="608"/>
      <c r="P28" s="609"/>
    </row>
    <row r="29" spans="2:16" ht="15.45" x14ac:dyDescent="0.45">
      <c r="B29" s="395" t="s">
        <v>1664</v>
      </c>
      <c r="C29" s="166" t="s">
        <v>1268</v>
      </c>
      <c r="D29" s="3"/>
      <c r="E29" s="337" t="s">
        <v>93</v>
      </c>
      <c r="F29" s="614" t="s">
        <v>2507</v>
      </c>
      <c r="G29" s="615"/>
      <c r="L29" s="602"/>
      <c r="M29" s="607"/>
      <c r="N29" s="608"/>
      <c r="O29" s="608"/>
      <c r="P29" s="609"/>
    </row>
    <row r="30" spans="2:16" x14ac:dyDescent="0.45">
      <c r="B30" s="331" t="s">
        <v>2508</v>
      </c>
      <c r="C30" s="337">
        <v>4</v>
      </c>
      <c r="D30" s="3"/>
      <c r="E30" s="337" t="s">
        <v>751</v>
      </c>
      <c r="F30" s="614" t="s">
        <v>2509</v>
      </c>
      <c r="G30" s="615"/>
      <c r="L30" s="602"/>
      <c r="M30" s="607"/>
      <c r="N30" s="608"/>
      <c r="O30" s="608"/>
      <c r="P30" s="609"/>
    </row>
    <row r="31" spans="2:16" x14ac:dyDescent="0.45">
      <c r="B31" s="331" t="s">
        <v>2510</v>
      </c>
      <c r="C31" s="337">
        <v>16</v>
      </c>
      <c r="D31" s="3"/>
      <c r="E31" s="337" t="s">
        <v>2489</v>
      </c>
      <c r="F31" s="614" t="s">
        <v>2511</v>
      </c>
      <c r="G31" s="615"/>
      <c r="L31" s="602"/>
      <c r="M31" s="607"/>
      <c r="N31" s="608"/>
      <c r="O31" s="608"/>
      <c r="P31" s="609"/>
    </row>
    <row r="32" spans="2:16" x14ac:dyDescent="0.45">
      <c r="B32" s="331" t="s">
        <v>2512</v>
      </c>
      <c r="C32" s="337">
        <v>914</v>
      </c>
      <c r="D32" s="3"/>
      <c r="E32" s="2"/>
      <c r="L32" s="602"/>
      <c r="M32" s="607"/>
      <c r="N32" s="608"/>
      <c r="O32" s="608"/>
      <c r="P32" s="609"/>
    </row>
    <row r="33" spans="2:16" ht="15.45" x14ac:dyDescent="0.45">
      <c r="B33" s="166" t="s">
        <v>2513</v>
      </c>
      <c r="C33" s="166" t="s">
        <v>1268</v>
      </c>
      <c r="D33" s="3"/>
      <c r="E33" s="395" t="s">
        <v>2514</v>
      </c>
      <c r="F33" s="617" t="s">
        <v>2503</v>
      </c>
      <c r="G33" s="617"/>
      <c r="L33" s="602"/>
      <c r="M33" s="607"/>
      <c r="N33" s="608"/>
      <c r="O33" s="608"/>
      <c r="P33" s="609"/>
    </row>
    <row r="34" spans="2:16" x14ac:dyDescent="0.45">
      <c r="B34" s="331" t="s">
        <v>2479</v>
      </c>
      <c r="C34" s="331">
        <v>2</v>
      </c>
      <c r="D34" s="3"/>
      <c r="E34" s="337" t="s">
        <v>2497</v>
      </c>
      <c r="F34" s="337" t="s">
        <v>2515</v>
      </c>
      <c r="G34" s="337"/>
      <c r="L34" s="602"/>
      <c r="M34" s="607"/>
      <c r="N34" s="608"/>
      <c r="O34" s="608"/>
      <c r="P34" s="609"/>
    </row>
    <row r="35" spans="2:16" x14ac:dyDescent="0.45">
      <c r="B35" s="331" t="s">
        <v>581</v>
      </c>
      <c r="C35" s="331">
        <v>4</v>
      </c>
      <c r="D35" s="3"/>
      <c r="E35" s="337" t="s">
        <v>581</v>
      </c>
      <c r="F35" s="410" t="s">
        <v>2516</v>
      </c>
      <c r="G35" s="412"/>
      <c r="L35" s="602"/>
      <c r="M35" s="607"/>
      <c r="N35" s="608"/>
      <c r="O35" s="608"/>
      <c r="P35" s="609"/>
    </row>
    <row r="36" spans="2:16" x14ac:dyDescent="0.45">
      <c r="B36" s="331" t="s">
        <v>93</v>
      </c>
      <c r="C36" s="331">
        <v>8</v>
      </c>
      <c r="D36" s="3"/>
      <c r="E36" s="337" t="s">
        <v>93</v>
      </c>
      <c r="F36" s="337" t="s">
        <v>2517</v>
      </c>
      <c r="G36" s="337"/>
      <c r="L36" s="602"/>
      <c r="M36" s="607"/>
      <c r="N36" s="608"/>
      <c r="O36" s="608"/>
      <c r="P36" s="609"/>
    </row>
    <row r="37" spans="2:16" x14ac:dyDescent="0.45">
      <c r="B37" s="331" t="s">
        <v>751</v>
      </c>
      <c r="C37" s="331">
        <v>16</v>
      </c>
      <c r="D37" s="3"/>
      <c r="E37" s="337" t="s">
        <v>751</v>
      </c>
      <c r="F37" s="337" t="s">
        <v>2518</v>
      </c>
      <c r="G37" s="337"/>
      <c r="L37" s="602"/>
      <c r="M37" s="607"/>
      <c r="N37" s="608"/>
      <c r="O37" s="608"/>
      <c r="P37" s="609"/>
    </row>
    <row r="38" spans="2:16" x14ac:dyDescent="0.45">
      <c r="B38" s="331" t="s">
        <v>2489</v>
      </c>
      <c r="C38" s="331">
        <v>24</v>
      </c>
      <c r="D38" s="3"/>
      <c r="E38" s="337" t="s">
        <v>2489</v>
      </c>
      <c r="F38" s="337" t="s">
        <v>2519</v>
      </c>
      <c r="G38" s="337"/>
      <c r="L38" s="602"/>
      <c r="M38" s="607"/>
      <c r="N38" s="608"/>
      <c r="O38" s="608"/>
      <c r="P38" s="609"/>
    </row>
    <row r="39" spans="2:16" ht="15.45" x14ac:dyDescent="0.45">
      <c r="B39" s="166" t="s">
        <v>2520</v>
      </c>
      <c r="C39" s="166" t="s">
        <v>1268</v>
      </c>
      <c r="L39" s="602"/>
      <c r="M39" s="607"/>
      <c r="N39" s="608"/>
      <c r="O39" s="608"/>
      <c r="P39" s="609"/>
    </row>
    <row r="40" spans="2:16" x14ac:dyDescent="0.45">
      <c r="B40" s="331" t="s">
        <v>2479</v>
      </c>
      <c r="C40" s="331">
        <v>14</v>
      </c>
      <c r="L40" s="602"/>
      <c r="M40" s="607"/>
      <c r="N40" s="608"/>
      <c r="O40" s="608"/>
      <c r="P40" s="609"/>
    </row>
    <row r="41" spans="2:16" x14ac:dyDescent="0.45">
      <c r="B41" s="331" t="s">
        <v>581</v>
      </c>
      <c r="C41" s="331">
        <v>21</v>
      </c>
      <c r="L41" s="602"/>
      <c r="M41" s="607"/>
      <c r="N41" s="608"/>
      <c r="O41" s="608"/>
      <c r="P41" s="609"/>
    </row>
    <row r="42" spans="2:16" x14ac:dyDescent="0.45">
      <c r="B42" s="331" t="s">
        <v>93</v>
      </c>
      <c r="C42" s="331">
        <v>30</v>
      </c>
      <c r="L42" s="602"/>
      <c r="M42" s="607"/>
      <c r="N42" s="608"/>
      <c r="O42" s="608"/>
      <c r="P42" s="609"/>
    </row>
    <row r="43" spans="2:16" ht="15.45" x14ac:dyDescent="0.45">
      <c r="B43" s="331" t="s">
        <v>751</v>
      </c>
      <c r="C43" s="331">
        <v>39</v>
      </c>
      <c r="E43" s="395" t="s">
        <v>2521</v>
      </c>
      <c r="F43" s="395" t="s">
        <v>2522</v>
      </c>
      <c r="G43" s="395" t="s">
        <v>2523</v>
      </c>
      <c r="L43" s="602"/>
      <c r="M43" s="607"/>
      <c r="N43" s="608"/>
      <c r="O43" s="608"/>
      <c r="P43" s="609"/>
    </row>
    <row r="44" spans="2:16" x14ac:dyDescent="0.45">
      <c r="B44" s="331" t="s">
        <v>2489</v>
      </c>
      <c r="C44" s="331">
        <v>58</v>
      </c>
      <c r="E44" s="337" t="s">
        <v>2524</v>
      </c>
      <c r="F44" s="337" t="s">
        <v>852</v>
      </c>
      <c r="G44" s="337" t="s">
        <v>852</v>
      </c>
      <c r="L44" s="602"/>
      <c r="M44" s="607"/>
      <c r="N44" s="608"/>
      <c r="O44" s="608"/>
      <c r="P44" s="609"/>
    </row>
    <row r="45" spans="2:16" ht="15.45" x14ac:dyDescent="0.45">
      <c r="B45" s="166" t="s">
        <v>2525</v>
      </c>
      <c r="C45" s="166" t="s">
        <v>1268</v>
      </c>
      <c r="E45" s="337" t="s">
        <v>2526</v>
      </c>
      <c r="F45" s="337" t="s">
        <v>2527</v>
      </c>
      <c r="G45" s="337" t="s">
        <v>2527</v>
      </c>
      <c r="L45" s="602"/>
      <c r="M45" s="607"/>
      <c r="N45" s="608"/>
      <c r="O45" s="608"/>
      <c r="P45" s="609"/>
    </row>
    <row r="46" spans="2:16" x14ac:dyDescent="0.45">
      <c r="B46" s="331" t="s">
        <v>2528</v>
      </c>
      <c r="C46" s="331">
        <v>579</v>
      </c>
      <c r="E46" s="337"/>
      <c r="F46" s="337" t="s">
        <v>2529</v>
      </c>
      <c r="G46" s="337" t="s">
        <v>2530</v>
      </c>
      <c r="L46" s="602"/>
      <c r="M46" s="607"/>
      <c r="N46" s="608"/>
      <c r="O46" s="608"/>
      <c r="P46" s="609"/>
    </row>
    <row r="47" spans="2:16" x14ac:dyDescent="0.45">
      <c r="B47" s="331" t="s">
        <v>2531</v>
      </c>
      <c r="C47" s="331">
        <v>2019</v>
      </c>
      <c r="E47" s="337"/>
      <c r="F47" s="337" t="s">
        <v>2532</v>
      </c>
      <c r="G47" s="337"/>
      <c r="L47" s="602"/>
      <c r="M47" s="607"/>
      <c r="N47" s="608"/>
      <c r="O47" s="608"/>
      <c r="P47" s="609"/>
    </row>
    <row r="48" spans="2:16" x14ac:dyDescent="0.45">
      <c r="B48" s="331" t="s">
        <v>2533</v>
      </c>
      <c r="C48" s="331">
        <v>4279</v>
      </c>
      <c r="E48" s="337"/>
      <c r="F48" s="337" t="s">
        <v>2530</v>
      </c>
      <c r="G48" s="337"/>
      <c r="L48" s="602"/>
      <c r="M48" s="607"/>
      <c r="N48" s="608"/>
      <c r="O48" s="608"/>
      <c r="P48" s="609"/>
    </row>
    <row r="49" spans="2:16" x14ac:dyDescent="0.45">
      <c r="B49" s="331" t="s">
        <v>2534</v>
      </c>
      <c r="C49" s="331">
        <v>694</v>
      </c>
      <c r="L49" s="602"/>
      <c r="M49" s="607"/>
      <c r="N49" s="608"/>
      <c r="O49" s="608"/>
      <c r="P49" s="609"/>
    </row>
    <row r="50" spans="2:16" x14ac:dyDescent="0.45">
      <c r="B50" s="331" t="s">
        <v>2535</v>
      </c>
      <c r="C50" s="331">
        <v>2044</v>
      </c>
      <c r="L50" s="602"/>
      <c r="M50" s="607"/>
      <c r="N50" s="608"/>
      <c r="O50" s="608"/>
      <c r="P50" s="609"/>
    </row>
    <row r="51" spans="2:16" x14ac:dyDescent="0.45">
      <c r="B51" s="331" t="s">
        <v>2536</v>
      </c>
      <c r="C51" s="331">
        <v>4304</v>
      </c>
      <c r="L51" s="602"/>
      <c r="M51" s="607"/>
      <c r="N51" s="608"/>
      <c r="O51" s="608"/>
      <c r="P51" s="609"/>
    </row>
    <row r="52" spans="2:16" x14ac:dyDescent="0.45">
      <c r="B52" s="331" t="s">
        <v>2537</v>
      </c>
      <c r="C52" s="331">
        <v>908</v>
      </c>
      <c r="E52" s="331"/>
      <c r="F52" s="331"/>
      <c r="L52" s="602"/>
      <c r="M52" s="607"/>
      <c r="N52" s="608"/>
      <c r="O52" s="608"/>
      <c r="P52" s="609"/>
    </row>
    <row r="53" spans="2:16" x14ac:dyDescent="0.45">
      <c r="B53" s="331" t="s">
        <v>2538</v>
      </c>
      <c r="C53" s="331">
        <v>2208</v>
      </c>
      <c r="E53" s="331"/>
      <c r="F53" s="331"/>
      <c r="G53" s="2" t="s">
        <v>2539</v>
      </c>
      <c r="L53" s="602"/>
      <c r="M53" s="607"/>
      <c r="N53" s="608"/>
      <c r="O53" s="608"/>
      <c r="P53" s="609"/>
    </row>
    <row r="54" spans="2:16" x14ac:dyDescent="0.45">
      <c r="B54" s="331" t="s">
        <v>2540</v>
      </c>
      <c r="C54" s="331">
        <v>4468</v>
      </c>
      <c r="E54" s="331" t="s">
        <v>2539</v>
      </c>
      <c r="L54" s="602"/>
      <c r="M54" s="607"/>
      <c r="N54" s="608"/>
      <c r="O54" s="608"/>
      <c r="P54" s="609"/>
    </row>
    <row r="55" spans="2:16" x14ac:dyDescent="0.45">
      <c r="B55" s="331" t="s">
        <v>2541</v>
      </c>
      <c r="C55" s="331">
        <v>1358</v>
      </c>
      <c r="L55" s="602"/>
      <c r="M55" s="607"/>
      <c r="N55" s="608"/>
      <c r="O55" s="608"/>
      <c r="P55" s="609"/>
    </row>
    <row r="56" spans="2:16" x14ac:dyDescent="0.45">
      <c r="B56" s="331" t="s">
        <v>2542</v>
      </c>
      <c r="C56" s="331">
        <v>2258</v>
      </c>
      <c r="L56" s="602"/>
      <c r="M56" s="607"/>
      <c r="N56" s="608"/>
      <c r="O56" s="608"/>
      <c r="P56" s="609"/>
    </row>
    <row r="57" spans="2:16" x14ac:dyDescent="0.45">
      <c r="B57" s="331" t="s">
        <v>2543</v>
      </c>
      <c r="C57" s="331">
        <v>4518</v>
      </c>
      <c r="L57" s="602"/>
      <c r="M57" s="607"/>
      <c r="N57" s="608"/>
      <c r="O57" s="608"/>
      <c r="P57" s="609"/>
    </row>
    <row r="58" spans="2:16" x14ac:dyDescent="0.45">
      <c r="B58" s="331" t="s">
        <v>2544</v>
      </c>
      <c r="C58" s="331">
        <v>2283</v>
      </c>
      <c r="L58" s="602"/>
      <c r="M58" s="607"/>
      <c r="N58" s="608"/>
      <c r="O58" s="608"/>
      <c r="P58" s="609"/>
    </row>
    <row r="59" spans="2:16" x14ac:dyDescent="0.45">
      <c r="B59" s="331" t="s">
        <v>2545</v>
      </c>
      <c r="C59" s="331">
        <v>2383</v>
      </c>
      <c r="L59" s="602"/>
      <c r="M59" s="607"/>
      <c r="N59" s="608"/>
      <c r="O59" s="608"/>
      <c r="P59" s="609"/>
    </row>
    <row r="60" spans="2:16" x14ac:dyDescent="0.45">
      <c r="B60" s="331" t="s">
        <v>2546</v>
      </c>
      <c r="C60" s="331">
        <v>4643</v>
      </c>
      <c r="L60" s="602"/>
      <c r="M60" s="607"/>
      <c r="N60" s="608"/>
      <c r="O60" s="608"/>
      <c r="P60" s="609"/>
    </row>
    <row r="61" spans="2:16" ht="15.45" x14ac:dyDescent="0.45">
      <c r="B61" s="166" t="s">
        <v>2547</v>
      </c>
      <c r="C61" s="166" t="s">
        <v>1268</v>
      </c>
      <c r="L61" s="602"/>
      <c r="M61" s="607"/>
      <c r="N61" s="608"/>
      <c r="O61" s="608"/>
      <c r="P61" s="609"/>
    </row>
    <row r="62" spans="2:16" x14ac:dyDescent="0.45">
      <c r="B62" s="331" t="s">
        <v>2497</v>
      </c>
      <c r="C62" s="331">
        <v>2</v>
      </c>
      <c r="L62" s="602"/>
      <c r="M62" s="607"/>
      <c r="N62" s="608"/>
      <c r="O62" s="608"/>
      <c r="P62" s="609"/>
    </row>
    <row r="63" spans="2:16" x14ac:dyDescent="0.45">
      <c r="B63" s="331" t="s">
        <v>581</v>
      </c>
      <c r="C63" s="331">
        <v>4</v>
      </c>
      <c r="L63" s="602"/>
      <c r="M63" s="607"/>
      <c r="N63" s="608"/>
      <c r="O63" s="608"/>
      <c r="P63" s="609"/>
    </row>
    <row r="64" spans="2:16" x14ac:dyDescent="0.45">
      <c r="B64" s="331" t="s">
        <v>93</v>
      </c>
      <c r="C64" s="331">
        <v>6</v>
      </c>
      <c r="L64" s="602"/>
      <c r="M64" s="607"/>
      <c r="N64" s="608"/>
      <c r="O64" s="608"/>
      <c r="P64" s="609"/>
    </row>
    <row r="65" spans="2:16" x14ac:dyDescent="0.45">
      <c r="B65" s="331" t="s">
        <v>751</v>
      </c>
      <c r="C65" s="331">
        <v>12</v>
      </c>
      <c r="L65" s="602"/>
      <c r="M65" s="607"/>
      <c r="N65" s="608"/>
      <c r="O65" s="608"/>
      <c r="P65" s="609"/>
    </row>
    <row r="66" spans="2:16" x14ac:dyDescent="0.45">
      <c r="B66" s="331" t="s">
        <v>2489</v>
      </c>
      <c r="C66" s="331">
        <v>24</v>
      </c>
      <c r="L66" s="602"/>
      <c r="M66" s="607"/>
      <c r="N66" s="608"/>
      <c r="O66" s="608"/>
      <c r="P66" s="609"/>
    </row>
    <row r="67" spans="2:16" ht="15.45" x14ac:dyDescent="0.45">
      <c r="B67" s="166" t="s">
        <v>2548</v>
      </c>
      <c r="C67" s="166" t="s">
        <v>1268</v>
      </c>
      <c r="L67" s="602"/>
      <c r="M67" s="607"/>
      <c r="N67" s="608"/>
      <c r="O67" s="608"/>
      <c r="P67" s="609"/>
    </row>
    <row r="68" spans="2:16" x14ac:dyDescent="0.45">
      <c r="B68" s="331" t="s">
        <v>2497</v>
      </c>
      <c r="C68" s="331">
        <v>8</v>
      </c>
      <c r="L68" s="603"/>
      <c r="M68" s="610"/>
      <c r="N68" s="611"/>
      <c r="O68" s="611"/>
      <c r="P68" s="612"/>
    </row>
    <row r="69" spans="2:16" x14ac:dyDescent="0.45">
      <c r="B69" s="331" t="s">
        <v>581</v>
      </c>
      <c r="C69" s="331">
        <v>16</v>
      </c>
    </row>
    <row r="70" spans="2:16" x14ac:dyDescent="0.45">
      <c r="B70" s="331" t="s">
        <v>93</v>
      </c>
      <c r="C70" s="331">
        <v>24</v>
      </c>
    </row>
    <row r="71" spans="2:16" x14ac:dyDescent="0.45">
      <c r="B71" s="331" t="s">
        <v>751</v>
      </c>
      <c r="C71" s="331">
        <v>48</v>
      </c>
      <c r="D71" s="3"/>
    </row>
    <row r="72" spans="2:16" x14ac:dyDescent="0.45">
      <c r="B72" s="331" t="s">
        <v>2489</v>
      </c>
      <c r="C72" s="331">
        <v>96</v>
      </c>
      <c r="D72" s="2"/>
    </row>
    <row r="73" spans="2:16" ht="15.45" x14ac:dyDescent="0.45">
      <c r="B73" s="166" t="s">
        <v>2549</v>
      </c>
      <c r="C73" s="166" t="s">
        <v>1268</v>
      </c>
      <c r="D73" s="2"/>
    </row>
    <row r="74" spans="2:16" x14ac:dyDescent="0.45">
      <c r="B74" s="331" t="s">
        <v>2497</v>
      </c>
      <c r="C74" s="331">
        <v>300</v>
      </c>
    </row>
    <row r="75" spans="2:16" x14ac:dyDescent="0.45">
      <c r="B75" s="331" t="s">
        <v>581</v>
      </c>
      <c r="C75" s="331">
        <v>300</v>
      </c>
    </row>
    <row r="76" spans="2:16" x14ac:dyDescent="0.45">
      <c r="B76" s="331" t="s">
        <v>93</v>
      </c>
      <c r="C76" s="331">
        <v>300</v>
      </c>
    </row>
    <row r="77" spans="2:16" x14ac:dyDescent="0.45">
      <c r="B77" s="331" t="s">
        <v>751</v>
      </c>
      <c r="C77" s="331">
        <v>300</v>
      </c>
    </row>
    <row r="78" spans="2:16" x14ac:dyDescent="0.45">
      <c r="B78" s="331" t="s">
        <v>2489</v>
      </c>
      <c r="C78" s="331">
        <v>400</v>
      </c>
    </row>
    <row r="79" spans="2:16" ht="15.45" x14ac:dyDescent="0.45">
      <c r="B79" s="166" t="s">
        <v>2550</v>
      </c>
      <c r="C79" s="166" t="s">
        <v>1268</v>
      </c>
    </row>
    <row r="80" spans="2:16" x14ac:dyDescent="0.45">
      <c r="B80" s="331" t="s">
        <v>581</v>
      </c>
      <c r="C80" s="331">
        <v>2</v>
      </c>
    </row>
    <row r="81" spans="2:3" x14ac:dyDescent="0.45">
      <c r="B81" s="331" t="s">
        <v>93</v>
      </c>
      <c r="C81" s="331">
        <v>4</v>
      </c>
    </row>
    <row r="82" spans="2:3" x14ac:dyDescent="0.45">
      <c r="B82" s="331" t="s">
        <v>751</v>
      </c>
      <c r="C82" s="331">
        <v>8</v>
      </c>
    </row>
    <row r="83" spans="2:3" x14ac:dyDescent="0.45">
      <c r="B83" s="331" t="s">
        <v>2489</v>
      </c>
      <c r="C83" s="331">
        <v>16</v>
      </c>
    </row>
    <row r="84" spans="2:3" x14ac:dyDescent="0.45">
      <c r="B84" s="331" t="s">
        <v>2501</v>
      </c>
      <c r="C84" s="331"/>
    </row>
    <row r="85" spans="2:3" ht="15.45" x14ac:dyDescent="0.45">
      <c r="B85" s="166" t="s">
        <v>2551</v>
      </c>
      <c r="C85" s="166" t="s">
        <v>1268</v>
      </c>
    </row>
    <row r="86" spans="2:3" x14ac:dyDescent="0.45">
      <c r="B86" s="331" t="s">
        <v>581</v>
      </c>
      <c r="C86" s="331">
        <v>4</v>
      </c>
    </row>
    <row r="87" spans="2:3" x14ac:dyDescent="0.45">
      <c r="B87" s="331" t="s">
        <v>93</v>
      </c>
      <c r="C87" s="331">
        <v>8</v>
      </c>
    </row>
    <row r="88" spans="2:3" x14ac:dyDescent="0.45">
      <c r="B88" s="331" t="s">
        <v>751</v>
      </c>
      <c r="C88" s="331">
        <v>32</v>
      </c>
    </row>
    <row r="89" spans="2:3" x14ac:dyDescent="0.45">
      <c r="B89" s="331" t="s">
        <v>2489</v>
      </c>
      <c r="C89" s="331">
        <v>64</v>
      </c>
    </row>
    <row r="90" spans="2:3" x14ac:dyDescent="0.45">
      <c r="B90" s="331" t="s">
        <v>2501</v>
      </c>
      <c r="C90" s="331"/>
    </row>
    <row r="91" spans="2:3" ht="15.45" x14ac:dyDescent="0.45">
      <c r="B91" s="166" t="s">
        <v>2552</v>
      </c>
      <c r="C91" s="166" t="s">
        <v>1268</v>
      </c>
    </row>
    <row r="92" spans="2:3" x14ac:dyDescent="0.45">
      <c r="B92" s="331" t="s">
        <v>581</v>
      </c>
      <c r="C92" s="331">
        <v>200</v>
      </c>
    </row>
    <row r="93" spans="2:3" x14ac:dyDescent="0.45">
      <c r="B93" s="331" t="s">
        <v>93</v>
      </c>
      <c r="C93" s="331">
        <v>200</v>
      </c>
    </row>
    <row r="94" spans="2:3" x14ac:dyDescent="0.45">
      <c r="B94" s="331" t="s">
        <v>751</v>
      </c>
      <c r="C94" s="331">
        <v>200</v>
      </c>
    </row>
    <row r="95" spans="2:3" x14ac:dyDescent="0.45">
      <c r="B95" s="331" t="s">
        <v>2489</v>
      </c>
      <c r="C95" s="331">
        <v>200</v>
      </c>
    </row>
    <row r="96" spans="2:3" x14ac:dyDescent="0.45">
      <c r="B96" s="331" t="s">
        <v>2501</v>
      </c>
      <c r="C96" s="331"/>
    </row>
    <row r="97" spans="2:3" ht="15.45" x14ac:dyDescent="0.45">
      <c r="B97" s="166" t="s">
        <v>2553</v>
      </c>
      <c r="C97" s="166" t="s">
        <v>1268</v>
      </c>
    </row>
    <row r="98" spans="2:3" x14ac:dyDescent="0.45">
      <c r="B98" s="331" t="s">
        <v>2508</v>
      </c>
      <c r="C98" s="337">
        <v>4</v>
      </c>
    </row>
    <row r="99" spans="2:3" x14ac:dyDescent="0.45">
      <c r="B99" s="331" t="s">
        <v>2510</v>
      </c>
      <c r="C99" s="337">
        <v>12</v>
      </c>
    </row>
    <row r="100" spans="2:3" x14ac:dyDescent="0.45">
      <c r="B100" s="331" t="s">
        <v>2512</v>
      </c>
      <c r="C100" s="337">
        <v>194</v>
      </c>
    </row>
    <row r="101" spans="2:3" ht="15.45" x14ac:dyDescent="0.45">
      <c r="B101" s="395" t="s">
        <v>2554</v>
      </c>
      <c r="C101" s="166" t="s">
        <v>1268</v>
      </c>
    </row>
    <row r="102" spans="2:3" x14ac:dyDescent="0.45">
      <c r="B102" s="331" t="s">
        <v>2508</v>
      </c>
      <c r="C102" s="337">
        <v>1</v>
      </c>
    </row>
    <row r="103" spans="2:3" x14ac:dyDescent="0.45">
      <c r="B103" s="331" t="s">
        <v>2510</v>
      </c>
      <c r="C103" s="337">
        <v>0.125</v>
      </c>
    </row>
    <row r="104" spans="2:3" x14ac:dyDescent="0.45">
      <c r="B104" s="331" t="s">
        <v>2512</v>
      </c>
      <c r="C104" s="337">
        <v>2</v>
      </c>
    </row>
    <row r="105" spans="2:3" ht="15.45" x14ac:dyDescent="0.45">
      <c r="B105" s="395" t="s">
        <v>2555</v>
      </c>
      <c r="C105" s="166" t="s">
        <v>1268</v>
      </c>
    </row>
    <row r="106" spans="2:3" x14ac:dyDescent="0.45">
      <c r="B106" s="337" t="s">
        <v>2556</v>
      </c>
      <c r="C106" s="337">
        <v>4</v>
      </c>
    </row>
    <row r="107" spans="2:3" x14ac:dyDescent="0.45">
      <c r="B107" s="337" t="s">
        <v>581</v>
      </c>
      <c r="C107" s="337">
        <v>8</v>
      </c>
    </row>
    <row r="108" spans="2:3" x14ac:dyDescent="0.45">
      <c r="B108" s="337" t="s">
        <v>93</v>
      </c>
      <c r="C108" s="337">
        <v>8</v>
      </c>
    </row>
    <row r="109" spans="2:3" x14ac:dyDescent="0.45">
      <c r="B109" s="337" t="s">
        <v>751</v>
      </c>
      <c r="C109" s="337">
        <v>10</v>
      </c>
    </row>
    <row r="110" spans="2:3" x14ac:dyDescent="0.45">
      <c r="B110" s="337" t="s">
        <v>2557</v>
      </c>
      <c r="C110" s="337">
        <v>12</v>
      </c>
    </row>
    <row r="111" spans="2:3" x14ac:dyDescent="0.45">
      <c r="B111" s="337" t="s">
        <v>2558</v>
      </c>
      <c r="C111" s="337">
        <v>14</v>
      </c>
    </row>
    <row r="112" spans="2:3" ht="15.45" x14ac:dyDescent="0.45">
      <c r="B112" s="395" t="s">
        <v>2559</v>
      </c>
      <c r="C112" s="166" t="s">
        <v>1268</v>
      </c>
    </row>
    <row r="113" spans="2:3" x14ac:dyDescent="0.45">
      <c r="B113" s="337" t="s">
        <v>2556</v>
      </c>
      <c r="C113" s="337">
        <v>8</v>
      </c>
    </row>
    <row r="114" spans="2:3" x14ac:dyDescent="0.45">
      <c r="B114" s="337" t="s">
        <v>581</v>
      </c>
      <c r="C114" s="337">
        <v>16</v>
      </c>
    </row>
    <row r="115" spans="2:3" x14ac:dyDescent="0.45">
      <c r="B115" s="337" t="s">
        <v>93</v>
      </c>
      <c r="C115" s="337">
        <v>16</v>
      </c>
    </row>
    <row r="116" spans="2:3" x14ac:dyDescent="0.45">
      <c r="B116" s="337" t="s">
        <v>751</v>
      </c>
      <c r="C116" s="337">
        <v>16</v>
      </c>
    </row>
    <row r="117" spans="2:3" x14ac:dyDescent="0.45">
      <c r="B117" s="337" t="s">
        <v>2557</v>
      </c>
      <c r="C117" s="337">
        <v>32</v>
      </c>
    </row>
    <row r="118" spans="2:3" x14ac:dyDescent="0.45">
      <c r="B118" s="337" t="s">
        <v>2558</v>
      </c>
      <c r="C118" s="337">
        <v>48</v>
      </c>
    </row>
    <row r="119" spans="2:3" ht="15.45" x14ac:dyDescent="0.45">
      <c r="B119" s="395" t="s">
        <v>2560</v>
      </c>
      <c r="C119" s="166" t="s">
        <v>1268</v>
      </c>
    </row>
    <row r="120" spans="2:3" x14ac:dyDescent="0.45">
      <c r="B120" s="337" t="s">
        <v>2556</v>
      </c>
      <c r="C120" s="337">
        <v>100</v>
      </c>
    </row>
    <row r="121" spans="2:3" x14ac:dyDescent="0.45">
      <c r="B121" s="337" t="s">
        <v>581</v>
      </c>
      <c r="C121" s="337">
        <v>290</v>
      </c>
    </row>
    <row r="122" spans="2:3" x14ac:dyDescent="0.45">
      <c r="B122" s="337" t="s">
        <v>93</v>
      </c>
      <c r="C122" s="337">
        <v>220</v>
      </c>
    </row>
    <row r="123" spans="2:3" x14ac:dyDescent="0.45">
      <c r="B123" s="337" t="s">
        <v>751</v>
      </c>
      <c r="C123" s="337">
        <v>100</v>
      </c>
    </row>
    <row r="124" spans="2:3" x14ac:dyDescent="0.45">
      <c r="B124" s="337" t="s">
        <v>2557</v>
      </c>
      <c r="C124" s="337">
        <v>100</v>
      </c>
    </row>
    <row r="125" spans="2:3" x14ac:dyDescent="0.45">
      <c r="B125" s="337" t="s">
        <v>2558</v>
      </c>
      <c r="C125" s="337">
        <v>100</v>
      </c>
    </row>
    <row r="126" spans="2:3" ht="15.45" x14ac:dyDescent="0.45">
      <c r="B126" s="395" t="s">
        <v>2561</v>
      </c>
      <c r="C126" s="166" t="s">
        <v>1268</v>
      </c>
    </row>
    <row r="127" spans="2:3" x14ac:dyDescent="0.45">
      <c r="B127" s="337" t="s">
        <v>581</v>
      </c>
      <c r="C127" s="337">
        <v>24</v>
      </c>
    </row>
    <row r="128" spans="2:3" ht="17.05" customHeight="1" x14ac:dyDescent="0.45">
      <c r="B128" s="337" t="s">
        <v>93</v>
      </c>
      <c r="C128" s="337">
        <v>24</v>
      </c>
    </row>
    <row r="129" spans="2:3" ht="17.05" customHeight="1" x14ac:dyDescent="0.45">
      <c r="B129" s="337" t="s">
        <v>751</v>
      </c>
      <c r="C129" s="337">
        <v>32</v>
      </c>
    </row>
    <row r="130" spans="2:3" ht="15.45" x14ac:dyDescent="0.45">
      <c r="B130" s="395" t="s">
        <v>2562</v>
      </c>
      <c r="C130" s="166" t="s">
        <v>1268</v>
      </c>
    </row>
    <row r="131" spans="2:3" x14ac:dyDescent="0.45">
      <c r="B131" s="337" t="s">
        <v>581</v>
      </c>
      <c r="C131" s="337">
        <v>96</v>
      </c>
    </row>
    <row r="132" spans="2:3" x14ac:dyDescent="0.45">
      <c r="B132" s="337" t="s">
        <v>93</v>
      </c>
      <c r="C132" s="337">
        <v>96</v>
      </c>
    </row>
    <row r="133" spans="2:3" x14ac:dyDescent="0.45">
      <c r="B133" s="337" t="s">
        <v>751</v>
      </c>
      <c r="C133" s="337">
        <v>128</v>
      </c>
    </row>
    <row r="134" spans="2:3" ht="15.45" x14ac:dyDescent="0.45">
      <c r="B134" s="395" t="s">
        <v>2563</v>
      </c>
      <c r="C134" s="166" t="s">
        <v>1268</v>
      </c>
    </row>
    <row r="135" spans="2:3" x14ac:dyDescent="0.45">
      <c r="B135" s="337" t="s">
        <v>581</v>
      </c>
      <c r="C135" s="337">
        <v>455</v>
      </c>
    </row>
    <row r="136" spans="2:3" x14ac:dyDescent="0.45">
      <c r="B136" s="337" t="s">
        <v>93</v>
      </c>
      <c r="C136" s="337">
        <v>334</v>
      </c>
    </row>
    <row r="137" spans="2:3" x14ac:dyDescent="0.45">
      <c r="B137" s="337" t="s">
        <v>751</v>
      </c>
      <c r="C137" s="337">
        <v>430</v>
      </c>
    </row>
    <row r="138" spans="2:3" ht="15.45" x14ac:dyDescent="0.45">
      <c r="B138" s="395" t="s">
        <v>2564</v>
      </c>
      <c r="C138" s="166" t="s">
        <v>1268</v>
      </c>
    </row>
    <row r="139" spans="2:3" x14ac:dyDescent="0.45">
      <c r="B139" s="337" t="s">
        <v>581</v>
      </c>
      <c r="C139" s="337">
        <v>4</v>
      </c>
    </row>
    <row r="140" spans="2:3" x14ac:dyDescent="0.45">
      <c r="B140" s="337" t="s">
        <v>93</v>
      </c>
      <c r="C140" s="337">
        <v>8</v>
      </c>
    </row>
    <row r="141" spans="2:3" x14ac:dyDescent="0.45">
      <c r="B141" s="337" t="s">
        <v>751</v>
      </c>
      <c r="C141" s="337">
        <v>16</v>
      </c>
    </row>
    <row r="142" spans="2:3" ht="15.45" x14ac:dyDescent="0.45">
      <c r="B142" s="395" t="s">
        <v>2565</v>
      </c>
      <c r="C142" s="166" t="s">
        <v>1268</v>
      </c>
    </row>
    <row r="143" spans="2:3" x14ac:dyDescent="0.45">
      <c r="B143" s="337" t="s">
        <v>581</v>
      </c>
      <c r="C143" s="337">
        <v>8</v>
      </c>
    </row>
    <row r="144" spans="2:3" x14ac:dyDescent="0.45">
      <c r="B144" s="337" t="s">
        <v>93</v>
      </c>
      <c r="C144" s="337">
        <v>16</v>
      </c>
    </row>
    <row r="145" spans="2:3" x14ac:dyDescent="0.45">
      <c r="B145" s="337" t="s">
        <v>751</v>
      </c>
      <c r="C145" s="337">
        <v>32</v>
      </c>
    </row>
    <row r="146" spans="2:3" ht="15.45" x14ac:dyDescent="0.45">
      <c r="B146" s="395" t="s">
        <v>2566</v>
      </c>
      <c r="C146" s="166" t="s">
        <v>1268</v>
      </c>
    </row>
    <row r="147" spans="2:3" x14ac:dyDescent="0.45">
      <c r="B147" s="337" t="s">
        <v>581</v>
      </c>
      <c r="C147" s="337">
        <v>530</v>
      </c>
    </row>
    <row r="148" spans="2:3" x14ac:dyDescent="0.45">
      <c r="B148" s="337" t="s">
        <v>93</v>
      </c>
      <c r="C148" s="337">
        <v>530</v>
      </c>
    </row>
    <row r="149" spans="2:3" x14ac:dyDescent="0.45">
      <c r="B149" s="337" t="s">
        <v>751</v>
      </c>
      <c r="C149" s="337">
        <v>530</v>
      </c>
    </row>
    <row r="150" spans="2:3" ht="15.45" x14ac:dyDescent="0.45">
      <c r="B150" s="395" t="s">
        <v>2567</v>
      </c>
      <c r="C150" s="166" t="s">
        <v>1268</v>
      </c>
    </row>
    <row r="151" spans="2:3" x14ac:dyDescent="0.45">
      <c r="B151" s="337" t="s">
        <v>2556</v>
      </c>
      <c r="C151" s="337">
        <v>2</v>
      </c>
    </row>
    <row r="152" spans="2:3" x14ac:dyDescent="0.45">
      <c r="B152" s="337" t="s">
        <v>581</v>
      </c>
      <c r="C152" s="337">
        <v>4</v>
      </c>
    </row>
    <row r="153" spans="2:3" x14ac:dyDescent="0.45">
      <c r="B153" s="337" t="s">
        <v>93</v>
      </c>
      <c r="C153" s="337">
        <v>8</v>
      </c>
    </row>
    <row r="154" spans="2:3" x14ac:dyDescent="0.45">
      <c r="B154" s="337" t="s">
        <v>751</v>
      </c>
      <c r="C154" s="337">
        <v>16</v>
      </c>
    </row>
    <row r="155" spans="2:3" x14ac:dyDescent="0.45">
      <c r="B155" s="337" t="s">
        <v>2557</v>
      </c>
      <c r="C155" s="337">
        <v>24</v>
      </c>
    </row>
    <row r="156" spans="2:3" ht="15.45" x14ac:dyDescent="0.45">
      <c r="B156" s="395" t="s">
        <v>2568</v>
      </c>
      <c r="C156" s="166" t="s">
        <v>1268</v>
      </c>
    </row>
    <row r="157" spans="2:3" x14ac:dyDescent="0.45">
      <c r="B157" s="337" t="s">
        <v>2556</v>
      </c>
      <c r="C157" s="337">
        <v>8</v>
      </c>
    </row>
    <row r="158" spans="2:3" x14ac:dyDescent="0.45">
      <c r="B158" s="337" t="s">
        <v>581</v>
      </c>
      <c r="C158" s="337">
        <v>16</v>
      </c>
    </row>
    <row r="159" spans="2:3" x14ac:dyDescent="0.45">
      <c r="B159" s="337" t="s">
        <v>93</v>
      </c>
      <c r="C159" s="337">
        <v>32</v>
      </c>
    </row>
    <row r="160" spans="2:3" x14ac:dyDescent="0.45">
      <c r="B160" s="337" t="s">
        <v>751</v>
      </c>
      <c r="C160" s="337">
        <v>48</v>
      </c>
    </row>
    <row r="161" spans="2:3" x14ac:dyDescent="0.45">
      <c r="B161" s="337" t="s">
        <v>2557</v>
      </c>
      <c r="C161" s="337">
        <v>128</v>
      </c>
    </row>
    <row r="162" spans="2:3" ht="15.45" x14ac:dyDescent="0.45">
      <c r="B162" s="395" t="s">
        <v>2569</v>
      </c>
      <c r="C162" s="166" t="s">
        <v>1268</v>
      </c>
    </row>
    <row r="163" spans="2:3" x14ac:dyDescent="0.45">
      <c r="B163" s="337" t="s">
        <v>2556</v>
      </c>
      <c r="C163" s="337">
        <v>274</v>
      </c>
    </row>
    <row r="164" spans="2:3" x14ac:dyDescent="0.45">
      <c r="B164" s="337" t="s">
        <v>581</v>
      </c>
      <c r="C164" s="337">
        <v>274</v>
      </c>
    </row>
    <row r="165" spans="2:3" x14ac:dyDescent="0.45">
      <c r="B165" s="337" t="s">
        <v>93</v>
      </c>
      <c r="C165" s="337">
        <v>274</v>
      </c>
    </row>
    <row r="166" spans="2:3" x14ac:dyDescent="0.45">
      <c r="B166" s="337" t="s">
        <v>751</v>
      </c>
      <c r="C166" s="337">
        <v>274</v>
      </c>
    </row>
    <row r="167" spans="2:3" x14ac:dyDescent="0.45">
      <c r="B167" s="337" t="s">
        <v>2557</v>
      </c>
      <c r="C167" s="337">
        <v>274</v>
      </c>
    </row>
    <row r="168" spans="2:3" ht="15.45" x14ac:dyDescent="0.45">
      <c r="B168" s="395" t="s">
        <v>2570</v>
      </c>
      <c r="C168" s="166" t="s">
        <v>1268</v>
      </c>
    </row>
    <row r="169" spans="2:3" x14ac:dyDescent="0.45">
      <c r="B169" s="337" t="s">
        <v>581</v>
      </c>
      <c r="C169" s="337">
        <v>4</v>
      </c>
    </row>
    <row r="170" spans="2:3" x14ac:dyDescent="0.45">
      <c r="B170" s="337" t="s">
        <v>538</v>
      </c>
      <c r="C170" s="337">
        <v>8</v>
      </c>
    </row>
    <row r="171" spans="2:3" ht="15.45" x14ac:dyDescent="0.45">
      <c r="B171" s="395" t="s">
        <v>2571</v>
      </c>
      <c r="C171" s="166" t="s">
        <v>1268</v>
      </c>
    </row>
    <row r="172" spans="2:3" x14ac:dyDescent="0.45">
      <c r="B172" s="337" t="s">
        <v>581</v>
      </c>
      <c r="C172" s="337">
        <v>16</v>
      </c>
    </row>
    <row r="173" spans="2:3" x14ac:dyDescent="0.45">
      <c r="B173" s="337" t="s">
        <v>538</v>
      </c>
      <c r="C173" s="337">
        <v>48</v>
      </c>
    </row>
    <row r="174" spans="2:3" ht="15.45" x14ac:dyDescent="0.45">
      <c r="B174" s="395" t="s">
        <v>2572</v>
      </c>
      <c r="C174" s="166" t="s">
        <v>1268</v>
      </c>
    </row>
    <row r="175" spans="2:3" x14ac:dyDescent="0.45">
      <c r="B175" s="337" t="s">
        <v>581</v>
      </c>
      <c r="C175" s="337">
        <v>264</v>
      </c>
    </row>
    <row r="176" spans="2:3" x14ac:dyDescent="0.45">
      <c r="B176" s="337" t="s">
        <v>538</v>
      </c>
      <c r="C176" s="337">
        <v>264</v>
      </c>
    </row>
    <row r="177" spans="2:3" ht="15.45" x14ac:dyDescent="0.45">
      <c r="B177" s="395" t="s">
        <v>2573</v>
      </c>
      <c r="C177" s="166" t="s">
        <v>1268</v>
      </c>
    </row>
    <row r="178" spans="2:3" x14ac:dyDescent="0.45">
      <c r="B178" s="337" t="s">
        <v>2574</v>
      </c>
      <c r="C178" s="337">
        <v>2</v>
      </c>
    </row>
    <row r="179" spans="2:3" x14ac:dyDescent="0.45">
      <c r="B179" s="337" t="s">
        <v>538</v>
      </c>
      <c r="C179" s="337">
        <v>4</v>
      </c>
    </row>
    <row r="180" spans="2:3" ht="15.45" x14ac:dyDescent="0.45">
      <c r="B180" s="395" t="s">
        <v>2575</v>
      </c>
      <c r="C180" s="166" t="s">
        <v>1268</v>
      </c>
    </row>
    <row r="181" spans="2:3" x14ac:dyDescent="0.45">
      <c r="B181" s="337" t="s">
        <v>2574</v>
      </c>
      <c r="C181" s="337">
        <v>8</v>
      </c>
    </row>
    <row r="182" spans="2:3" x14ac:dyDescent="0.45">
      <c r="B182" s="337" t="s">
        <v>538</v>
      </c>
      <c r="C182" s="337">
        <v>8</v>
      </c>
    </row>
    <row r="183" spans="2:3" ht="15.45" x14ac:dyDescent="0.45">
      <c r="B183" s="395" t="s">
        <v>2576</v>
      </c>
      <c r="C183" s="166" t="s">
        <v>1268</v>
      </c>
    </row>
    <row r="184" spans="2:3" x14ac:dyDescent="0.45">
      <c r="B184" s="337" t="s">
        <v>2574</v>
      </c>
      <c r="C184" s="337">
        <v>33</v>
      </c>
    </row>
    <row r="185" spans="2:3" x14ac:dyDescent="0.45">
      <c r="B185" s="337" t="s">
        <v>538</v>
      </c>
      <c r="C185" s="337">
        <v>33</v>
      </c>
    </row>
    <row r="186" spans="2:3" ht="15.45" x14ac:dyDescent="0.45">
      <c r="B186" s="395" t="s">
        <v>2577</v>
      </c>
      <c r="C186" s="166" t="s">
        <v>1268</v>
      </c>
    </row>
    <row r="187" spans="2:3" x14ac:dyDescent="0.45">
      <c r="B187" s="337" t="s">
        <v>2574</v>
      </c>
      <c r="C187" s="337">
        <v>2</v>
      </c>
    </row>
    <row r="188" spans="2:3" x14ac:dyDescent="0.45">
      <c r="B188" s="337" t="s">
        <v>538</v>
      </c>
      <c r="C188" s="337">
        <v>8</v>
      </c>
    </row>
    <row r="189" spans="2:3" ht="15.45" x14ac:dyDescent="0.45">
      <c r="B189" s="395" t="s">
        <v>2578</v>
      </c>
      <c r="C189" s="166" t="s">
        <v>1268</v>
      </c>
    </row>
    <row r="190" spans="2:3" x14ac:dyDescent="0.45">
      <c r="B190" s="337" t="s">
        <v>2574</v>
      </c>
      <c r="C190" s="337">
        <v>8</v>
      </c>
    </row>
    <row r="191" spans="2:3" x14ac:dyDescent="0.45">
      <c r="B191" s="337" t="s">
        <v>538</v>
      </c>
      <c r="C191" s="337">
        <v>24</v>
      </c>
    </row>
    <row r="192" spans="2:3" ht="15.45" x14ac:dyDescent="0.45">
      <c r="B192" s="395" t="s">
        <v>2579</v>
      </c>
      <c r="C192" s="166" t="s">
        <v>1268</v>
      </c>
    </row>
    <row r="193" spans="2:3" x14ac:dyDescent="0.45">
      <c r="B193" s="337" t="s">
        <v>2574</v>
      </c>
      <c r="C193" s="337">
        <v>20</v>
      </c>
    </row>
    <row r="194" spans="2:3" x14ac:dyDescent="0.45">
      <c r="B194" s="337" t="s">
        <v>538</v>
      </c>
      <c r="C194" s="337">
        <v>800</v>
      </c>
    </row>
    <row r="195" spans="2:3" ht="15.45" x14ac:dyDescent="0.45">
      <c r="B195" s="395" t="s">
        <v>2580</v>
      </c>
      <c r="C195" s="166" t="s">
        <v>1268</v>
      </c>
    </row>
    <row r="196" spans="2:3" x14ac:dyDescent="0.45">
      <c r="B196" s="331" t="s">
        <v>2508</v>
      </c>
      <c r="C196" s="337">
        <v>2</v>
      </c>
    </row>
    <row r="197" spans="2:3" x14ac:dyDescent="0.45">
      <c r="B197" s="331" t="s">
        <v>2510</v>
      </c>
      <c r="C197" s="337">
        <v>8</v>
      </c>
    </row>
    <row r="198" spans="2:3" x14ac:dyDescent="0.45">
      <c r="B198" s="331" t="s">
        <v>2512</v>
      </c>
      <c r="C198" s="337">
        <v>20</v>
      </c>
    </row>
    <row r="199" spans="2:3" ht="15.45" x14ac:dyDescent="0.45">
      <c r="B199" s="395" t="s">
        <v>2581</v>
      </c>
      <c r="C199" s="166" t="s">
        <v>1268</v>
      </c>
    </row>
    <row r="200" spans="2:3" x14ac:dyDescent="0.45">
      <c r="B200" s="331" t="s">
        <v>581</v>
      </c>
      <c r="C200" s="337">
        <v>4</v>
      </c>
    </row>
    <row r="201" spans="2:3" x14ac:dyDescent="0.45">
      <c r="B201" s="331" t="s">
        <v>93</v>
      </c>
      <c r="C201" s="337">
        <v>8</v>
      </c>
    </row>
    <row r="202" spans="2:3" x14ac:dyDescent="0.45">
      <c r="B202" s="331" t="s">
        <v>751</v>
      </c>
      <c r="C202" s="337">
        <v>12</v>
      </c>
    </row>
    <row r="203" spans="2:3" x14ac:dyDescent="0.45">
      <c r="B203" s="331" t="s">
        <v>2557</v>
      </c>
      <c r="C203" s="337">
        <v>16</v>
      </c>
    </row>
    <row r="204" spans="2:3" x14ac:dyDescent="0.45">
      <c r="B204" s="331" t="s">
        <v>2558</v>
      </c>
      <c r="C204" s="337">
        <v>24</v>
      </c>
    </row>
    <row r="205" spans="2:3" ht="15.45" x14ac:dyDescent="0.45">
      <c r="B205" s="395" t="s">
        <v>2582</v>
      </c>
      <c r="C205" s="166" t="s">
        <v>1268</v>
      </c>
    </row>
    <row r="206" spans="2:3" x14ac:dyDescent="0.45">
      <c r="B206" s="331" t="s">
        <v>581</v>
      </c>
      <c r="C206" s="337">
        <v>16</v>
      </c>
    </row>
    <row r="207" spans="2:3" x14ac:dyDescent="0.45">
      <c r="B207" s="331" t="s">
        <v>93</v>
      </c>
      <c r="C207" s="337">
        <v>32</v>
      </c>
    </row>
    <row r="208" spans="2:3" x14ac:dyDescent="0.45">
      <c r="B208" s="331" t="s">
        <v>751</v>
      </c>
      <c r="C208" s="337">
        <v>48</v>
      </c>
    </row>
    <row r="209" spans="2:3" x14ac:dyDescent="0.45">
      <c r="B209" s="331" t="s">
        <v>2557</v>
      </c>
      <c r="C209" s="337">
        <v>64</v>
      </c>
    </row>
    <row r="210" spans="2:3" x14ac:dyDescent="0.45">
      <c r="B210" s="331" t="s">
        <v>2558</v>
      </c>
      <c r="C210" s="337">
        <v>128</v>
      </c>
    </row>
    <row r="211" spans="2:3" ht="15.45" x14ac:dyDescent="0.45">
      <c r="B211" s="395" t="s">
        <v>2583</v>
      </c>
      <c r="C211" s="166" t="s">
        <v>1268</v>
      </c>
    </row>
    <row r="212" spans="2:3" x14ac:dyDescent="0.45">
      <c r="B212" s="331" t="s">
        <v>581</v>
      </c>
      <c r="C212" s="337">
        <v>1024</v>
      </c>
    </row>
    <row r="213" spans="2:3" x14ac:dyDescent="0.45">
      <c r="B213" s="331" t="s">
        <v>93</v>
      </c>
      <c r="C213" s="337">
        <v>1024</v>
      </c>
    </row>
    <row r="214" spans="2:3" x14ac:dyDescent="0.45">
      <c r="B214" s="331" t="s">
        <v>751</v>
      </c>
      <c r="C214" s="337">
        <v>1024</v>
      </c>
    </row>
    <row r="215" spans="2:3" x14ac:dyDescent="0.45">
      <c r="B215" s="331" t="s">
        <v>2557</v>
      </c>
      <c r="C215" s="337">
        <v>1024</v>
      </c>
    </row>
    <row r="216" spans="2:3" x14ac:dyDescent="0.45">
      <c r="B216" s="331" t="s">
        <v>2558</v>
      </c>
      <c r="C216" s="337">
        <v>1024</v>
      </c>
    </row>
    <row r="217" spans="2:3" ht="15.45" x14ac:dyDescent="0.45">
      <c r="B217" s="395" t="s">
        <v>2584</v>
      </c>
      <c r="C217" s="166" t="s">
        <v>1268</v>
      </c>
    </row>
    <row r="218" spans="2:3" x14ac:dyDescent="0.45">
      <c r="B218" s="331" t="s">
        <v>581</v>
      </c>
      <c r="C218" s="331">
        <v>2</v>
      </c>
    </row>
    <row r="219" spans="2:3" x14ac:dyDescent="0.45">
      <c r="B219" s="331" t="s">
        <v>93</v>
      </c>
      <c r="C219" s="337">
        <v>4</v>
      </c>
    </row>
    <row r="220" spans="2:3" x14ac:dyDescent="0.45">
      <c r="B220" s="331" t="s">
        <v>751</v>
      </c>
      <c r="C220" s="337">
        <v>8</v>
      </c>
    </row>
    <row r="221" spans="2:3" x14ac:dyDescent="0.45">
      <c r="B221" s="331" t="s">
        <v>2557</v>
      </c>
      <c r="C221" s="337">
        <v>8</v>
      </c>
    </row>
    <row r="222" spans="2:3" x14ac:dyDescent="0.45">
      <c r="B222" s="331" t="s">
        <v>2558</v>
      </c>
      <c r="C222" s="337">
        <v>16</v>
      </c>
    </row>
    <row r="223" spans="2:3" ht="15.45" x14ac:dyDescent="0.45">
      <c r="B223" s="395" t="s">
        <v>2585</v>
      </c>
      <c r="C223" s="166" t="s">
        <v>1268</v>
      </c>
    </row>
    <row r="224" spans="2:3" x14ac:dyDescent="0.45">
      <c r="B224" s="331" t="s">
        <v>581</v>
      </c>
      <c r="C224" s="331">
        <v>4</v>
      </c>
    </row>
    <row r="225" spans="2:3" x14ac:dyDescent="0.45">
      <c r="B225" s="331" t="s">
        <v>93</v>
      </c>
      <c r="C225" s="337">
        <v>12</v>
      </c>
    </row>
    <row r="226" spans="2:3" x14ac:dyDescent="0.45">
      <c r="B226" s="331" t="s">
        <v>751</v>
      </c>
      <c r="C226" s="337">
        <v>16</v>
      </c>
    </row>
    <row r="227" spans="2:3" x14ac:dyDescent="0.45">
      <c r="B227" s="331" t="s">
        <v>2557</v>
      </c>
      <c r="C227" s="337">
        <v>24</v>
      </c>
    </row>
    <row r="228" spans="2:3" x14ac:dyDescent="0.45">
      <c r="B228" s="331" t="s">
        <v>2558</v>
      </c>
      <c r="C228" s="337">
        <v>48</v>
      </c>
    </row>
    <row r="229" spans="2:3" ht="15.45" x14ac:dyDescent="0.45">
      <c r="B229" s="395" t="s">
        <v>2586</v>
      </c>
      <c r="C229" s="166" t="s">
        <v>1268</v>
      </c>
    </row>
    <row r="230" spans="2:3" x14ac:dyDescent="0.45">
      <c r="B230" s="331" t="s">
        <v>581</v>
      </c>
      <c r="C230" s="337">
        <v>250</v>
      </c>
    </row>
    <row r="231" spans="2:3" x14ac:dyDescent="0.45">
      <c r="B231" s="331" t="s">
        <v>93</v>
      </c>
      <c r="C231" s="337">
        <v>250</v>
      </c>
    </row>
    <row r="232" spans="2:3" x14ac:dyDescent="0.45">
      <c r="B232" s="331" t="s">
        <v>751</v>
      </c>
      <c r="C232" s="337">
        <v>250</v>
      </c>
    </row>
    <row r="233" spans="2:3" x14ac:dyDescent="0.45">
      <c r="B233" s="331" t="s">
        <v>2557</v>
      </c>
      <c r="C233" s="337">
        <v>250</v>
      </c>
    </row>
    <row r="234" spans="2:3" x14ac:dyDescent="0.45">
      <c r="B234" s="331" t="s">
        <v>2558</v>
      </c>
      <c r="C234" s="337">
        <v>250</v>
      </c>
    </row>
    <row r="235" spans="2:3" ht="15.45" x14ac:dyDescent="0.45">
      <c r="B235" s="395" t="s">
        <v>2587</v>
      </c>
      <c r="C235" s="166" t="s">
        <v>1268</v>
      </c>
    </row>
    <row r="236" spans="2:3" x14ac:dyDescent="0.45">
      <c r="B236" s="331" t="s">
        <v>2508</v>
      </c>
      <c r="C236" s="153">
        <v>8</v>
      </c>
    </row>
    <row r="237" spans="2:3" x14ac:dyDescent="0.45">
      <c r="B237" s="331" t="s">
        <v>2510</v>
      </c>
      <c r="C237" s="193">
        <v>12</v>
      </c>
    </row>
    <row r="238" spans="2:3" x14ac:dyDescent="0.45">
      <c r="B238" s="331" t="s">
        <v>2512</v>
      </c>
      <c r="C238" s="193">
        <v>100</v>
      </c>
    </row>
    <row r="239" spans="2:3" ht="15.45" x14ac:dyDescent="0.45">
      <c r="B239" s="395" t="s">
        <v>2588</v>
      </c>
      <c r="C239" s="166" t="s">
        <v>1268</v>
      </c>
    </row>
    <row r="240" spans="2:3" x14ac:dyDescent="0.45">
      <c r="B240" s="194" t="s">
        <v>2508</v>
      </c>
      <c r="C240" s="337">
        <v>4</v>
      </c>
    </row>
    <row r="241" spans="2:3" x14ac:dyDescent="0.45">
      <c r="B241" s="195" t="s">
        <v>2510</v>
      </c>
      <c r="C241" s="337">
        <v>12</v>
      </c>
    </row>
    <row r="242" spans="2:3" x14ac:dyDescent="0.45">
      <c r="B242" s="195" t="s">
        <v>2512</v>
      </c>
      <c r="C242" s="337">
        <v>65</v>
      </c>
    </row>
    <row r="243" spans="2:3" ht="15.45" x14ac:dyDescent="0.45">
      <c r="B243" s="395" t="s">
        <v>2589</v>
      </c>
      <c r="C243" s="166" t="s">
        <v>1268</v>
      </c>
    </row>
    <row r="244" spans="2:3" x14ac:dyDescent="0.45">
      <c r="B244" s="195" t="s">
        <v>581</v>
      </c>
      <c r="C244" s="337">
        <v>6</v>
      </c>
    </row>
    <row r="245" spans="2:3" x14ac:dyDescent="0.45">
      <c r="B245" s="195" t="s">
        <v>751</v>
      </c>
      <c r="C245" s="337">
        <v>16</v>
      </c>
    </row>
    <row r="246" spans="2:3" x14ac:dyDescent="0.45">
      <c r="B246" s="195" t="s">
        <v>2590</v>
      </c>
      <c r="C246" s="337">
        <v>16</v>
      </c>
    </row>
    <row r="247" spans="2:3" ht="15.45" x14ac:dyDescent="0.45">
      <c r="B247" s="395" t="s">
        <v>2591</v>
      </c>
      <c r="C247" s="166" t="s">
        <v>1268</v>
      </c>
    </row>
    <row r="248" spans="2:3" x14ac:dyDescent="0.45">
      <c r="B248" s="195" t="s">
        <v>581</v>
      </c>
      <c r="C248" s="337">
        <v>32</v>
      </c>
    </row>
    <row r="249" spans="2:3" x14ac:dyDescent="0.45">
      <c r="B249" s="195" t="s">
        <v>751</v>
      </c>
      <c r="C249" s="337">
        <v>48</v>
      </c>
    </row>
    <row r="250" spans="2:3" x14ac:dyDescent="0.45">
      <c r="B250" s="195" t="s">
        <v>2590</v>
      </c>
      <c r="C250" s="337">
        <v>64</v>
      </c>
    </row>
    <row r="251" spans="2:3" ht="15.45" x14ac:dyDescent="0.45">
      <c r="B251" s="395" t="s">
        <v>2592</v>
      </c>
      <c r="C251" s="166" t="s">
        <v>1268</v>
      </c>
    </row>
    <row r="252" spans="2:3" x14ac:dyDescent="0.45">
      <c r="B252" s="195" t="s">
        <v>581</v>
      </c>
      <c r="C252" s="337">
        <v>512</v>
      </c>
    </row>
    <row r="253" spans="2:3" x14ac:dyDescent="0.45">
      <c r="B253" s="195" t="s">
        <v>751</v>
      </c>
      <c r="C253" s="337">
        <v>1400</v>
      </c>
    </row>
    <row r="254" spans="2:3" x14ac:dyDescent="0.45">
      <c r="B254" s="195" t="s">
        <v>2590</v>
      </c>
      <c r="C254" s="337">
        <v>1750</v>
      </c>
    </row>
    <row r="255" spans="2:3" ht="15.45" x14ac:dyDescent="0.45">
      <c r="B255" s="395" t="s">
        <v>2593</v>
      </c>
      <c r="C255" s="166" t="s">
        <v>1268</v>
      </c>
    </row>
    <row r="256" spans="2:3" ht="15.45" x14ac:dyDescent="0.45">
      <c r="B256" s="318" t="s">
        <v>2480</v>
      </c>
      <c r="C256" s="166"/>
    </row>
    <row r="257" spans="2:4" x14ac:dyDescent="0.45">
      <c r="B257" s="195" t="s">
        <v>93</v>
      </c>
      <c r="C257" s="337">
        <v>112</v>
      </c>
    </row>
    <row r="258" spans="2:4" x14ac:dyDescent="0.45">
      <c r="B258" s="195" t="s">
        <v>751</v>
      </c>
      <c r="C258" s="337">
        <v>160</v>
      </c>
    </row>
    <row r="259" spans="2:4" x14ac:dyDescent="0.45">
      <c r="B259" s="195" t="s">
        <v>2590</v>
      </c>
      <c r="C259" s="337">
        <v>192</v>
      </c>
    </row>
    <row r="260" spans="2:4" ht="15.45" x14ac:dyDescent="0.45">
      <c r="B260" s="395" t="s">
        <v>2594</v>
      </c>
      <c r="C260" s="166" t="s">
        <v>1268</v>
      </c>
    </row>
    <row r="261" spans="2:4" x14ac:dyDescent="0.45">
      <c r="B261" s="195" t="s">
        <v>93</v>
      </c>
      <c r="C261" s="337">
        <v>414</v>
      </c>
    </row>
    <row r="262" spans="2:4" x14ac:dyDescent="0.45">
      <c r="B262" s="195" t="s">
        <v>751</v>
      </c>
      <c r="C262" s="337">
        <v>606</v>
      </c>
    </row>
    <row r="263" spans="2:4" x14ac:dyDescent="0.45">
      <c r="B263" s="195" t="s">
        <v>2590</v>
      </c>
      <c r="C263" s="337">
        <v>734</v>
      </c>
    </row>
    <row r="264" spans="2:4" ht="15.45" x14ac:dyDescent="0.45">
      <c r="B264" s="395" t="s">
        <v>2595</v>
      </c>
      <c r="C264" s="166" t="s">
        <v>1268</v>
      </c>
    </row>
    <row r="265" spans="2:4" x14ac:dyDescent="0.45">
      <c r="B265" s="195" t="s">
        <v>93</v>
      </c>
      <c r="C265" s="337">
        <v>4096</v>
      </c>
    </row>
    <row r="266" spans="2:4" x14ac:dyDescent="0.45">
      <c r="B266" s="195" t="s">
        <v>751</v>
      </c>
      <c r="C266" s="337">
        <v>5120</v>
      </c>
    </row>
    <row r="267" spans="2:4" x14ac:dyDescent="0.45">
      <c r="B267" s="195" t="s">
        <v>2590</v>
      </c>
      <c r="C267" s="337">
        <v>6656</v>
      </c>
    </row>
    <row r="268" spans="2:4" ht="15.45" x14ac:dyDescent="0.45">
      <c r="B268" s="395" t="s">
        <v>460</v>
      </c>
      <c r="C268" s="395" t="s">
        <v>2596</v>
      </c>
      <c r="D268" s="395" t="s">
        <v>460</v>
      </c>
    </row>
    <row r="269" spans="2:4" x14ac:dyDescent="0.45">
      <c r="B269" s="196">
        <v>32</v>
      </c>
      <c r="C269" s="196" t="s">
        <v>2597</v>
      </c>
      <c r="D269" s="196">
        <v>32</v>
      </c>
    </row>
    <row r="270" spans="2:4" x14ac:dyDescent="0.45">
      <c r="B270" s="196">
        <v>31</v>
      </c>
      <c r="C270" s="196" t="s">
        <v>2598</v>
      </c>
      <c r="D270" s="196">
        <v>31</v>
      </c>
    </row>
    <row r="271" spans="2:4" x14ac:dyDescent="0.45">
      <c r="B271" s="196">
        <v>30</v>
      </c>
      <c r="C271" s="196" t="s">
        <v>2599</v>
      </c>
      <c r="D271" s="196">
        <v>30</v>
      </c>
    </row>
    <row r="272" spans="2:4" x14ac:dyDescent="0.45">
      <c r="B272" s="196">
        <v>29</v>
      </c>
      <c r="C272" s="196" t="s">
        <v>2600</v>
      </c>
      <c r="D272" s="196">
        <v>29</v>
      </c>
    </row>
    <row r="273" spans="2:4" x14ac:dyDescent="0.45">
      <c r="B273" s="196">
        <v>28</v>
      </c>
      <c r="C273" s="196" t="s">
        <v>2601</v>
      </c>
      <c r="D273" s="196">
        <v>28</v>
      </c>
    </row>
    <row r="274" spans="2:4" x14ac:dyDescent="0.45">
      <c r="B274" s="196">
        <v>27</v>
      </c>
      <c r="C274" s="196" t="s">
        <v>2602</v>
      </c>
      <c r="D274" s="196">
        <v>27</v>
      </c>
    </row>
    <row r="275" spans="2:4" x14ac:dyDescent="0.45">
      <c r="B275" s="196">
        <v>26</v>
      </c>
      <c r="C275" s="196" t="s">
        <v>2603</v>
      </c>
      <c r="D275" s="196">
        <v>26</v>
      </c>
    </row>
    <row r="276" spans="2:4" x14ac:dyDescent="0.45">
      <c r="B276" s="196">
        <v>25</v>
      </c>
      <c r="C276" s="196" t="s">
        <v>2604</v>
      </c>
      <c r="D276" s="196">
        <v>25</v>
      </c>
    </row>
    <row r="277" spans="2:4" x14ac:dyDescent="0.45">
      <c r="B277" s="196">
        <v>24</v>
      </c>
      <c r="C277" s="196" t="s">
        <v>128</v>
      </c>
      <c r="D277" s="196">
        <v>24</v>
      </c>
    </row>
    <row r="278" spans="2:4" x14ac:dyDescent="0.45">
      <c r="B278" s="196">
        <v>23</v>
      </c>
      <c r="C278" s="196" t="s">
        <v>2605</v>
      </c>
      <c r="D278" s="196">
        <v>23</v>
      </c>
    </row>
    <row r="279" spans="2:4" x14ac:dyDescent="0.45">
      <c r="B279" s="196">
        <v>22</v>
      </c>
      <c r="C279" s="196" t="s">
        <v>2606</v>
      </c>
      <c r="D279" s="196">
        <v>22</v>
      </c>
    </row>
    <row r="280" spans="2:4" x14ac:dyDescent="0.45">
      <c r="B280" s="196">
        <v>21</v>
      </c>
      <c r="C280" s="196" t="s">
        <v>2607</v>
      </c>
      <c r="D280" s="196">
        <v>21</v>
      </c>
    </row>
    <row r="281" spans="2:4" x14ac:dyDescent="0.45">
      <c r="B281" s="196">
        <v>20</v>
      </c>
      <c r="C281" s="196" t="s">
        <v>2608</v>
      </c>
      <c r="D281" s="196">
        <v>20</v>
      </c>
    </row>
    <row r="282" spans="2:4" x14ac:dyDescent="0.45">
      <c r="B282" s="196">
        <v>19</v>
      </c>
      <c r="C282" s="196" t="s">
        <v>2609</v>
      </c>
      <c r="D282" s="196">
        <v>19</v>
      </c>
    </row>
    <row r="283" spans="2:4" x14ac:dyDescent="0.45">
      <c r="B283" s="196">
        <v>18</v>
      </c>
      <c r="C283" s="196" t="s">
        <v>2610</v>
      </c>
      <c r="D283" s="196">
        <v>18</v>
      </c>
    </row>
    <row r="284" spans="2:4" x14ac:dyDescent="0.45">
      <c r="B284" s="196">
        <v>17</v>
      </c>
      <c r="C284" s="196" t="s">
        <v>2611</v>
      </c>
      <c r="D284" s="196">
        <v>17</v>
      </c>
    </row>
    <row r="285" spans="2:4" x14ac:dyDescent="0.45">
      <c r="B285" s="196">
        <v>16</v>
      </c>
      <c r="C285" s="196" t="s">
        <v>2612</v>
      </c>
      <c r="D285" s="196">
        <v>16</v>
      </c>
    </row>
    <row r="286" spans="2:4" x14ac:dyDescent="0.45">
      <c r="B286" s="196">
        <v>15</v>
      </c>
      <c r="C286" s="196" t="s">
        <v>2613</v>
      </c>
      <c r="D286" s="196">
        <v>15</v>
      </c>
    </row>
    <row r="287" spans="2:4" x14ac:dyDescent="0.45">
      <c r="B287" s="196">
        <v>14</v>
      </c>
      <c r="C287" s="196" t="s">
        <v>2614</v>
      </c>
      <c r="D287" s="196">
        <v>14</v>
      </c>
    </row>
    <row r="288" spans="2:4" x14ac:dyDescent="0.45">
      <c r="B288" s="196">
        <v>13</v>
      </c>
      <c r="C288" s="196" t="s">
        <v>2615</v>
      </c>
      <c r="D288" s="196">
        <v>13</v>
      </c>
    </row>
    <row r="289" spans="2:4" x14ac:dyDescent="0.45">
      <c r="B289" s="196">
        <v>12</v>
      </c>
      <c r="C289" s="196" t="s">
        <v>2616</v>
      </c>
      <c r="D289" s="196">
        <v>12</v>
      </c>
    </row>
    <row r="290" spans="2:4" x14ac:dyDescent="0.45">
      <c r="B290" s="196">
        <v>11</v>
      </c>
      <c r="C290" s="196" t="s">
        <v>2617</v>
      </c>
      <c r="D290" s="196">
        <v>11</v>
      </c>
    </row>
    <row r="291" spans="2:4" x14ac:dyDescent="0.45">
      <c r="B291" s="196">
        <v>10</v>
      </c>
      <c r="C291" s="196" t="s">
        <v>2618</v>
      </c>
      <c r="D291" s="196">
        <v>10</v>
      </c>
    </row>
    <row r="292" spans="2:4" x14ac:dyDescent="0.45">
      <c r="B292" s="196">
        <v>9</v>
      </c>
      <c r="C292" s="196" t="s">
        <v>2619</v>
      </c>
      <c r="D292" s="196">
        <v>9</v>
      </c>
    </row>
    <row r="293" spans="2:4" x14ac:dyDescent="0.45">
      <c r="B293" s="196">
        <v>8</v>
      </c>
      <c r="C293" s="196" t="s">
        <v>2620</v>
      </c>
      <c r="D293" s="196">
        <v>8</v>
      </c>
    </row>
    <row r="294" spans="2:4" x14ac:dyDescent="0.45">
      <c r="B294" s="196">
        <v>7</v>
      </c>
      <c r="C294" s="196" t="s">
        <v>2621</v>
      </c>
      <c r="D294" s="196">
        <v>7</v>
      </c>
    </row>
    <row r="295" spans="2:4" x14ac:dyDescent="0.45">
      <c r="B295" s="196">
        <v>6</v>
      </c>
      <c r="C295" s="196" t="s">
        <v>2622</v>
      </c>
      <c r="D295" s="196">
        <v>6</v>
      </c>
    </row>
    <row r="296" spans="2:4" x14ac:dyDescent="0.45">
      <c r="B296" s="196">
        <v>5</v>
      </c>
      <c r="C296" s="196" t="s">
        <v>2623</v>
      </c>
      <c r="D296" s="196">
        <v>5</v>
      </c>
    </row>
    <row r="297" spans="2:4" x14ac:dyDescent="0.45">
      <c r="B297" s="196">
        <v>4</v>
      </c>
      <c r="C297" s="196" t="s">
        <v>2624</v>
      </c>
      <c r="D297" s="196">
        <v>4</v>
      </c>
    </row>
    <row r="298" spans="2:4" x14ac:dyDescent="0.45">
      <c r="B298" s="196">
        <v>3</v>
      </c>
      <c r="C298" s="196" t="s">
        <v>2625</v>
      </c>
      <c r="D298" s="196">
        <v>3</v>
      </c>
    </row>
    <row r="299" spans="2:4" x14ac:dyDescent="0.45">
      <c r="B299" s="196">
        <v>2</v>
      </c>
      <c r="C299" s="196" t="s">
        <v>2626</v>
      </c>
      <c r="D299" s="196">
        <v>2</v>
      </c>
    </row>
    <row r="300" spans="2:4" x14ac:dyDescent="0.45">
      <c r="B300" s="196">
        <v>1</v>
      </c>
      <c r="C300" s="196" t="s">
        <v>2627</v>
      </c>
      <c r="D300" s="196">
        <v>1</v>
      </c>
    </row>
    <row r="301" spans="2:4" x14ac:dyDescent="0.45">
      <c r="B301" s="196">
        <v>0</v>
      </c>
      <c r="C301" s="196" t="s">
        <v>2628</v>
      </c>
      <c r="D301" s="196">
        <v>0</v>
      </c>
    </row>
    <row r="302" spans="2:4" ht="15.45" x14ac:dyDescent="0.45">
      <c r="B302" s="395" t="s">
        <v>2629</v>
      </c>
      <c r="C302" s="395" t="s">
        <v>2629</v>
      </c>
    </row>
    <row r="303" spans="2:4" x14ac:dyDescent="0.45">
      <c r="B303" s="337"/>
      <c r="C303" s="337" t="s">
        <v>2630</v>
      </c>
    </row>
    <row r="304" spans="2:4" x14ac:dyDescent="0.45">
      <c r="B304" s="337"/>
      <c r="C304" s="337" t="s">
        <v>2631</v>
      </c>
    </row>
    <row r="305" spans="2:3" x14ac:dyDescent="0.45">
      <c r="B305" s="337"/>
      <c r="C305" s="337" t="s">
        <v>2632</v>
      </c>
    </row>
    <row r="306" spans="2:3" ht="15.45" x14ac:dyDescent="0.45">
      <c r="B306" s="395"/>
      <c r="C306" s="395" t="s">
        <v>2633</v>
      </c>
    </row>
    <row r="307" spans="2:3" x14ac:dyDescent="0.45">
      <c r="B307" s="337" t="s">
        <v>632</v>
      </c>
    </row>
    <row r="308" spans="2:3" x14ac:dyDescent="0.45">
      <c r="B308" s="337" t="s">
        <v>2634</v>
      </c>
    </row>
    <row r="309" spans="2:3" x14ac:dyDescent="0.45">
      <c r="B309" s="337" t="s">
        <v>2635</v>
      </c>
    </row>
    <row r="310" spans="2:3" x14ac:dyDescent="0.45">
      <c r="B310" s="337" t="s">
        <v>2636</v>
      </c>
    </row>
    <row r="311" spans="2:3" x14ac:dyDescent="0.45">
      <c r="B311" s="337" t="s">
        <v>2637</v>
      </c>
    </row>
    <row r="312" spans="2:3" x14ac:dyDescent="0.45">
      <c r="B312" s="337" t="s">
        <v>2638</v>
      </c>
    </row>
    <row r="313" spans="2:3" x14ac:dyDescent="0.45">
      <c r="B313" s="337" t="s">
        <v>2639</v>
      </c>
    </row>
    <row r="314" spans="2:3" x14ac:dyDescent="0.45">
      <c r="B314" s="337" t="s">
        <v>2640</v>
      </c>
    </row>
    <row r="315" spans="2:3" x14ac:dyDescent="0.45">
      <c r="B315" s="337" t="s">
        <v>2641</v>
      </c>
    </row>
    <row r="316" spans="2:3" x14ac:dyDescent="0.45">
      <c r="B316" s="337" t="s">
        <v>2642</v>
      </c>
    </row>
    <row r="317" spans="2:3" x14ac:dyDescent="0.45">
      <c r="B317" s="337" t="s">
        <v>2643</v>
      </c>
    </row>
    <row r="318" spans="2:3" x14ac:dyDescent="0.45">
      <c r="B318" s="337" t="s">
        <v>2644</v>
      </c>
    </row>
    <row r="319" spans="2:3" x14ac:dyDescent="0.45">
      <c r="B319" s="337" t="s">
        <v>2645</v>
      </c>
    </row>
    <row r="320" spans="2:3" x14ac:dyDescent="0.45">
      <c r="B320" s="337" t="s">
        <v>2646</v>
      </c>
    </row>
    <row r="321" spans="2:3" x14ac:dyDescent="0.45">
      <c r="B321" s="337" t="s">
        <v>2647</v>
      </c>
    </row>
    <row r="322" spans="2:3" x14ac:dyDescent="0.45">
      <c r="B322" s="337" t="s">
        <v>2648</v>
      </c>
    </row>
    <row r="323" spans="2:3" x14ac:dyDescent="0.45">
      <c r="B323" s="337" t="s">
        <v>2649</v>
      </c>
    </row>
    <row r="324" spans="2:3" x14ac:dyDescent="0.45">
      <c r="B324" s="337" t="s">
        <v>2650</v>
      </c>
    </row>
    <row r="325" spans="2:3" x14ac:dyDescent="0.45">
      <c r="B325" s="337" t="s">
        <v>2651</v>
      </c>
    </row>
    <row r="326" spans="2:3" x14ac:dyDescent="0.45">
      <c r="B326" s="337" t="s">
        <v>2652</v>
      </c>
    </row>
    <row r="327" spans="2:3" x14ac:dyDescent="0.45">
      <c r="B327" s="337" t="s">
        <v>2653</v>
      </c>
    </row>
    <row r="328" spans="2:3" x14ac:dyDescent="0.45">
      <c r="B328" s="337" t="s">
        <v>2654</v>
      </c>
    </row>
    <row r="329" spans="2:3" x14ac:dyDescent="0.45">
      <c r="B329" s="337" t="s">
        <v>2655</v>
      </c>
    </row>
    <row r="330" spans="2:3" x14ac:dyDescent="0.45">
      <c r="B330" s="337" t="s">
        <v>2656</v>
      </c>
    </row>
    <row r="331" spans="2:3" ht="15.45" x14ac:dyDescent="0.45">
      <c r="B331" s="395" t="s">
        <v>2657</v>
      </c>
    </row>
    <row r="332" spans="2:3" x14ac:dyDescent="0.45">
      <c r="B332" s="337" t="s">
        <v>762</v>
      </c>
    </row>
    <row r="333" spans="2:3" x14ac:dyDescent="0.45">
      <c r="B333" s="337" t="s">
        <v>2658</v>
      </c>
    </row>
    <row r="334" spans="2:3" ht="15.45" x14ac:dyDescent="0.45">
      <c r="B334" s="395" t="s">
        <v>2659</v>
      </c>
    </row>
    <row r="335" spans="2:3" x14ac:dyDescent="0.45">
      <c r="B335" s="337" t="s">
        <v>762</v>
      </c>
      <c r="C335" s="337" t="s">
        <v>762</v>
      </c>
    </row>
    <row r="336" spans="2:3" x14ac:dyDescent="0.45">
      <c r="B336" s="337" t="s">
        <v>2658</v>
      </c>
      <c r="C336" s="337" t="s">
        <v>2658</v>
      </c>
    </row>
    <row r="337" spans="2:5" x14ac:dyDescent="0.45">
      <c r="B337" s="337" t="s">
        <v>2660</v>
      </c>
      <c r="C337" s="337" t="s">
        <v>2661</v>
      </c>
    </row>
    <row r="338" spans="2:5" x14ac:dyDescent="0.45">
      <c r="B338" s="337" t="s">
        <v>2662</v>
      </c>
      <c r="C338" s="337" t="s">
        <v>2660</v>
      </c>
    </row>
    <row r="339" spans="2:5" x14ac:dyDescent="0.45">
      <c r="B339" s="337" t="s">
        <v>2663</v>
      </c>
      <c r="C339" s="337" t="s">
        <v>2662</v>
      </c>
    </row>
    <row r="340" spans="2:5" x14ac:dyDescent="0.45">
      <c r="B340" s="337"/>
      <c r="C340" s="337" t="s">
        <v>2663</v>
      </c>
    </row>
    <row r="341" spans="2:5" ht="15.45" x14ac:dyDescent="0.45">
      <c r="B341" s="395" t="s">
        <v>2664</v>
      </c>
    </row>
    <row r="342" spans="2:5" x14ac:dyDescent="0.45">
      <c r="B342" s="337" t="s">
        <v>2665</v>
      </c>
    </row>
    <row r="343" spans="2:5" x14ac:dyDescent="0.45">
      <c r="B343" s="337" t="s">
        <v>2666</v>
      </c>
    </row>
    <row r="344" spans="2:5" ht="15.45" x14ac:dyDescent="0.45">
      <c r="B344" s="395" t="s">
        <v>2667</v>
      </c>
    </row>
    <row r="345" spans="2:5" x14ac:dyDescent="0.45">
      <c r="B345" s="337" t="s">
        <v>2665</v>
      </c>
    </row>
    <row r="346" spans="2:5" ht="15.45" x14ac:dyDescent="0.45">
      <c r="B346" s="395" t="s">
        <v>2668</v>
      </c>
    </row>
    <row r="347" spans="2:5" x14ac:dyDescent="0.45">
      <c r="B347" s="337" t="s">
        <v>2669</v>
      </c>
    </row>
    <row r="348" spans="2:5" x14ac:dyDescent="0.45">
      <c r="B348" s="337" t="s">
        <v>2670</v>
      </c>
    </row>
    <row r="349" spans="2:5" x14ac:dyDescent="0.45">
      <c r="B349" s="337" t="s">
        <v>2671</v>
      </c>
    </row>
    <row r="350" spans="2:5" x14ac:dyDescent="0.45">
      <c r="B350" s="337" t="s">
        <v>2672</v>
      </c>
    </row>
    <row r="351" spans="2:5" x14ac:dyDescent="0.45">
      <c r="B351" s="337" t="s">
        <v>2673</v>
      </c>
      <c r="E351" s="2"/>
    </row>
    <row r="352" spans="2:5" x14ac:dyDescent="0.45">
      <c r="B352" s="337" t="s">
        <v>2674</v>
      </c>
      <c r="E352" s="2"/>
    </row>
    <row r="353" spans="2:5" x14ac:dyDescent="0.45">
      <c r="B353" s="337" t="s">
        <v>2675</v>
      </c>
      <c r="D353" s="3"/>
      <c r="E353" s="2"/>
    </row>
    <row r="354" spans="2:5" x14ac:dyDescent="0.45">
      <c r="B354" s="337" t="s">
        <v>2676</v>
      </c>
      <c r="D354" s="3"/>
      <c r="E354" s="2"/>
    </row>
    <row r="355" spans="2:5" x14ac:dyDescent="0.45">
      <c r="B355" s="337" t="s">
        <v>2677</v>
      </c>
      <c r="D355" s="3"/>
      <c r="E355" s="2"/>
    </row>
    <row r="356" spans="2:5" x14ac:dyDescent="0.45">
      <c r="B356" s="337" t="s">
        <v>2678</v>
      </c>
      <c r="D356" s="3"/>
      <c r="E356" s="2"/>
    </row>
    <row r="357" spans="2:5" x14ac:dyDescent="0.45">
      <c r="B357" s="337" t="s">
        <v>2679</v>
      </c>
      <c r="D357" s="3"/>
      <c r="E357" s="2"/>
    </row>
    <row r="358" spans="2:5" x14ac:dyDescent="0.45">
      <c r="B358" s="337" t="s">
        <v>2680</v>
      </c>
      <c r="D358" s="3"/>
      <c r="E358" s="2"/>
    </row>
    <row r="359" spans="2:5" x14ac:dyDescent="0.45">
      <c r="B359" s="337" t="s">
        <v>2681</v>
      </c>
      <c r="D359" s="3"/>
      <c r="E359" s="2"/>
    </row>
    <row r="360" spans="2:5" x14ac:dyDescent="0.45">
      <c r="B360" s="337" t="s">
        <v>2682</v>
      </c>
      <c r="D360" s="3"/>
      <c r="E360" s="2"/>
    </row>
    <row r="361" spans="2:5" x14ac:dyDescent="0.45">
      <c r="B361" s="337" t="s">
        <v>2683</v>
      </c>
      <c r="D361" s="3"/>
      <c r="E361" s="2"/>
    </row>
    <row r="362" spans="2:5" x14ac:dyDescent="0.45">
      <c r="B362" s="337" t="s">
        <v>2684</v>
      </c>
      <c r="D362" s="3"/>
      <c r="E362" s="2"/>
    </row>
    <row r="363" spans="2:5" x14ac:dyDescent="0.45">
      <c r="B363" s="337" t="s">
        <v>2685</v>
      </c>
      <c r="D363" s="3"/>
      <c r="E363" s="2"/>
    </row>
    <row r="364" spans="2:5" x14ac:dyDescent="0.45">
      <c r="B364" s="337" t="s">
        <v>2686</v>
      </c>
      <c r="D364" s="3"/>
      <c r="E364" s="2"/>
    </row>
    <row r="365" spans="2:5" x14ac:dyDescent="0.45">
      <c r="B365" s="337" t="s">
        <v>2687</v>
      </c>
      <c r="D365" s="3"/>
      <c r="E365" s="2"/>
    </row>
    <row r="366" spans="2:5" x14ac:dyDescent="0.45">
      <c r="B366" s="337" t="s">
        <v>2688</v>
      </c>
      <c r="D366" s="3"/>
      <c r="E366" s="2"/>
    </row>
    <row r="367" spans="2:5" x14ac:dyDescent="0.45">
      <c r="B367" s="337" t="s">
        <v>2689</v>
      </c>
      <c r="D367" s="3"/>
      <c r="E367" s="2"/>
    </row>
    <row r="368" spans="2:5" x14ac:dyDescent="0.45">
      <c r="B368" s="337" t="s">
        <v>2690</v>
      </c>
      <c r="D368" s="3"/>
      <c r="E368" s="2"/>
    </row>
    <row r="369" spans="2:5" x14ac:dyDescent="0.45">
      <c r="B369" s="337" t="s">
        <v>2691</v>
      </c>
      <c r="D369" s="3"/>
      <c r="E369" s="2"/>
    </row>
    <row r="370" spans="2:5" x14ac:dyDescent="0.45">
      <c r="B370" s="337" t="s">
        <v>2692</v>
      </c>
      <c r="D370" s="3"/>
      <c r="E370" s="2"/>
    </row>
    <row r="371" spans="2:5" x14ac:dyDescent="0.45">
      <c r="B371" s="337" t="s">
        <v>2693</v>
      </c>
      <c r="D371" s="3"/>
      <c r="E371" s="2"/>
    </row>
    <row r="372" spans="2:5" x14ac:dyDescent="0.45">
      <c r="B372" s="337" t="s">
        <v>2694</v>
      </c>
      <c r="D372" s="3"/>
      <c r="E372" s="2"/>
    </row>
    <row r="373" spans="2:5" x14ac:dyDescent="0.45">
      <c r="B373" s="337" t="s">
        <v>2695</v>
      </c>
      <c r="D373" s="3"/>
      <c r="E373" s="2"/>
    </row>
    <row r="374" spans="2:5" x14ac:dyDescent="0.45">
      <c r="B374" s="337" t="s">
        <v>2696</v>
      </c>
      <c r="D374" s="3"/>
      <c r="E374" s="2"/>
    </row>
    <row r="375" spans="2:5" ht="15.45" x14ac:dyDescent="0.45">
      <c r="B375" s="395" t="s">
        <v>2697</v>
      </c>
      <c r="C375" s="3"/>
      <c r="D375" s="3"/>
      <c r="E375" s="2"/>
    </row>
    <row r="376" spans="2:5" x14ac:dyDescent="0.45">
      <c r="B376" s="337">
        <v>1</v>
      </c>
      <c r="C376" s="3"/>
      <c r="D376" s="3"/>
      <c r="E376" s="2"/>
    </row>
    <row r="377" spans="2:5" x14ac:dyDescent="0.45">
      <c r="B377" s="337">
        <v>2</v>
      </c>
      <c r="C377" s="3"/>
      <c r="D377" s="3"/>
      <c r="E377" s="2"/>
    </row>
    <row r="378" spans="2:5" x14ac:dyDescent="0.45">
      <c r="B378" s="337">
        <v>3</v>
      </c>
      <c r="C378" s="3"/>
      <c r="D378" s="3"/>
      <c r="E378" s="2"/>
    </row>
    <row r="379" spans="2:5" x14ac:dyDescent="0.45">
      <c r="B379" s="197" t="s">
        <v>2698</v>
      </c>
      <c r="C379" s="3"/>
      <c r="D379" s="3"/>
      <c r="E379" s="2"/>
    </row>
    <row r="380" spans="2:5" ht="15.45" x14ac:dyDescent="0.45">
      <c r="B380" s="198" t="s">
        <v>2699</v>
      </c>
      <c r="C380" s="3"/>
      <c r="D380" s="3"/>
      <c r="E380" s="2"/>
    </row>
    <row r="381" spans="2:5" x14ac:dyDescent="0.45">
      <c r="B381" s="197" t="s">
        <v>2700</v>
      </c>
      <c r="C381" s="3"/>
      <c r="D381" s="3"/>
      <c r="E381" s="2"/>
    </row>
    <row r="382" spans="2:5" x14ac:dyDescent="0.45">
      <c r="B382" s="197" t="s">
        <v>2701</v>
      </c>
      <c r="D382" s="3"/>
      <c r="E382" s="2"/>
    </row>
    <row r="383" spans="2:5" x14ac:dyDescent="0.45">
      <c r="B383" s="197" t="s">
        <v>2702</v>
      </c>
      <c r="D383" s="3"/>
      <c r="E383" s="2"/>
    </row>
    <row r="384" spans="2:5" ht="15.45" x14ac:dyDescent="0.45">
      <c r="B384" s="395" t="s">
        <v>2703</v>
      </c>
      <c r="E384" s="2"/>
    </row>
    <row r="385" spans="2:5" x14ac:dyDescent="0.45">
      <c r="B385" s="337" t="s">
        <v>183</v>
      </c>
      <c r="E385" s="2"/>
    </row>
    <row r="386" spans="2:5" x14ac:dyDescent="0.45">
      <c r="B386" s="337" t="s">
        <v>13</v>
      </c>
      <c r="E386" s="2"/>
    </row>
    <row r="387" spans="2:5" ht="15.45" x14ac:dyDescent="0.45">
      <c r="B387" s="395" t="s">
        <v>863</v>
      </c>
      <c r="E387" s="2"/>
    </row>
    <row r="388" spans="2:5" x14ac:dyDescent="0.45">
      <c r="B388" s="337" t="s">
        <v>2704</v>
      </c>
      <c r="E388" s="2"/>
    </row>
    <row r="389" spans="2:5" x14ac:dyDescent="0.45">
      <c r="B389" s="337" t="s">
        <v>2705</v>
      </c>
      <c r="E389" s="2"/>
    </row>
    <row r="390" spans="2:5" x14ac:dyDescent="0.45">
      <c r="B390" s="337" t="s">
        <v>2706</v>
      </c>
      <c r="E390" s="2"/>
    </row>
    <row r="391" spans="2:5" x14ac:dyDescent="0.45">
      <c r="B391" s="337" t="s">
        <v>2707</v>
      </c>
      <c r="E391" s="2"/>
    </row>
    <row r="392" spans="2:5" x14ac:dyDescent="0.45">
      <c r="B392" s="337" t="s">
        <v>2708</v>
      </c>
      <c r="E392" s="2"/>
    </row>
    <row r="393" spans="2:5" x14ac:dyDescent="0.45">
      <c r="B393" s="337" t="s">
        <v>2709</v>
      </c>
    </row>
    <row r="394" spans="2:5" x14ac:dyDescent="0.45">
      <c r="B394" s="337" t="s">
        <v>2710</v>
      </c>
    </row>
    <row r="395" spans="2:5" x14ac:dyDescent="0.45">
      <c r="B395" s="337" t="s">
        <v>2711</v>
      </c>
    </row>
    <row r="396" spans="2:5" x14ac:dyDescent="0.45">
      <c r="B396" s="337" t="s">
        <v>2712</v>
      </c>
    </row>
    <row r="397" spans="2:5" x14ac:dyDescent="0.45">
      <c r="B397" s="337" t="s">
        <v>2713</v>
      </c>
    </row>
    <row r="398" spans="2:5" x14ac:dyDescent="0.45">
      <c r="B398" s="337" t="s">
        <v>2714</v>
      </c>
    </row>
    <row r="399" spans="2:5" x14ac:dyDescent="0.45">
      <c r="B399" s="337" t="s">
        <v>2715</v>
      </c>
    </row>
    <row r="400" spans="2:5" x14ac:dyDescent="0.45">
      <c r="B400" s="337" t="s">
        <v>2716</v>
      </c>
    </row>
    <row r="401" spans="2:2" x14ac:dyDescent="0.45">
      <c r="B401" s="337" t="s">
        <v>2717</v>
      </c>
    </row>
    <row r="402" spans="2:2" x14ac:dyDescent="0.45">
      <c r="B402" s="337" t="s">
        <v>864</v>
      </c>
    </row>
    <row r="403" spans="2:2" x14ac:dyDescent="0.45">
      <c r="B403" s="337" t="s">
        <v>2718</v>
      </c>
    </row>
    <row r="404" spans="2:2" x14ac:dyDescent="0.45">
      <c r="B404" s="337" t="s">
        <v>2719</v>
      </c>
    </row>
    <row r="405" spans="2:2" x14ac:dyDescent="0.45">
      <c r="B405" s="337" t="s">
        <v>2720</v>
      </c>
    </row>
    <row r="406" spans="2:2" x14ac:dyDescent="0.45">
      <c r="B406" s="337" t="s">
        <v>2721</v>
      </c>
    </row>
    <row r="407" spans="2:2" x14ac:dyDescent="0.45">
      <c r="B407" s="337" t="s">
        <v>2722</v>
      </c>
    </row>
    <row r="455" ht="20.05" customHeight="1" x14ac:dyDescent="0.45"/>
    <row r="456" ht="20.05" customHeight="1" x14ac:dyDescent="0.45"/>
    <row r="457" ht="20.05" customHeight="1" x14ac:dyDescent="0.45"/>
    <row r="458" ht="20.05" customHeight="1" x14ac:dyDescent="0.45"/>
    <row r="459" ht="20.05" customHeight="1" x14ac:dyDescent="0.45"/>
    <row r="460" ht="20.05" customHeight="1" x14ac:dyDescent="0.45"/>
    <row r="461" ht="20.05" customHeight="1" x14ac:dyDescent="0.45"/>
    <row r="462" ht="20.05" customHeight="1" x14ac:dyDescent="0.45"/>
    <row r="463" ht="20.05" customHeight="1" x14ac:dyDescent="0.45"/>
    <row r="464" ht="20.05" customHeight="1" x14ac:dyDescent="0.45"/>
    <row r="465" ht="20.05" customHeight="1" x14ac:dyDescent="0.45"/>
    <row r="466" ht="20.05" customHeight="1" x14ac:dyDescent="0.45"/>
    <row r="467" ht="20.05" customHeight="1" x14ac:dyDescent="0.45"/>
  </sheetData>
  <sheetProtection algorithmName="SHA-512" hashValue="0FpMQA9+yznMAD510L+lumyXLr61jtNmhfSkFaewFliEMgEWJGrumhe0QMQpTkUAwJVZ3FqdSaHSJdZYS2KIcw==" saltValue="Wt9KXh4jYoSX6bWXplnq9w==" spinCount="100000" sheet="1" selectLockedCells="1"/>
  <mergeCells count="16">
    <mergeCell ref="F35:G35"/>
    <mergeCell ref="B6:C6"/>
    <mergeCell ref="B2:U2"/>
    <mergeCell ref="B3:U3"/>
    <mergeCell ref="B28:C28"/>
    <mergeCell ref="L6:P6"/>
    <mergeCell ref="L7:L68"/>
    <mergeCell ref="M7:P68"/>
    <mergeCell ref="F26:G26"/>
    <mergeCell ref="F27:G27"/>
    <mergeCell ref="F28:G28"/>
    <mergeCell ref="F29:G29"/>
    <mergeCell ref="F30:G30"/>
    <mergeCell ref="F25:G25"/>
    <mergeCell ref="F33:G33"/>
    <mergeCell ref="F31:G31"/>
  </mergeCells>
  <phoneticPr fontId="9" type="noConversion"/>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354-5F52-8F4B-8A48-53121C127735}">
  <sheetPr codeName="Sheet14"/>
  <dimension ref="A1:T562"/>
  <sheetViews>
    <sheetView topLeftCell="A79" workbookViewId="0">
      <selection activeCell="C116" sqref="C116"/>
    </sheetView>
  </sheetViews>
  <sheetFormatPr defaultColWidth="11" defaultRowHeight="15.9" x14ac:dyDescent="0.45"/>
  <cols>
    <col min="2" max="2" width="71.35546875" bestFit="1" customWidth="1"/>
    <col min="3" max="3" width="38.140625" customWidth="1"/>
    <col min="4" max="4" width="24.140625" customWidth="1"/>
    <col min="5" max="5" width="73.140625" bestFit="1" customWidth="1"/>
    <col min="6" max="6" width="24" bestFit="1" customWidth="1"/>
    <col min="7" max="7" width="18.35546875" bestFit="1" customWidth="1"/>
    <col min="8" max="8" width="11" customWidth="1"/>
  </cols>
  <sheetData>
    <row r="1" spans="1:20" s="2" customFormat="1" ht="30" customHeight="1" x14ac:dyDescent="0.45">
      <c r="B1" s="407" t="s">
        <v>2723</v>
      </c>
      <c r="C1" s="408"/>
      <c r="D1" s="408"/>
      <c r="E1" s="408"/>
      <c r="F1" s="408"/>
      <c r="G1" s="408"/>
      <c r="H1" s="408"/>
      <c r="I1" s="408"/>
      <c r="J1" s="409"/>
    </row>
    <row r="2" spans="1:20" s="104" customFormat="1" ht="20.05" customHeight="1" x14ac:dyDescent="0.45">
      <c r="B2" s="465" t="s">
        <v>2724</v>
      </c>
      <c r="C2" s="466"/>
      <c r="D2" s="466"/>
      <c r="E2" s="466"/>
      <c r="F2" s="466"/>
      <c r="G2" s="466"/>
      <c r="H2" s="466"/>
      <c r="I2" s="466"/>
      <c r="J2" s="467"/>
      <c r="K2" s="2"/>
    </row>
    <row r="3" spans="1:20" s="2" customFormat="1" ht="20.05" customHeight="1" x14ac:dyDescent="0.45">
      <c r="B3" s="346" t="s">
        <v>2725</v>
      </c>
      <c r="C3" s="346" t="s">
        <v>2726</v>
      </c>
      <c r="D3" s="346" t="s">
        <v>2727</v>
      </c>
      <c r="E3" s="97" t="s">
        <v>2728</v>
      </c>
      <c r="F3" s="346" t="s">
        <v>940</v>
      </c>
      <c r="G3" s="97" t="s">
        <v>941</v>
      </c>
      <c r="H3" s="438" t="s">
        <v>20</v>
      </c>
      <c r="I3" s="443"/>
      <c r="J3" s="439"/>
    </row>
    <row r="4" spans="1:20" s="8" customFormat="1" ht="20.05" customHeight="1" x14ac:dyDescent="0.35">
      <c r="B4" s="361" t="s">
        <v>1291</v>
      </c>
      <c r="C4" s="9" t="s">
        <v>1905</v>
      </c>
      <c r="D4" s="89" t="str">
        <f>CONCATENATE(this_instance,"-m01-vrms01")</f>
        <v>sfo-m01-vrms01</v>
      </c>
      <c r="E4" s="347"/>
    </row>
    <row r="5" spans="1:20" s="2" customFormat="1" ht="20.05" customHeight="1" x14ac:dyDescent="0.45">
      <c r="B5" s="361"/>
      <c r="C5" s="9" t="s">
        <v>2729</v>
      </c>
      <c r="D5" s="89" t="s">
        <v>2729</v>
      </c>
      <c r="E5" s="206" t="s">
        <v>2729</v>
      </c>
      <c r="F5" s="89" t="str">
        <f>CONCATENATE(prefix_mgmt_az1_cidr,"16.125")</f>
        <v>10.11.16.125</v>
      </c>
      <c r="G5" s="347"/>
      <c r="H5" s="441" t="s">
        <v>2730</v>
      </c>
      <c r="I5" s="621"/>
      <c r="J5" s="442"/>
    </row>
    <row r="6" spans="1:20" s="2" customFormat="1" ht="20.05" customHeight="1" x14ac:dyDescent="0.45">
      <c r="B6" s="361" t="s">
        <v>2109</v>
      </c>
      <c r="C6" s="9" t="s">
        <v>1905</v>
      </c>
      <c r="F6" s="89" t="str">
        <f>IF(mgmt_dpg_reuse_result="Included",CONCATENATE(prefix_mgmt_az1_cidr,"10.126"),CONCATENATE(prefix_mgmt_az1_cidr,"11.126"))</f>
        <v>10.11.10.126</v>
      </c>
      <c r="G6" s="347"/>
      <c r="H6" s="441" t="s">
        <v>2731</v>
      </c>
      <c r="I6" s="621"/>
      <c r="J6" s="442"/>
    </row>
    <row r="7" spans="1:20" s="2" customFormat="1" ht="20.05" customHeight="1" x14ac:dyDescent="0.45">
      <c r="B7" s="361" t="s">
        <v>2732</v>
      </c>
      <c r="C7" s="9"/>
      <c r="D7" s="89" t="s">
        <v>2729</v>
      </c>
      <c r="E7" s="206" t="s">
        <v>2729</v>
      </c>
      <c r="F7" s="89" t="str">
        <f>IF(mgmt_vns_chosen="VLAN-Backed",CONCATENATE(prefix_mgmt_az1_cidr,"99.3"),CONCATENATE(prefix_xreg_cidr,".3"))</f>
        <v>192.168.11.3</v>
      </c>
      <c r="G7" s="347"/>
      <c r="H7" s="441"/>
      <c r="I7" s="621"/>
      <c r="J7" s="442"/>
      <c r="Q7" s="4" t="s">
        <v>1953</v>
      </c>
      <c r="R7" s="9" t="s">
        <v>632</v>
      </c>
      <c r="S7" s="347"/>
      <c r="T7" s="337"/>
    </row>
    <row r="8" spans="1:20" s="2" customFormat="1" ht="20.05" customHeight="1" x14ac:dyDescent="0.45">
      <c r="B8" s="465" t="s">
        <v>1617</v>
      </c>
      <c r="C8" s="466"/>
      <c r="D8" s="466"/>
      <c r="E8" s="466"/>
      <c r="F8" s="466"/>
      <c r="G8" s="466"/>
      <c r="H8" s="466"/>
      <c r="I8" s="466"/>
      <c r="J8" s="467"/>
    </row>
    <row r="9" spans="1:20" s="2" customFormat="1" ht="20.05" customHeight="1" x14ac:dyDescent="0.45">
      <c r="B9" s="346" t="s">
        <v>2725</v>
      </c>
      <c r="C9" s="346" t="s">
        <v>2726</v>
      </c>
      <c r="D9" s="346" t="s">
        <v>2727</v>
      </c>
      <c r="E9" s="97" t="s">
        <v>2728</v>
      </c>
      <c r="F9" s="346" t="s">
        <v>940</v>
      </c>
      <c r="G9" s="97" t="s">
        <v>941</v>
      </c>
      <c r="H9" s="438" t="s">
        <v>20</v>
      </c>
      <c r="I9" s="443"/>
      <c r="J9" s="439"/>
    </row>
    <row r="10" spans="1:20" s="2" customFormat="1" ht="20.05" customHeight="1" x14ac:dyDescent="0.45">
      <c r="B10" s="361" t="s">
        <v>1291</v>
      </c>
      <c r="C10" s="9" t="s">
        <v>1905</v>
      </c>
      <c r="D10" s="89" t="str">
        <f>CONCATENATE(this_instance,"-w0",wld_domain_number_chosen,"-vrms01")</f>
        <v>sfo-w01-vrms01</v>
      </c>
      <c r="E10" s="347"/>
      <c r="F10" s="89" t="str">
        <f>IF(mgmt_dpg_reuse_result="Included",CONCATENATE(prefix_wld_az1_cidr,"10.125"),CONCATENATE(prefix_wld_az1_cidr,"11.125"))</f>
        <v>10.13.10.125</v>
      </c>
      <c r="G10" s="347"/>
      <c r="H10" s="441" t="s">
        <v>2733</v>
      </c>
      <c r="I10" s="621"/>
      <c r="J10" s="442"/>
    </row>
    <row r="11" spans="1:20" s="2" customFormat="1" ht="16" customHeight="1" x14ac:dyDescent="0.45">
      <c r="B11" s="361"/>
      <c r="C11" s="9" t="s">
        <v>2729</v>
      </c>
      <c r="D11" s="89" t="s">
        <v>2729</v>
      </c>
      <c r="E11" s="206" t="s">
        <v>2729</v>
      </c>
      <c r="F11" s="89" t="str">
        <f>CONCATENATE(prefix_wld_az1_cidr,"16.125")</f>
        <v>10.13.16.125</v>
      </c>
      <c r="G11" s="347"/>
      <c r="H11" s="441" t="s">
        <v>2734</v>
      </c>
      <c r="I11" s="621"/>
      <c r="J11" s="442"/>
    </row>
    <row r="12" spans="1:20" s="8" customFormat="1" ht="30" customHeight="1" x14ac:dyDescent="0.35">
      <c r="B12" s="361" t="s">
        <v>2109</v>
      </c>
      <c r="C12" s="9" t="s">
        <v>1905</v>
      </c>
      <c r="D12" s="89" t="str">
        <f>CONCATENATE(this_instance,"-w0",wld_domain_number_chosen,"-srm01")</f>
        <v>sfo-w01-srm01</v>
      </c>
      <c r="E12" s="347"/>
      <c r="F12" s="89" t="str">
        <f>IF(mgmt_dpg_reuse_result="Included",CONCATENATE(prefix_mgmt_az1_cidr,"10.",(127 + (30*(wld_domain_number_chosen - 1)))),CONCATENATE(prefix_mgmt_az1_cidr,"11.",(127 + (30*(wld_domain_number_chosen - 1)))))</f>
        <v>10.11.10.127</v>
      </c>
      <c r="G12" s="347"/>
      <c r="H12" s="441" t="s">
        <v>2735</v>
      </c>
      <c r="I12" s="621"/>
      <c r="J12" s="442"/>
    </row>
    <row r="13" spans="1:20" s="8" customFormat="1" ht="30" customHeight="1" x14ac:dyDescent="0.35">
      <c r="B13" s="2"/>
      <c r="C13" s="2"/>
      <c r="D13" s="2"/>
      <c r="E13" s="2"/>
      <c r="F13" s="2"/>
      <c r="G13" s="2"/>
      <c r="H13" s="2"/>
      <c r="I13" s="2"/>
      <c r="J13" s="2"/>
      <c r="K13" s="2"/>
      <c r="L13" s="2"/>
    </row>
    <row r="14" spans="1:20" s="2" customFormat="1" ht="20.05" customHeight="1" x14ac:dyDescent="0.45">
      <c r="B14" s="579" t="s">
        <v>2736</v>
      </c>
      <c r="C14" s="580"/>
      <c r="D14" s="580"/>
      <c r="E14" s="581"/>
    </row>
    <row r="15" spans="1:20" s="2" customFormat="1" ht="20.05" customHeight="1" x14ac:dyDescent="0.45">
      <c r="A15" s="104"/>
      <c r="B15" s="166" t="s">
        <v>261</v>
      </c>
      <c r="C15" s="166" t="s">
        <v>262</v>
      </c>
      <c r="D15" s="167" t="s">
        <v>19</v>
      </c>
      <c r="E15" s="166" t="s">
        <v>20</v>
      </c>
    </row>
    <row r="16" spans="1:20" s="2" customFormat="1" ht="20.05" customHeight="1" x14ac:dyDescent="0.45">
      <c r="B16" s="618" t="s">
        <v>2737</v>
      </c>
      <c r="C16" s="619"/>
      <c r="D16" s="619"/>
      <c r="E16" s="620"/>
    </row>
    <row r="17" spans="1:9" s="2" customFormat="1" ht="20.05" customHeight="1" x14ac:dyDescent="0.35">
      <c r="A17" s="8"/>
      <c r="B17" s="4" t="s">
        <v>1845</v>
      </c>
      <c r="C17" s="9" t="str">
        <f>CONCATENATE(other_instance,"-vcf01.",other_instance,".",sample_parent_dns_zone)</f>
        <v>lax-vcf01.lax.rainpole.io</v>
      </c>
      <c r="D17" s="347"/>
      <c r="E17" s="337"/>
      <c r="F17" s="8"/>
      <c r="G17" s="8"/>
      <c r="H17" s="8"/>
      <c r="I17" s="8"/>
    </row>
    <row r="18" spans="1:9" s="2" customFormat="1" ht="20.05" customHeight="1" x14ac:dyDescent="0.45">
      <c r="B18" s="4" t="s">
        <v>1850</v>
      </c>
      <c r="C18" s="9" t="s">
        <v>1844</v>
      </c>
      <c r="D18" s="347"/>
      <c r="E18" s="337"/>
    </row>
    <row r="19" spans="1:9" s="2" customFormat="1" ht="20.05" customHeight="1" x14ac:dyDescent="0.45">
      <c r="B19" s="4" t="s">
        <v>1855</v>
      </c>
      <c r="C19" s="9" t="s">
        <v>30</v>
      </c>
      <c r="D19" s="347"/>
      <c r="E19" s="337"/>
    </row>
    <row r="20" spans="1:9" s="2" customFormat="1" ht="20.05" customHeight="1" x14ac:dyDescent="0.45">
      <c r="B20" s="4" t="s">
        <v>1867</v>
      </c>
      <c r="E20" s="337"/>
    </row>
    <row r="21" spans="1:9" s="8" customFormat="1" ht="20.05" customHeight="1" x14ac:dyDescent="0.35">
      <c r="A21" s="2"/>
      <c r="B21" s="4" t="s">
        <v>1871</v>
      </c>
      <c r="E21" s="337"/>
      <c r="F21" s="2"/>
      <c r="G21" s="2"/>
      <c r="H21" s="2"/>
      <c r="I21" s="2"/>
    </row>
    <row r="22" spans="1:9" s="2" customFormat="1" ht="20.05" customHeight="1" x14ac:dyDescent="0.45">
      <c r="B22" s="4" t="s">
        <v>1876</v>
      </c>
      <c r="E22" s="337"/>
    </row>
    <row r="23" spans="1:9" s="2" customFormat="1" ht="20.05" customHeight="1" x14ac:dyDescent="0.45">
      <c r="B23" s="4" t="s">
        <v>1879</v>
      </c>
      <c r="E23" s="337"/>
    </row>
    <row r="24" spans="1:9" s="2" customFormat="1" ht="20.05" customHeight="1" x14ac:dyDescent="0.45"/>
    <row r="25" spans="1:9" s="2" customFormat="1" ht="20.05" customHeight="1" x14ac:dyDescent="0.35">
      <c r="A25" s="8"/>
      <c r="B25" s="579" t="s">
        <v>2738</v>
      </c>
      <c r="C25" s="580"/>
      <c r="D25" s="580"/>
      <c r="E25" s="581"/>
      <c r="F25" s="8"/>
      <c r="G25" s="8"/>
      <c r="H25" s="8"/>
      <c r="I25" s="8"/>
    </row>
    <row r="26" spans="1:9" s="2" customFormat="1" ht="20.05" customHeight="1" x14ac:dyDescent="0.45">
      <c r="B26" s="166" t="s">
        <v>261</v>
      </c>
      <c r="C26" s="166" t="s">
        <v>262</v>
      </c>
      <c r="D26" s="167" t="s">
        <v>19</v>
      </c>
      <c r="E26" s="166" t="s">
        <v>20</v>
      </c>
    </row>
    <row r="27" spans="1:9" s="2" customFormat="1" ht="20.05" customHeight="1" x14ac:dyDescent="0.45">
      <c r="B27" s="618" t="s">
        <v>2739</v>
      </c>
      <c r="C27" s="619"/>
      <c r="D27" s="619"/>
      <c r="E27" s="620"/>
    </row>
    <row r="28" spans="1:9" s="2" customFormat="1" ht="20.05" customHeight="1" x14ac:dyDescent="0.45">
      <c r="B28" s="4" t="s">
        <v>2740</v>
      </c>
      <c r="C28" s="9" t="str">
        <f>CONCATENATE(this_instance,"-m01-fd-vrms")</f>
        <v>sfo-m01-fd-vrms</v>
      </c>
      <c r="D28" s="347"/>
      <c r="E28" s="337"/>
    </row>
    <row r="29" spans="1:9" s="2" customFormat="1" ht="20.05" customHeight="1" x14ac:dyDescent="0.45">
      <c r="B29" s="4" t="s">
        <v>2741</v>
      </c>
      <c r="C29" s="9" t="s">
        <v>30</v>
      </c>
      <c r="D29" s="347"/>
      <c r="E29" s="337"/>
    </row>
    <row r="30" spans="1:9" s="2" customFormat="1" ht="20.05" customHeight="1" x14ac:dyDescent="0.45">
      <c r="B30" s="4" t="s">
        <v>2742</v>
      </c>
      <c r="C30" s="9" t="s">
        <v>30</v>
      </c>
      <c r="D30" s="347"/>
      <c r="E30" s="337"/>
    </row>
    <row r="31" spans="1:9" s="2" customFormat="1" ht="20.05" customHeight="1" x14ac:dyDescent="0.45">
      <c r="B31" s="4" t="s">
        <v>2743</v>
      </c>
      <c r="E31" s="337"/>
    </row>
    <row r="32" spans="1:9" s="2" customFormat="1" ht="20.05" customHeight="1" x14ac:dyDescent="0.45">
      <c r="B32" s="4" t="s">
        <v>2744</v>
      </c>
      <c r="E32" s="337"/>
    </row>
    <row r="33" spans="1:9" s="2" customFormat="1" ht="20.05" customHeight="1" x14ac:dyDescent="0.35">
      <c r="A33" s="8"/>
      <c r="B33" s="4" t="s">
        <v>2745</v>
      </c>
      <c r="E33" s="337"/>
      <c r="F33" s="8"/>
      <c r="G33" s="8"/>
      <c r="H33" s="8"/>
      <c r="I33" s="8"/>
    </row>
    <row r="34" spans="1:9" s="2" customFormat="1" ht="20.05" customHeight="1" x14ac:dyDescent="0.45">
      <c r="B34" s="4" t="s">
        <v>2746</v>
      </c>
      <c r="C34" s="9" t="s">
        <v>30</v>
      </c>
      <c r="D34" s="347"/>
      <c r="E34" s="337"/>
    </row>
    <row r="35" spans="1:9" s="2" customFormat="1" ht="20.05" customHeight="1" x14ac:dyDescent="0.45">
      <c r="B35" s="618" t="s">
        <v>2109</v>
      </c>
      <c r="C35" s="619"/>
      <c r="D35" s="619"/>
      <c r="E35" s="620"/>
    </row>
    <row r="36" spans="1:9" s="2" customFormat="1" ht="20.05" customHeight="1" x14ac:dyDescent="0.45">
      <c r="B36" s="4" t="s">
        <v>2740</v>
      </c>
      <c r="C36" s="9" t="str">
        <f>CONCATENATE(this_instance,"-m01-fd-srm")</f>
        <v>sfo-m01-fd-srm</v>
      </c>
      <c r="D36" s="347"/>
      <c r="E36" s="337"/>
    </row>
    <row r="37" spans="1:9" s="2" customFormat="1" ht="20.05" customHeight="1" x14ac:dyDescent="0.35">
      <c r="B37" s="4" t="s">
        <v>2741</v>
      </c>
      <c r="C37" s="144" t="s">
        <v>141</v>
      </c>
      <c r="D37" s="347"/>
      <c r="E37" s="337"/>
    </row>
    <row r="38" spans="1:9" s="2" customFormat="1" ht="20.05" customHeight="1" x14ac:dyDescent="0.35">
      <c r="B38" s="4" t="s">
        <v>2742</v>
      </c>
      <c r="C38" s="144" t="s">
        <v>30</v>
      </c>
      <c r="D38" s="347"/>
      <c r="E38" s="337"/>
    </row>
    <row r="39" spans="1:9" s="2" customFormat="1" ht="20.05" customHeight="1" x14ac:dyDescent="0.45">
      <c r="B39" s="4" t="s">
        <v>2747</v>
      </c>
      <c r="C39" s="9" t="s">
        <v>30</v>
      </c>
      <c r="D39" s="347"/>
      <c r="E39" s="337"/>
    </row>
    <row r="40" spans="1:9" s="2" customFormat="1" ht="20.05" customHeight="1" x14ac:dyDescent="0.45">
      <c r="B40" s="4" t="s">
        <v>2743</v>
      </c>
      <c r="C40" s="9" t="str">
        <f>UPPER(sample_mgmt_sddc_domain)</f>
        <v>SFO-M01</v>
      </c>
      <c r="D40" s="347"/>
      <c r="E40" s="337"/>
    </row>
    <row r="41" spans="1:9" s="2" customFormat="1" ht="20.05" customHeight="1" x14ac:dyDescent="0.45">
      <c r="B41" s="4" t="s">
        <v>2744</v>
      </c>
      <c r="C41" s="9" t="str">
        <f>CONCATENATE("srm-administrator@",sample_parent_dns_zone)</f>
        <v>srm-administrator@rainpole.io</v>
      </c>
      <c r="D41" s="347"/>
      <c r="E41" s="337"/>
    </row>
    <row r="42" spans="1:9" s="2" customFormat="1" ht="20.05" customHeight="1" x14ac:dyDescent="0.45">
      <c r="B42" s="4" t="s">
        <v>2746</v>
      </c>
      <c r="C42" s="9" t="s">
        <v>30</v>
      </c>
      <c r="D42" s="347"/>
      <c r="E42" s="337"/>
    </row>
    <row r="43" spans="1:9" s="2" customFormat="1" ht="20.05" customHeight="1" x14ac:dyDescent="0.45">
      <c r="B43" s="4" t="s">
        <v>1973</v>
      </c>
      <c r="E43" s="337"/>
    </row>
    <row r="44" spans="1:9" s="2" customFormat="1" ht="20.05" customHeight="1" x14ac:dyDescent="0.45">
      <c r="B44" s="4" t="s">
        <v>1978</v>
      </c>
      <c r="E44" s="337"/>
    </row>
    <row r="45" spans="1:9" s="2" customFormat="1" ht="20.05" customHeight="1" x14ac:dyDescent="0.45">
      <c r="B45" s="4" t="s">
        <v>1984</v>
      </c>
      <c r="E45" s="337"/>
    </row>
    <row r="46" spans="1:9" s="2" customFormat="1" ht="20.05" customHeight="1" x14ac:dyDescent="0.45">
      <c r="B46" s="4" t="s">
        <v>2748</v>
      </c>
      <c r="C46" s="9" t="s">
        <v>2749</v>
      </c>
      <c r="D46" s="347"/>
      <c r="E46" s="337"/>
    </row>
    <row r="47" spans="1:9" s="2" customFormat="1" ht="20.05" customHeight="1" x14ac:dyDescent="0.45">
      <c r="B47" s="4" t="s">
        <v>2750</v>
      </c>
      <c r="C47" s="9" t="s">
        <v>2751</v>
      </c>
      <c r="D47" s="347"/>
      <c r="E47" s="337"/>
    </row>
    <row r="48" spans="1:9" s="2" customFormat="1" ht="20.05" customHeight="1" x14ac:dyDescent="0.45">
      <c r="B48" s="4" t="s">
        <v>1996</v>
      </c>
      <c r="E48" s="337"/>
    </row>
    <row r="49" spans="2:5" s="2" customFormat="1" ht="20.05" customHeight="1" x14ac:dyDescent="0.45">
      <c r="B49" s="4" t="s">
        <v>2000</v>
      </c>
      <c r="E49" s="337"/>
    </row>
    <row r="50" spans="2:5" s="2" customFormat="1" ht="20.05" customHeight="1" x14ac:dyDescent="0.45">
      <c r="B50" s="4" t="s">
        <v>2005</v>
      </c>
      <c r="C50" s="9" t="s">
        <v>2752</v>
      </c>
      <c r="D50" s="347"/>
      <c r="E50" s="337"/>
    </row>
    <row r="51" spans="2:5" s="2" customFormat="1" ht="20.05" customHeight="1" x14ac:dyDescent="0.45">
      <c r="B51" s="4" t="s">
        <v>2009</v>
      </c>
      <c r="C51" s="9" t="s">
        <v>2753</v>
      </c>
      <c r="D51" s="347"/>
      <c r="E51" s="337"/>
    </row>
    <row r="52" spans="2:5" s="2" customFormat="1" ht="20.05" customHeight="1" x14ac:dyDescent="0.45">
      <c r="B52" s="618" t="s">
        <v>2754</v>
      </c>
      <c r="C52" s="619"/>
      <c r="D52" s="619"/>
      <c r="E52" s="620"/>
    </row>
    <row r="53" spans="2:5" s="2" customFormat="1" ht="16" customHeight="1" x14ac:dyDescent="0.45">
      <c r="B53" s="4" t="s">
        <v>2755</v>
      </c>
      <c r="C53" s="9" t="s">
        <v>2756</v>
      </c>
      <c r="D53" s="347"/>
      <c r="E53" s="337" t="s">
        <v>2757</v>
      </c>
    </row>
    <row r="54" spans="2:5" s="2" customFormat="1" ht="30" customHeight="1" x14ac:dyDescent="0.45">
      <c r="B54" s="618" t="s">
        <v>2737</v>
      </c>
      <c r="C54" s="619"/>
      <c r="D54" s="619"/>
      <c r="E54" s="620"/>
    </row>
    <row r="55" spans="2:5" s="2" customFormat="1" ht="20.05" customHeight="1" x14ac:dyDescent="0.45">
      <c r="B55" s="4" t="s">
        <v>2015</v>
      </c>
      <c r="E55" s="337"/>
    </row>
    <row r="56" spans="2:5" s="2" customFormat="1" ht="20.05" customHeight="1" x14ac:dyDescent="0.45">
      <c r="B56" s="4" t="s">
        <v>2018</v>
      </c>
      <c r="E56" s="337"/>
    </row>
    <row r="57" spans="2:5" s="2" customFormat="1" ht="20.05" customHeight="1" x14ac:dyDescent="0.45">
      <c r="B57" s="4" t="s">
        <v>2020</v>
      </c>
      <c r="E57" s="337"/>
    </row>
    <row r="58" spans="2:5" s="2" customFormat="1" ht="20.05" customHeight="1" x14ac:dyDescent="0.45">
      <c r="B58" s="4" t="s">
        <v>2024</v>
      </c>
      <c r="C58" s="9" t="str">
        <f>CONCATENATE(other_instance,"-m01")</f>
        <v>lax-m01</v>
      </c>
      <c r="D58" s="347"/>
      <c r="E58" s="337"/>
    </row>
    <row r="59" spans="2:5" s="2" customFormat="1" ht="20.05" customHeight="1" x14ac:dyDescent="0.45">
      <c r="B59" s="4" t="s">
        <v>2029</v>
      </c>
      <c r="C59" s="9" t="str">
        <f>CONCATENATE(other_instance,"-m01")</f>
        <v>lax-m01</v>
      </c>
      <c r="D59" s="347"/>
      <c r="E59" s="337"/>
    </row>
    <row r="60" spans="2:5" s="2" customFormat="1" ht="20.05" customHeight="1" x14ac:dyDescent="0.45">
      <c r="B60" s="4" t="s">
        <v>2033</v>
      </c>
      <c r="C60" s="9" t="str">
        <f>CONCATENATE(other_instance,"-m01-ec01")</f>
        <v>lax-m01-ec01</v>
      </c>
      <c r="D60" s="347"/>
      <c r="E60" s="337"/>
    </row>
    <row r="61" spans="2:5" s="2" customFormat="1" ht="20.05" customHeight="1" x14ac:dyDescent="0.45">
      <c r="B61" s="4" t="s">
        <v>2037</v>
      </c>
      <c r="E61" s="337"/>
    </row>
    <row r="62" spans="2:5" s="2" customFormat="1" ht="20.05" customHeight="1" x14ac:dyDescent="0.45">
      <c r="B62" s="4" t="s">
        <v>2042</v>
      </c>
      <c r="E62" s="337"/>
    </row>
    <row r="63" spans="2:5" s="2" customFormat="1" ht="20.05" customHeight="1" x14ac:dyDescent="0.45">
      <c r="B63" s="4" t="s">
        <v>2046</v>
      </c>
      <c r="C63" s="9" t="str">
        <f>CONCATENATE(prefix_other_region_az1_cidr,"16.0/24")</f>
        <v>10.21.16.0/24</v>
      </c>
      <c r="D63" s="347"/>
      <c r="E63" s="337"/>
    </row>
    <row r="64" spans="2:5" s="2" customFormat="1" ht="20.05" customHeight="1" x14ac:dyDescent="0.45">
      <c r="B64" s="4" t="s">
        <v>2758</v>
      </c>
      <c r="C64" s="9" t="s">
        <v>2759</v>
      </c>
      <c r="D64" s="347"/>
      <c r="E64" s="337"/>
    </row>
    <row r="65" spans="1:9" s="2" customFormat="1" ht="20.05" customHeight="1" x14ac:dyDescent="0.45"/>
    <row r="66" spans="1:9" s="2" customFormat="1" ht="20.05" customHeight="1" x14ac:dyDescent="0.45">
      <c r="B66" s="579" t="s">
        <v>2760</v>
      </c>
      <c r="C66" s="580"/>
      <c r="D66" s="580"/>
      <c r="E66" s="581"/>
    </row>
    <row r="67" spans="1:9" s="2" customFormat="1" ht="20.05" customHeight="1" x14ac:dyDescent="0.45">
      <c r="B67" s="166" t="s">
        <v>261</v>
      </c>
      <c r="C67" s="166" t="s">
        <v>1027</v>
      </c>
      <c r="D67" s="167" t="s">
        <v>19</v>
      </c>
      <c r="E67" s="166" t="s">
        <v>20</v>
      </c>
    </row>
    <row r="68" spans="1:9" s="2" customFormat="1" ht="20.05" customHeight="1" x14ac:dyDescent="0.45">
      <c r="B68" s="618" t="s">
        <v>2739</v>
      </c>
      <c r="C68" s="619"/>
      <c r="D68" s="619"/>
      <c r="E68" s="620"/>
    </row>
    <row r="69" spans="1:9" s="2" customFormat="1" ht="20.05" customHeight="1" x14ac:dyDescent="0.45">
      <c r="B69" s="4" t="s">
        <v>2740</v>
      </c>
      <c r="C69" s="9" t="str">
        <f>CONCATENATE(this_instance,"-w0",wld_domain_number_chosen,"-fd-vrms")</f>
        <v>sfo-w01-fd-vrms</v>
      </c>
      <c r="D69" s="347"/>
      <c r="E69" s="337"/>
    </row>
    <row r="70" spans="1:9" s="2" customFormat="1" ht="20.05" customHeight="1" x14ac:dyDescent="0.45">
      <c r="B70" s="4" t="s">
        <v>2741</v>
      </c>
      <c r="C70" s="9" t="s">
        <v>30</v>
      </c>
      <c r="D70" s="347"/>
      <c r="E70" s="337"/>
    </row>
    <row r="71" spans="1:9" s="2" customFormat="1" ht="20.05" customHeight="1" x14ac:dyDescent="0.45">
      <c r="B71" s="4" t="s">
        <v>2742</v>
      </c>
      <c r="C71" s="9" t="s">
        <v>30</v>
      </c>
      <c r="D71" s="347"/>
      <c r="E71" s="337"/>
    </row>
    <row r="72" spans="1:9" s="2" customFormat="1" ht="20.05" customHeight="1" x14ac:dyDescent="0.45">
      <c r="B72" s="4" t="s">
        <v>2743</v>
      </c>
      <c r="C72" s="9" t="str">
        <f>UPPER(sample_wld_sddc_domain)</f>
        <v>SFO-W01</v>
      </c>
      <c r="D72" s="347"/>
      <c r="E72" s="337"/>
    </row>
    <row r="73" spans="1:9" s="2" customFormat="1" ht="20.05" customHeight="1" x14ac:dyDescent="0.45">
      <c r="B73" s="4" t="s">
        <v>2744</v>
      </c>
      <c r="C73" s="9" t="str">
        <f>CONCATENATE("vrms-administrator@",sample_parent_dns_zone)</f>
        <v>vrms-administrator@rainpole.io</v>
      </c>
      <c r="D73" s="347"/>
      <c r="E73" s="337"/>
    </row>
    <row r="74" spans="1:9" s="2" customFormat="1" ht="20.05" customHeight="1" x14ac:dyDescent="0.45">
      <c r="B74" s="4" t="s">
        <v>2745</v>
      </c>
      <c r="C74" s="9" t="str">
        <f>CONCATENATE(this_instance,"-w01-cl01-vds01-pg-vrms")</f>
        <v>sfo-w01-cl01-vds01-pg-vrms</v>
      </c>
      <c r="D74" s="347"/>
      <c r="E74" s="337"/>
    </row>
    <row r="75" spans="1:9" s="2" customFormat="1" ht="20.05" customHeight="1" x14ac:dyDescent="0.45">
      <c r="B75" s="4" t="s">
        <v>2746</v>
      </c>
      <c r="C75" s="9" t="s">
        <v>30</v>
      </c>
      <c r="D75" s="347"/>
      <c r="E75" s="337"/>
    </row>
    <row r="76" spans="1:9" s="2" customFormat="1" ht="20.05" customHeight="1" x14ac:dyDescent="0.45">
      <c r="B76" s="618" t="s">
        <v>2109</v>
      </c>
      <c r="C76" s="619"/>
      <c r="D76" s="619"/>
      <c r="E76" s="620"/>
    </row>
    <row r="77" spans="1:9" s="2" customFormat="1" ht="20.05" customHeight="1" x14ac:dyDescent="0.45">
      <c r="B77" s="4" t="s">
        <v>2740</v>
      </c>
      <c r="C77" s="9" t="str">
        <f>CONCATENATE(this_instance,"-w0",wld_domain_number_chosen,"-fd-srm")</f>
        <v>sfo-w01-fd-srm</v>
      </c>
      <c r="D77" s="347"/>
      <c r="E77" s="337"/>
    </row>
    <row r="78" spans="1:9" s="8" customFormat="1" ht="16" customHeight="1" x14ac:dyDescent="0.35">
      <c r="A78" s="2"/>
      <c r="B78" s="4" t="s">
        <v>2741</v>
      </c>
      <c r="C78" s="9" t="s">
        <v>30</v>
      </c>
      <c r="D78" s="347"/>
      <c r="E78" s="337"/>
      <c r="F78" s="2"/>
      <c r="G78" s="2"/>
      <c r="H78" s="2"/>
      <c r="I78" s="2"/>
    </row>
    <row r="79" spans="1:9" s="8" customFormat="1" ht="34" customHeight="1" x14ac:dyDescent="0.35">
      <c r="A79" s="2"/>
      <c r="B79" s="4" t="s">
        <v>2742</v>
      </c>
      <c r="C79" s="9" t="s">
        <v>30</v>
      </c>
      <c r="D79" s="347"/>
      <c r="E79" s="337"/>
      <c r="F79" s="2"/>
      <c r="G79" s="2"/>
      <c r="H79" s="2"/>
      <c r="I79" s="2"/>
    </row>
    <row r="80" spans="1:9" s="8" customFormat="1" ht="16" customHeight="1" x14ac:dyDescent="0.35">
      <c r="A80" s="2"/>
      <c r="B80" s="4" t="s">
        <v>2747</v>
      </c>
      <c r="C80" s="9" t="s">
        <v>30</v>
      </c>
      <c r="D80" s="347"/>
      <c r="E80" s="337"/>
      <c r="F80" s="2"/>
      <c r="G80" s="2"/>
      <c r="H80" s="2"/>
      <c r="I80" s="2"/>
    </row>
    <row r="81" spans="1:9" s="8" customFormat="1" ht="34" customHeight="1" x14ac:dyDescent="0.35">
      <c r="A81" s="2"/>
      <c r="B81" s="4" t="s">
        <v>2743</v>
      </c>
      <c r="C81" s="9" t="str">
        <f>UPPER(sample_wld_sddc_domain)</f>
        <v>SFO-W01</v>
      </c>
      <c r="D81" s="347"/>
      <c r="E81" s="337"/>
      <c r="F81" s="2"/>
      <c r="G81" s="2"/>
      <c r="H81" s="2"/>
      <c r="I81" s="2"/>
    </row>
    <row r="82" spans="1:9" s="8" customFormat="1" ht="16" customHeight="1" x14ac:dyDescent="0.35">
      <c r="A82" s="2"/>
      <c r="B82" s="4" t="s">
        <v>2744</v>
      </c>
      <c r="C82" s="9" t="str">
        <f>CONCATENATE("srm-administrator@",sample_parent_dns_zone)</f>
        <v>srm-administrator@rainpole.io</v>
      </c>
      <c r="D82" s="347"/>
      <c r="E82" s="337"/>
      <c r="F82" s="2"/>
      <c r="G82" s="2"/>
      <c r="H82" s="2"/>
      <c r="I82" s="2"/>
    </row>
    <row r="83" spans="1:9" s="8" customFormat="1" ht="34" customHeight="1" x14ac:dyDescent="0.35">
      <c r="A83" s="2"/>
      <c r="B83" s="4" t="s">
        <v>2746</v>
      </c>
      <c r="C83" s="9" t="s">
        <v>30</v>
      </c>
      <c r="D83" s="347"/>
      <c r="E83" s="337"/>
      <c r="F83" s="2"/>
      <c r="G83" s="2"/>
      <c r="H83" s="2"/>
      <c r="I83" s="2"/>
    </row>
    <row r="84" spans="1:9" s="8" customFormat="1" ht="20.05" customHeight="1" x14ac:dyDescent="0.35">
      <c r="A84" s="2"/>
      <c r="B84" s="618" t="s">
        <v>2737</v>
      </c>
      <c r="C84" s="619"/>
      <c r="D84" s="619"/>
      <c r="E84" s="620"/>
      <c r="F84" s="2"/>
      <c r="G84" s="2"/>
      <c r="H84" s="2"/>
      <c r="I84" s="2"/>
    </row>
    <row r="85" spans="1:9" s="8" customFormat="1" ht="20.05" customHeight="1" x14ac:dyDescent="0.35">
      <c r="A85" s="2"/>
      <c r="B85" s="4" t="s">
        <v>2015</v>
      </c>
      <c r="C85" s="9" t="str">
        <f>CONCATENATE(other_instance,"-w01-vc01.",other_instance,".",sample_parent_dns_zone)</f>
        <v>lax-w01-vc01.lax.rainpole.io</v>
      </c>
      <c r="D85" s="347"/>
      <c r="E85" s="337"/>
      <c r="F85" s="2"/>
      <c r="G85" s="2"/>
      <c r="H85" s="2"/>
      <c r="I85" s="2"/>
    </row>
    <row r="86" spans="1:9" s="8" customFormat="1" ht="20.05" customHeight="1" x14ac:dyDescent="0.35">
      <c r="A86" s="2"/>
      <c r="B86" s="4" t="s">
        <v>2018</v>
      </c>
      <c r="C86" s="9" t="s">
        <v>1844</v>
      </c>
      <c r="D86" s="347"/>
      <c r="E86" s="337"/>
      <c r="F86" s="2"/>
      <c r="G86" s="2"/>
      <c r="H86" s="2"/>
      <c r="I86" s="2"/>
    </row>
    <row r="87" spans="1:9" s="8" customFormat="1" ht="20.05" customHeight="1" x14ac:dyDescent="0.35">
      <c r="A87" s="2"/>
      <c r="B87" s="4" t="s">
        <v>2020</v>
      </c>
      <c r="C87" s="9" t="s">
        <v>30</v>
      </c>
      <c r="D87" s="347"/>
      <c r="E87" s="337"/>
      <c r="F87" s="2"/>
      <c r="G87" s="2"/>
      <c r="H87" s="2"/>
      <c r="I87" s="2"/>
    </row>
    <row r="88" spans="1:9" s="8" customFormat="1" ht="16" customHeight="1" x14ac:dyDescent="0.35">
      <c r="A88" s="2"/>
      <c r="B88" s="4" t="s">
        <v>2046</v>
      </c>
      <c r="C88" s="9" t="str">
        <f>CONCATENATE(prefix_other_region_az1_cidr,"9.0/24")</f>
        <v>10.21.9.0/24</v>
      </c>
      <c r="D88" s="347"/>
      <c r="E88" s="337"/>
      <c r="F88" s="2"/>
      <c r="G88" s="2"/>
      <c r="H88" s="2"/>
      <c r="I88" s="2"/>
    </row>
    <row r="89" spans="1:9" s="8" customFormat="1" ht="34" customHeight="1" x14ac:dyDescent="0.35">
      <c r="A89" s="2"/>
      <c r="B89" s="4" t="s">
        <v>2758</v>
      </c>
      <c r="C89" s="9" t="s">
        <v>2759</v>
      </c>
      <c r="D89" s="347"/>
      <c r="E89" s="337"/>
      <c r="F89" s="2"/>
      <c r="G89" s="2"/>
      <c r="H89" s="2"/>
      <c r="I89" s="2"/>
    </row>
    <row r="93" spans="1:9" s="8" customFormat="1" ht="20.05" customHeight="1" x14ac:dyDescent="0.35">
      <c r="B93" s="556" t="s">
        <v>2761</v>
      </c>
      <c r="C93" s="557"/>
      <c r="D93" s="557"/>
      <c r="E93" s="557"/>
    </row>
    <row r="94" spans="1:9" s="8" customFormat="1" ht="20.05" customHeight="1" x14ac:dyDescent="0.35"/>
    <row r="95" spans="1:9" s="8" customFormat="1" ht="20.05" customHeight="1" x14ac:dyDescent="0.35">
      <c r="B95" s="557" t="s">
        <v>2762</v>
      </c>
      <c r="C95" s="557"/>
      <c r="D95" s="557"/>
      <c r="E95" s="557"/>
    </row>
    <row r="96" spans="1:9" s="8" customFormat="1" ht="16" customHeight="1" x14ac:dyDescent="0.35">
      <c r="B96" s="43" t="s">
        <v>261</v>
      </c>
      <c r="C96" s="43" t="s">
        <v>262</v>
      </c>
      <c r="D96" s="130" t="s">
        <v>19</v>
      </c>
      <c r="E96" s="43" t="s">
        <v>20</v>
      </c>
    </row>
    <row r="97" spans="2:5" s="8" customFormat="1" ht="34" customHeight="1" x14ac:dyDescent="0.35">
      <c r="B97" s="4" t="s">
        <v>2763</v>
      </c>
      <c r="C97" s="362" t="str">
        <f>sample_mgmt_vc_fqdn</f>
        <v>sfo-m01-vc01.sfo.rainpole.io</v>
      </c>
      <c r="D97" s="337" t="str">
        <f>mgmt_vc_fqdn</f>
        <v>Value Missing</v>
      </c>
      <c r="E97" s="32"/>
    </row>
    <row r="98" spans="2:5" s="8" customFormat="1" ht="20.05" customHeight="1" x14ac:dyDescent="0.35">
      <c r="B98" s="4" t="s">
        <v>2764</v>
      </c>
      <c r="C98" s="362" t="s">
        <v>2765</v>
      </c>
      <c r="D98" s="337">
        <f>vrslcm_xreg_vm_folder</f>
        <v>0</v>
      </c>
      <c r="E98" s="32"/>
    </row>
    <row r="99" spans="2:5" s="8" customFormat="1" ht="20.05" customHeight="1" x14ac:dyDescent="0.35">
      <c r="B99" s="4" t="s">
        <v>725</v>
      </c>
      <c r="E99" s="32"/>
    </row>
    <row r="100" spans="2:5" s="8" customFormat="1" ht="20.05" customHeight="1" x14ac:dyDescent="0.35"/>
    <row r="101" spans="2:5" s="8" customFormat="1" ht="20.05" customHeight="1" x14ac:dyDescent="0.35">
      <c r="B101" s="557" t="s">
        <v>2766</v>
      </c>
      <c r="C101" s="557"/>
      <c r="D101" s="557"/>
      <c r="E101" s="557"/>
    </row>
    <row r="102" spans="2:5" s="8" customFormat="1" ht="20.05" customHeight="1" x14ac:dyDescent="0.35">
      <c r="B102" s="43" t="s">
        <v>261</v>
      </c>
      <c r="C102" s="43" t="s">
        <v>262</v>
      </c>
      <c r="D102" s="130" t="s">
        <v>19</v>
      </c>
      <c r="E102" s="43" t="s">
        <v>20</v>
      </c>
    </row>
    <row r="103" spans="2:5" s="8" customFormat="1" ht="20.05" customHeight="1" x14ac:dyDescent="0.35">
      <c r="B103" s="30" t="s">
        <v>2767</v>
      </c>
      <c r="C103" s="362" t="str">
        <f>sample_mgmt_srm_recovery_vcenter_fqdn</f>
        <v>lax-m01-vc01.lax.rainpole.io</v>
      </c>
      <c r="D103" s="99" t="str">
        <f>mgmt_srm_recovery_vcenter_fqdn</f>
        <v>Value Missing</v>
      </c>
      <c r="E103" s="204"/>
    </row>
    <row r="104" spans="2:5" s="8" customFormat="1" ht="20.05" customHeight="1" x14ac:dyDescent="0.35">
      <c r="B104" s="361" t="s">
        <v>2768</v>
      </c>
      <c r="C104" s="362" t="str">
        <f t="array" ref="C104">sample_vrslcm_xreg_vm_folder</f>
        <v>xint-m01-fd-lcm</v>
      </c>
      <c r="D104" s="337"/>
      <c r="E104" s="32"/>
    </row>
    <row r="105" spans="2:5" s="8" customFormat="1" ht="20.05" customHeight="1" x14ac:dyDescent="0.35">
      <c r="B105" s="4" t="s">
        <v>2769</v>
      </c>
      <c r="C105" s="362" t="s">
        <v>2770</v>
      </c>
      <c r="D105" s="337"/>
      <c r="E105" s="32"/>
    </row>
    <row r="106" spans="2:5" s="8" customFormat="1" ht="20.05" customHeight="1" x14ac:dyDescent="0.35">
      <c r="B106" s="4" t="s">
        <v>2771</v>
      </c>
      <c r="C106" s="362" t="s">
        <v>2772</v>
      </c>
      <c r="D106" s="337"/>
      <c r="E106" s="32"/>
    </row>
    <row r="107" spans="2:5" s="8" customFormat="1" ht="20.05" customHeight="1" x14ac:dyDescent="0.35">
      <c r="B107" s="361" t="s">
        <v>2773</v>
      </c>
      <c r="C107" s="362" t="s">
        <v>2774</v>
      </c>
      <c r="D107" s="337"/>
      <c r="E107" s="32"/>
    </row>
    <row r="108" spans="2:5" s="8" customFormat="1" ht="16" customHeight="1" x14ac:dyDescent="0.35"/>
    <row r="109" spans="2:5" s="8" customFormat="1" ht="34" customHeight="1" x14ac:dyDescent="0.35">
      <c r="B109" s="557" t="s">
        <v>2775</v>
      </c>
      <c r="C109" s="557"/>
      <c r="D109" s="557"/>
      <c r="E109" s="557"/>
    </row>
    <row r="110" spans="2:5" s="8" customFormat="1" ht="20.05" customHeight="1" x14ac:dyDescent="0.35">
      <c r="B110" s="43" t="s">
        <v>261</v>
      </c>
      <c r="C110" s="43" t="s">
        <v>262</v>
      </c>
      <c r="D110" s="130" t="s">
        <v>19</v>
      </c>
      <c r="E110" s="43" t="s">
        <v>20</v>
      </c>
    </row>
    <row r="111" spans="2:5" s="8" customFormat="1" ht="20.05" customHeight="1" x14ac:dyDescent="0.35">
      <c r="B111" s="4" t="s">
        <v>2776</v>
      </c>
      <c r="C111" s="362" t="str">
        <f>IF(mgmt_domain_chosen="First Instance",sample_mgmt_nsxt_gm_vip_fqdn,sample_mgmt_existing_active_nsx_gm)</f>
        <v>sfo-m01-nsx-gm01.sfo.rainpole.io</v>
      </c>
      <c r="D111" s="337" t="str">
        <f>_xlfn.SINGLE(IF(mgmt_domain_chosen="First Domain",mgmt_nsxt_gm_vip_fqdn,mgmt_existing_active_nsx_gm))</f>
        <v>Value Missing</v>
      </c>
      <c r="E111" s="32"/>
    </row>
    <row r="112" spans="2:5" s="8" customFormat="1" ht="20.05" customHeight="1" x14ac:dyDescent="0.35">
      <c r="B112" s="4" t="s">
        <v>2777</v>
      </c>
      <c r="C112" s="362" t="str">
        <f>sample_mgmt_srm_recovery_nsx_location</f>
        <v>lax-m01</v>
      </c>
      <c r="D112" s="337" t="str">
        <f>mgmt_srm_recovery_nsx_location</f>
        <v>Value Missing</v>
      </c>
      <c r="E112" s="32"/>
    </row>
    <row r="113" spans="2:5" s="8" customFormat="1" ht="20.05" customHeight="1" x14ac:dyDescent="0.35">
      <c r="B113" s="361" t="s">
        <v>480</v>
      </c>
      <c r="C113" s="362" t="s">
        <v>2778</v>
      </c>
      <c r="D113" s="337" t="str">
        <f>C113</f>
        <v>recovery-t1-gw01</v>
      </c>
      <c r="E113" s="32"/>
    </row>
    <row r="114" spans="2:5" s="8" customFormat="1" ht="16" customHeight="1" x14ac:dyDescent="0.35">
      <c r="B114" s="361" t="s">
        <v>88</v>
      </c>
      <c r="C114" s="362" t="str">
        <f>sample_mgmt_srm_recovery_nsx_ec_name</f>
        <v>lax-m01-ec01</v>
      </c>
      <c r="D114" s="337" t="str">
        <f>mgmt_srm_recovery_nsx_ec_name</f>
        <v>Value Missing</v>
      </c>
      <c r="E114" s="32"/>
    </row>
    <row r="115" spans="2:5" s="8" customFormat="1" ht="34" customHeight="1" x14ac:dyDescent="0.35">
      <c r="B115" s="361" t="s">
        <v>261</v>
      </c>
      <c r="C115" s="362" t="s">
        <v>2779</v>
      </c>
      <c r="D115" s="337" t="str">
        <f>C115</f>
        <v>recovery-t1-gw01-si01</v>
      </c>
      <c r="E115" s="32"/>
    </row>
    <row r="116" spans="2:5" s="8" customFormat="1" ht="20.05" customHeight="1" x14ac:dyDescent="0.35">
      <c r="B116" s="361" t="s">
        <v>2780</v>
      </c>
      <c r="C116" s="362" t="e">
        <f>IF(sample_reg_seg01_cidr&lt;&gt;"N/A",CONCATENATE(sample_mgmt_srm_recovery_t1_si_ip,"/",INT(RIGHT(sample_reg_seg01_cidr,LEN(sample_reg_seg01_cidr)-FIND("/",sample_reg_seg01_cidr)))),"N/A")</f>
        <v>#NAME?</v>
      </c>
      <c r="D116" s="337" t="e">
        <f>IF(OR((mgmt_srm_recovery_t1_si_ip="Value Missing"),(xreg_seg01_cidr="Value Missing")),"Value Missing",CONCATENATE(mgmt_srm_recovery_t1_si_ip,"/",INT(RIGHT(xreg_seg01_cidr,LEN(xreg_seg01_cidr)-FIND("/",xreg_seg01_cidr)))))</f>
        <v>#NAME?</v>
      </c>
      <c r="E116" s="32"/>
    </row>
    <row r="117" spans="2:5" s="8" customFormat="1" ht="20.05" customHeight="1" x14ac:dyDescent="0.35">
      <c r="B117" s="361" t="s">
        <v>2781</v>
      </c>
      <c r="C117" s="362">
        <f>sample_xreg_seg01_name</f>
        <v>0</v>
      </c>
      <c r="D117" s="337" t="e">
        <f>xreg_seg01_name</f>
        <v>#NAME?</v>
      </c>
      <c r="E117" s="32"/>
    </row>
    <row r="118" spans="2:5" s="8" customFormat="1" ht="20.05" customHeight="1" x14ac:dyDescent="0.35">
      <c r="B118" s="4" t="s">
        <v>283</v>
      </c>
      <c r="C118" s="362" t="e">
        <f>sample_xreg_seg01_gateway_ip</f>
        <v>#NAME?</v>
      </c>
      <c r="D118" s="337" t="e">
        <f>xreg_seg01_gateway_ip</f>
        <v>#NAME?</v>
      </c>
      <c r="E118" s="32"/>
    </row>
    <row r="119" spans="2:5" s="8" customFormat="1" ht="20.05" customHeight="1" x14ac:dyDescent="0.35">
      <c r="B119" s="4" t="s">
        <v>2782</v>
      </c>
      <c r="C119" s="362" t="s">
        <v>2779</v>
      </c>
      <c r="D119" s="337" t="str">
        <f>C119</f>
        <v>recovery-t1-gw01-si01</v>
      </c>
      <c r="E119" s="32"/>
    </row>
    <row r="120" spans="2:5" s="8" customFormat="1" ht="16" customHeight="1" x14ac:dyDescent="0.35"/>
    <row r="121" spans="2:5" s="8" customFormat="1" ht="34" customHeight="1" x14ac:dyDescent="0.35">
      <c r="B121" s="557" t="s">
        <v>2783</v>
      </c>
      <c r="C121" s="557"/>
      <c r="D121" s="557"/>
      <c r="E121" s="557"/>
    </row>
    <row r="122" spans="2:5" s="8" customFormat="1" ht="20.05" customHeight="1" x14ac:dyDescent="0.35">
      <c r="B122" s="43" t="s">
        <v>261</v>
      </c>
      <c r="C122" s="43" t="s">
        <v>262</v>
      </c>
      <c r="D122" s="130" t="s">
        <v>19</v>
      </c>
      <c r="E122" s="43" t="s">
        <v>20</v>
      </c>
    </row>
    <row r="123" spans="2:5" s="8" customFormat="1" ht="20.05" customHeight="1" x14ac:dyDescent="0.35">
      <c r="B123" s="4" t="s">
        <v>2776</v>
      </c>
      <c r="C123" s="362" t="str">
        <f t="array" ref="C123">IF(mgmt_domain_chosen="First Domain",CONCATENATE(sample_mgmt_nsxt_gm_hostname,".",sample_child_dns_zone),sample_mgmt_existing_active_nsx_gm)</f>
        <v>sfo-m01-nsx-gm01.sfo.rainpole.io</v>
      </c>
      <c r="D123" s="337" t="str">
        <f>_xlfn.SINGLE(IF(mgmt_domain_chosen="First Domain",mgmt_nsxt_gm_vip_fqdn,mgmt_existing_active_nsx_gm))</f>
        <v>Value Missing</v>
      </c>
      <c r="E123" s="32"/>
    </row>
    <row r="124" spans="2:5" s="8" customFormat="1" ht="20.05" customHeight="1" x14ac:dyDescent="0.35">
      <c r="B124" s="4" t="s">
        <v>2777</v>
      </c>
      <c r="C124" s="362" t="str">
        <f>sample_mgmt_srm_recovery_nsx_location</f>
        <v>lax-m01</v>
      </c>
      <c r="D124" s="337" t="str">
        <f>mgmt_srm_recovery_nsx_location</f>
        <v>Value Missing</v>
      </c>
      <c r="E124" s="32"/>
    </row>
    <row r="125" spans="2:5" s="8" customFormat="1" ht="20.05" customHeight="1" x14ac:dyDescent="0.35">
      <c r="B125" s="361" t="s">
        <v>261</v>
      </c>
      <c r="C125" s="362" t="s">
        <v>2784</v>
      </c>
      <c r="D125" s="337" t="str">
        <f>C125</f>
        <v>recovery-lb01</v>
      </c>
      <c r="E125" s="32"/>
    </row>
    <row r="126" spans="2:5" s="8" customFormat="1" ht="16" customHeight="1" x14ac:dyDescent="0.35"/>
    <row r="127" spans="2:5" s="8" customFormat="1" ht="34" customHeight="1" x14ac:dyDescent="0.35">
      <c r="B127" s="557" t="s">
        <v>2785</v>
      </c>
      <c r="C127" s="557"/>
      <c r="D127" s="557"/>
      <c r="E127" s="557"/>
    </row>
    <row r="128" spans="2:5" s="8" customFormat="1" ht="20.05" customHeight="1" x14ac:dyDescent="0.35">
      <c r="B128" s="43" t="s">
        <v>261</v>
      </c>
      <c r="C128" s="43" t="s">
        <v>262</v>
      </c>
      <c r="D128" s="130" t="s">
        <v>19</v>
      </c>
      <c r="E128" s="43" t="s">
        <v>20</v>
      </c>
    </row>
    <row r="129" spans="2:5" s="8" customFormat="1" ht="20.05" customHeight="1" x14ac:dyDescent="0.35">
      <c r="B129" s="4" t="s">
        <v>2776</v>
      </c>
      <c r="C129" s="362" t="str">
        <f t="array" ref="C129">IF(mgmt_domain_chosen="First Domain",CONCATENATE(sample_mgmt_nsxt_gm_hostname,".",sample_child_dns_zone),sample_mgmt_existing_active_nsx_gm)</f>
        <v>sfo-m01-nsx-gm01.sfo.rainpole.io</v>
      </c>
      <c r="D129" s="337" t="str">
        <f>_xlfn.SINGLE(IF(mgmt_domain_chosen="First Domain",mgmt_nsxt_gm_vip_fqdn,mgmt_existing_active_nsx_gm))</f>
        <v>Value Missing</v>
      </c>
      <c r="E129" s="32"/>
    </row>
    <row r="130" spans="2:5" s="8" customFormat="1" ht="20.05" customHeight="1" x14ac:dyDescent="0.35">
      <c r="B130" s="4" t="s">
        <v>2777</v>
      </c>
      <c r="C130" s="362" t="str">
        <f>sample_mgmt_srm_recovery_nsx_location</f>
        <v>lax-m01</v>
      </c>
      <c r="D130" s="337" t="str">
        <f>mgmt_srm_recovery_nsx_location</f>
        <v>Value Missing</v>
      </c>
      <c r="E130" s="32"/>
    </row>
    <row r="131" spans="2:5" s="8" customFormat="1" ht="20.05" customHeight="1" x14ac:dyDescent="0.35">
      <c r="B131" s="361" t="s">
        <v>261</v>
      </c>
      <c r="C131" s="362"/>
      <c r="D131" s="337"/>
      <c r="E131" s="32"/>
    </row>
    <row r="132" spans="2:5" s="8" customFormat="1" ht="20.05" customHeight="1" x14ac:dyDescent="0.35"/>
    <row r="133" spans="2:5" s="8" customFormat="1" ht="20.05" customHeight="1" x14ac:dyDescent="0.35">
      <c r="B133" s="557" t="s">
        <v>2786</v>
      </c>
      <c r="C133" s="557"/>
      <c r="D133" s="557"/>
      <c r="E133" s="557"/>
    </row>
    <row r="134" spans="2:5" s="8" customFormat="1" ht="20.05" customHeight="1" x14ac:dyDescent="0.35">
      <c r="B134" s="43" t="s">
        <v>261</v>
      </c>
      <c r="C134" s="43" t="s">
        <v>262</v>
      </c>
      <c r="D134" s="130" t="s">
        <v>19</v>
      </c>
      <c r="E134" s="43" t="s">
        <v>20</v>
      </c>
    </row>
    <row r="135" spans="2:5" s="8" customFormat="1" ht="20.05" customHeight="1" x14ac:dyDescent="0.35">
      <c r="B135" s="4" t="s">
        <v>2776</v>
      </c>
      <c r="C135" s="362" t="str">
        <f t="array" ref="C135">IF(mgmt_domain_chosen="First Domain",CONCATENATE(sample_mgmt_nsxt_gm_hostname,".",sample_child_dns_zone),sample_mgmt_existing_active_nsx_gm)</f>
        <v>sfo-m01-nsx-gm01.sfo.rainpole.io</v>
      </c>
      <c r="D135" s="337" t="str">
        <f>_xlfn.SINGLE(IF(mgmt_domain_chosen="First Domain",mgmt_nsxt_gm_vip_fqdn,mgmt_existing_active_nsx_gm))</f>
        <v>Value Missing</v>
      </c>
      <c r="E135" s="32"/>
    </row>
    <row r="136" spans="2:5" s="8" customFormat="1" ht="20.05" customHeight="1" x14ac:dyDescent="0.35">
      <c r="B136" s="4" t="s">
        <v>2777</v>
      </c>
      <c r="C136" s="362" t="str">
        <f>sample_mgmt_srm_recovery_nsx_location</f>
        <v>lax-m01</v>
      </c>
      <c r="D136" s="337" t="str">
        <f>mgmt_srm_recovery_nsx_location</f>
        <v>Value Missing</v>
      </c>
      <c r="E136" s="32"/>
    </row>
    <row r="137" spans="2:5" s="8" customFormat="1" ht="20.05" customHeight="1" x14ac:dyDescent="0.35">
      <c r="B137" s="361" t="s">
        <v>261</v>
      </c>
      <c r="C137" s="362" t="s">
        <v>2787</v>
      </c>
      <c r="D137" s="337" t="str">
        <f>C137</f>
        <v>vrops-https-monitor</v>
      </c>
      <c r="E137" s="32"/>
    </row>
    <row r="138" spans="2:5" s="8" customFormat="1" ht="20.05" customHeight="1" x14ac:dyDescent="0.35"/>
    <row r="139" spans="2:5" s="8" customFormat="1" ht="16" customHeight="1" x14ac:dyDescent="0.35">
      <c r="B139" s="557" t="s">
        <v>2788</v>
      </c>
      <c r="C139" s="557"/>
      <c r="D139" s="557"/>
      <c r="E139" s="557"/>
    </row>
    <row r="140" spans="2:5" s="8" customFormat="1" ht="34" customHeight="1" x14ac:dyDescent="0.35">
      <c r="B140" s="43" t="s">
        <v>261</v>
      </c>
      <c r="C140" s="43" t="s">
        <v>262</v>
      </c>
      <c r="D140" s="130" t="s">
        <v>19</v>
      </c>
      <c r="E140" s="43" t="s">
        <v>20</v>
      </c>
    </row>
    <row r="141" spans="2:5" s="8" customFormat="1" ht="20.05" customHeight="1" x14ac:dyDescent="0.35">
      <c r="B141" s="4" t="s">
        <v>2776</v>
      </c>
      <c r="C141" s="362" t="str">
        <f t="array" ref="C141">IF(mgmt_domain_chosen="First Domain",CONCATENATE(sample_mgmt_nsxt_gm_hostname,".",sample_child_dns_zone),sample_mgmt_existing_active_nsx_gm)</f>
        <v>sfo-m01-nsx-gm01.sfo.rainpole.io</v>
      </c>
      <c r="D141" s="337" t="str">
        <f>_xlfn.SINGLE(IF(mgmt_domain_chosen="First Domain",mgmt_nsxt_gm_vip_fqdn,mgmt_existing_active_nsx_gm))</f>
        <v>Value Missing</v>
      </c>
      <c r="E141" s="32"/>
    </row>
    <row r="142" spans="2:5" s="8" customFormat="1" ht="20.05" customHeight="1" x14ac:dyDescent="0.35">
      <c r="B142" s="4" t="s">
        <v>2777</v>
      </c>
      <c r="C142" s="362" t="str">
        <f>sample_mgmt_srm_recovery_nsx_location</f>
        <v>lax-m01</v>
      </c>
      <c r="D142" s="337" t="str">
        <f>mgmt_srm_recovery_nsx_location</f>
        <v>Value Missing</v>
      </c>
      <c r="E142" s="32"/>
    </row>
    <row r="143" spans="2:5" s="8" customFormat="1" ht="20.05" customHeight="1" x14ac:dyDescent="0.35">
      <c r="B143" s="361" t="s">
        <v>261</v>
      </c>
      <c r="C143" s="362" t="s">
        <v>2789</v>
      </c>
      <c r="D143" s="337" t="str">
        <f>C143</f>
        <v>vrops-server-pool</v>
      </c>
      <c r="E143" s="32"/>
    </row>
    <row r="144" spans="2:5" s="8" customFormat="1" ht="20.05" customHeight="1" x14ac:dyDescent="0.35">
      <c r="B144" s="361" t="s">
        <v>2790</v>
      </c>
      <c r="C144" s="362" t="s">
        <v>2791</v>
      </c>
      <c r="D144" s="337" t="str">
        <f>C144</f>
        <v>vrops01svr01a</v>
      </c>
      <c r="E144" s="32"/>
    </row>
    <row r="145" spans="2:5" s="8" customFormat="1" ht="20.05" customHeight="1" x14ac:dyDescent="0.35">
      <c r="B145" s="361" t="s">
        <v>2792</v>
      </c>
      <c r="C145" s="362" t="str">
        <f>sample_xreg_vrops_nodea_ip</f>
        <v>10.11.10.52</v>
      </c>
      <c r="D145" s="337" t="str">
        <f>xreg_vrops_nodea_ip</f>
        <v>Value Missing</v>
      </c>
      <c r="E145" s="32"/>
    </row>
    <row r="146" spans="2:5" s="8" customFormat="1" ht="20.05" customHeight="1" x14ac:dyDescent="0.35">
      <c r="B146" s="361" t="s">
        <v>2793</v>
      </c>
      <c r="C146" s="362" t="s">
        <v>2794</v>
      </c>
      <c r="D146" s="337" t="str">
        <f>C146</f>
        <v>vrops01svr01b</v>
      </c>
      <c r="E146" s="32"/>
    </row>
    <row r="147" spans="2:5" s="8" customFormat="1" ht="16" customHeight="1" x14ac:dyDescent="0.35">
      <c r="B147" s="361" t="s">
        <v>2795</v>
      </c>
      <c r="C147" s="362" t="str">
        <f>sample_xreg_vrops_nodeb_ip</f>
        <v>10.11.10.53</v>
      </c>
      <c r="D147" s="337" t="str">
        <f>xreg_vrops_nodeb_ip</f>
        <v>Value Missing</v>
      </c>
      <c r="E147" s="32"/>
    </row>
    <row r="148" spans="2:5" s="8" customFormat="1" ht="34" customHeight="1" x14ac:dyDescent="0.35">
      <c r="B148" s="4" t="s">
        <v>2796</v>
      </c>
      <c r="C148" s="362" t="s">
        <v>2797</v>
      </c>
      <c r="D148" s="337" t="str">
        <f>C148</f>
        <v>vrops01svr01c</v>
      </c>
      <c r="E148" s="32"/>
    </row>
    <row r="149" spans="2:5" s="8" customFormat="1" ht="20.05" customHeight="1" x14ac:dyDescent="0.35">
      <c r="B149" s="4" t="s">
        <v>2798</v>
      </c>
      <c r="C149" s="362" t="str">
        <f>sample_xreg_vrops_nodec_ip</f>
        <v>10.11.10.54</v>
      </c>
      <c r="D149" s="337" t="str">
        <f>xreg_vrops_nodec_ip</f>
        <v>Value Missing</v>
      </c>
      <c r="E149" s="32"/>
    </row>
    <row r="150" spans="2:5" s="8" customFormat="1" ht="20.05" customHeight="1" x14ac:dyDescent="0.35">
      <c r="B150" s="361" t="s">
        <v>2799</v>
      </c>
      <c r="C150" s="362" t="s">
        <v>2787</v>
      </c>
      <c r="D150" s="337" t="str">
        <f>C150</f>
        <v>vrops-https-monitor</v>
      </c>
      <c r="E150" s="32"/>
    </row>
    <row r="151" spans="2:5" s="8" customFormat="1" ht="20.05" customHeight="1" x14ac:dyDescent="0.35"/>
    <row r="152" spans="2:5" s="8" customFormat="1" ht="20.05" customHeight="1" x14ac:dyDescent="0.35">
      <c r="B152" s="557" t="s">
        <v>2800</v>
      </c>
      <c r="C152" s="557"/>
      <c r="D152" s="557"/>
      <c r="E152" s="557"/>
    </row>
    <row r="153" spans="2:5" s="8" customFormat="1" ht="20.05" customHeight="1" x14ac:dyDescent="0.35">
      <c r="B153" s="43" t="s">
        <v>261</v>
      </c>
      <c r="C153" s="43" t="s">
        <v>262</v>
      </c>
      <c r="D153" s="130" t="s">
        <v>19</v>
      </c>
      <c r="E153" s="43" t="s">
        <v>20</v>
      </c>
    </row>
    <row r="154" spans="2:5" s="8" customFormat="1" ht="20.05" customHeight="1" x14ac:dyDescent="0.35">
      <c r="B154" s="4" t="s">
        <v>2776</v>
      </c>
      <c r="C154" s="362" t="str">
        <f t="array" ref="C154">IF(mgmt_domain_chosen="First Domain",CONCATENATE(sample_mgmt_nsxt_gm_hostname,".",sample_child_dns_zone),sample_mgmt_existing_active_nsx_gm)</f>
        <v>sfo-m01-nsx-gm01.sfo.rainpole.io</v>
      </c>
      <c r="D154" s="337" t="str">
        <f>_xlfn.SINGLE(IF(mgmt_domain_chosen="First Domain",mgmt_nsxt_gm_vip_fqdn,mgmt_existing_active_nsx_gm))</f>
        <v>Value Missing</v>
      </c>
      <c r="E154" s="32"/>
    </row>
    <row r="155" spans="2:5" s="8" customFormat="1" ht="20.05" customHeight="1" x14ac:dyDescent="0.35">
      <c r="B155" s="4" t="s">
        <v>2777</v>
      </c>
      <c r="C155" s="362" t="str">
        <f>sample_mgmt_srm_recovery_nsx_location</f>
        <v>lax-m01</v>
      </c>
      <c r="D155" s="337" t="str">
        <f>mgmt_srm_recovery_nsx_location</f>
        <v>Value Missing</v>
      </c>
      <c r="E155" s="32"/>
    </row>
    <row r="156" spans="2:5" s="8" customFormat="1" ht="20.05" customHeight="1" x14ac:dyDescent="0.35">
      <c r="B156" s="361" t="s">
        <v>2801</v>
      </c>
      <c r="C156" s="362" t="s">
        <v>2802</v>
      </c>
      <c r="D156" s="337" t="str">
        <f>C156</f>
        <v>vrops-tcp-app-profile</v>
      </c>
      <c r="E156" s="32"/>
    </row>
    <row r="157" spans="2:5" s="8" customFormat="1" ht="20.05" customHeight="1" x14ac:dyDescent="0.35">
      <c r="B157" s="361" t="s">
        <v>2803</v>
      </c>
      <c r="C157" s="362" t="s">
        <v>2804</v>
      </c>
      <c r="D157" s="337" t="str">
        <f>C157</f>
        <v>vrops-http-app-profile-redirect</v>
      </c>
      <c r="E157" s="32"/>
    </row>
    <row r="158" spans="2:5" s="8" customFormat="1" ht="20.05" customHeight="1" x14ac:dyDescent="0.35">
      <c r="B158" s="361" t="s">
        <v>2805</v>
      </c>
      <c r="C158" s="362" t="s">
        <v>2806</v>
      </c>
      <c r="D158" s="337" t="str">
        <f>C158</f>
        <v>vrops-source-ip-persistence-profile</v>
      </c>
      <c r="E158" s="32"/>
    </row>
    <row r="159" spans="2:5" s="8" customFormat="1" ht="20.05" customHeight="1" x14ac:dyDescent="0.35"/>
    <row r="160" spans="2:5" s="8" customFormat="1" ht="20.05" customHeight="1" x14ac:dyDescent="0.35">
      <c r="B160" s="557" t="s">
        <v>2807</v>
      </c>
      <c r="C160" s="557"/>
      <c r="D160" s="557"/>
      <c r="E160" s="557"/>
    </row>
    <row r="161" spans="2:5" s="8" customFormat="1" ht="20.05" customHeight="1" x14ac:dyDescent="0.35">
      <c r="B161" s="43" t="s">
        <v>261</v>
      </c>
      <c r="C161" s="43" t="s">
        <v>262</v>
      </c>
      <c r="D161" s="130" t="s">
        <v>19</v>
      </c>
      <c r="E161" s="43" t="s">
        <v>20</v>
      </c>
    </row>
    <row r="162" spans="2:5" s="8" customFormat="1" ht="16" customHeight="1" x14ac:dyDescent="0.35">
      <c r="B162" s="4" t="s">
        <v>2776</v>
      </c>
      <c r="C162" s="362" t="str">
        <f t="array" ref="C162">IF(mgmt_domain_chosen="First Domain",CONCATENATE(sample_mgmt_nsxt_gm_hostname,".",sample_child_dns_zone),sample_mgmt_existing_active_nsx_gm)</f>
        <v>sfo-m01-nsx-gm01.sfo.rainpole.io</v>
      </c>
      <c r="D162" s="337" t="str">
        <f>_xlfn.SINGLE(IF(mgmt_domain_chosen="First Domain",mgmt_nsxt_gm_vip_fqdn,mgmt_existing_active_nsx_gm))</f>
        <v>Value Missing</v>
      </c>
      <c r="E162" s="32"/>
    </row>
    <row r="163" spans="2:5" s="8" customFormat="1" ht="34" customHeight="1" x14ac:dyDescent="0.35">
      <c r="B163" s="4" t="s">
        <v>2777</v>
      </c>
      <c r="C163" s="362" t="str">
        <f>sample_mgmt_srm_recovery_nsx_location</f>
        <v>lax-m01</v>
      </c>
      <c r="D163" s="337" t="str">
        <f>mgmt_srm_recovery_nsx_location</f>
        <v>Value Missing</v>
      </c>
      <c r="E163" s="32"/>
    </row>
    <row r="164" spans="2:5" s="8" customFormat="1" ht="20.05" customHeight="1" x14ac:dyDescent="0.35">
      <c r="B164" s="4" t="s">
        <v>2808</v>
      </c>
      <c r="C164" s="362" t="s">
        <v>2809</v>
      </c>
      <c r="D164" s="337" t="str">
        <f>C164</f>
        <v>vrops-https</v>
      </c>
      <c r="E164" s="32"/>
    </row>
    <row r="165" spans="2:5" s="8" customFormat="1" ht="20.05" customHeight="1" x14ac:dyDescent="0.35">
      <c r="B165" s="4" t="s">
        <v>2810</v>
      </c>
      <c r="C165" s="362" t="str">
        <f>sample_xreg_vrops_virtual_ip</f>
        <v>10.11.10.21</v>
      </c>
      <c r="D165" s="337" t="str">
        <f>xreg_vrops_virtual_ip</f>
        <v>Value Missing</v>
      </c>
      <c r="E165" s="32"/>
    </row>
    <row r="166" spans="2:5" s="8" customFormat="1" ht="20.05" customHeight="1" x14ac:dyDescent="0.35">
      <c r="B166" s="4" t="s">
        <v>2811</v>
      </c>
      <c r="C166" s="362" t="s">
        <v>2784</v>
      </c>
      <c r="D166" s="337" t="str">
        <f>C166</f>
        <v>recovery-lb01</v>
      </c>
      <c r="E166" s="32"/>
    </row>
    <row r="167" spans="2:5" s="8" customFormat="1" ht="20.05" customHeight="1" x14ac:dyDescent="0.35">
      <c r="B167" s="361" t="s">
        <v>2812</v>
      </c>
      <c r="C167" s="362" t="s">
        <v>2789</v>
      </c>
      <c r="D167" s="337" t="str">
        <f>C167</f>
        <v>vrops-server-pool</v>
      </c>
      <c r="E167" s="32"/>
    </row>
    <row r="168" spans="2:5" s="8" customFormat="1" ht="16" customHeight="1" x14ac:dyDescent="0.35">
      <c r="B168" s="361" t="s">
        <v>2813</v>
      </c>
      <c r="C168" s="362" t="s">
        <v>2806</v>
      </c>
      <c r="D168" s="337" t="str">
        <f>C168</f>
        <v>vrops-source-ip-persistence-profile</v>
      </c>
      <c r="E168" s="32"/>
    </row>
    <row r="169" spans="2:5" s="8" customFormat="1" ht="34" customHeight="1" x14ac:dyDescent="0.35">
      <c r="B169" s="361" t="s">
        <v>2814</v>
      </c>
      <c r="C169" s="362" t="s">
        <v>2802</v>
      </c>
      <c r="D169" s="337" t="str">
        <f>C169</f>
        <v>vrops-tcp-app-profile</v>
      </c>
      <c r="E169" s="32"/>
    </row>
    <row r="170" spans="2:5" s="8" customFormat="1" ht="20.05" customHeight="1" x14ac:dyDescent="0.35">
      <c r="B170" s="361" t="s">
        <v>2815</v>
      </c>
      <c r="C170" s="362" t="s">
        <v>2816</v>
      </c>
      <c r="D170" s="337" t="str">
        <f>C170</f>
        <v>vrops-http-redirect</v>
      </c>
      <c r="E170" s="32"/>
    </row>
    <row r="171" spans="2:5" s="8" customFormat="1" ht="20.05" customHeight="1" x14ac:dyDescent="0.35">
      <c r="B171" s="361" t="s">
        <v>2817</v>
      </c>
      <c r="C171" s="362" t="str">
        <f>sample_xreg_vrops_virtual_ip</f>
        <v>10.11.10.21</v>
      </c>
      <c r="D171" s="337" t="str">
        <f>xreg_vrops_virtual_ip</f>
        <v>Value Missing</v>
      </c>
      <c r="E171" s="32"/>
    </row>
    <row r="172" spans="2:5" s="8" customFormat="1" ht="20.05" customHeight="1" x14ac:dyDescent="0.35">
      <c r="B172" s="4" t="s">
        <v>2818</v>
      </c>
      <c r="C172" s="362" t="s">
        <v>2784</v>
      </c>
      <c r="D172" s="337" t="str">
        <f>C172</f>
        <v>recovery-lb01</v>
      </c>
      <c r="E172" s="32"/>
    </row>
    <row r="173" spans="2:5" s="8" customFormat="1" ht="20.05" customHeight="1" x14ac:dyDescent="0.35">
      <c r="B173" s="4" t="s">
        <v>2819</v>
      </c>
      <c r="C173" s="362" t="s">
        <v>2820</v>
      </c>
      <c r="D173" s="337" t="str">
        <f>C173</f>
        <v>wsa-http-app-profile-redirect</v>
      </c>
      <c r="E173" s="32"/>
    </row>
    <row r="174" spans="2:5" s="8" customFormat="1" ht="20.05" customHeight="1" x14ac:dyDescent="0.35"/>
    <row r="175" spans="2:5" s="8" customFormat="1" ht="20.05" customHeight="1" x14ac:dyDescent="0.35">
      <c r="B175" s="557" t="s">
        <v>2821</v>
      </c>
      <c r="C175" s="557"/>
      <c r="D175" s="557"/>
      <c r="E175" s="557"/>
    </row>
    <row r="176" spans="2:5" s="8" customFormat="1" ht="20.05" customHeight="1" x14ac:dyDescent="0.35">
      <c r="B176" s="43" t="s">
        <v>261</v>
      </c>
      <c r="C176" s="43" t="s">
        <v>262</v>
      </c>
      <c r="D176" s="130" t="s">
        <v>19</v>
      </c>
      <c r="E176" s="43" t="s">
        <v>20</v>
      </c>
    </row>
    <row r="177" spans="2:5" s="8" customFormat="1" ht="20.05" customHeight="1" x14ac:dyDescent="0.35">
      <c r="B177" s="4" t="s">
        <v>2776</v>
      </c>
      <c r="C177" s="362" t="str">
        <f t="array" ref="C177">IF(mgmt_domain_chosen="First Domain",CONCATENATE(sample_mgmt_nsxt_gm_hostname,".",sample_child_dns_zone),sample_mgmt_existing_active_nsx_gm)</f>
        <v>sfo-m01-nsx-gm01.sfo.rainpole.io</v>
      </c>
      <c r="D177" s="337" t="str">
        <f>_xlfn.SINGLE(IF(mgmt_domain_chosen="First Domain",mgmt_nsxt_gm_vip_fqdn,mgmt_existing_active_nsx_gm))</f>
        <v>Value Missing</v>
      </c>
      <c r="E177" s="32"/>
    </row>
    <row r="178" spans="2:5" s="8" customFormat="1" ht="20.05" customHeight="1" x14ac:dyDescent="0.35">
      <c r="B178" s="4" t="s">
        <v>2777</v>
      </c>
      <c r="C178" s="362" t="str">
        <f>sample_mgmt_srm_recovery_nsx_location</f>
        <v>lax-m01</v>
      </c>
      <c r="D178" s="337" t="str">
        <f>mgmt_srm_recovery_nsx_location</f>
        <v>Value Missing</v>
      </c>
      <c r="E178" s="32"/>
    </row>
    <row r="179" spans="2:5" s="8" customFormat="1" ht="20.05" customHeight="1" x14ac:dyDescent="0.35">
      <c r="B179" s="361" t="s">
        <v>261</v>
      </c>
      <c r="C179" s="362" t="s">
        <v>2822</v>
      </c>
      <c r="D179" s="337" t="str">
        <f>C179</f>
        <v>vra-http-monitor</v>
      </c>
      <c r="E179" s="32"/>
    </row>
    <row r="180" spans="2:5" s="8" customFormat="1" ht="20.05" customHeight="1" x14ac:dyDescent="0.35"/>
    <row r="181" spans="2:5" s="8" customFormat="1" ht="16" customHeight="1" x14ac:dyDescent="0.35">
      <c r="B181" s="557" t="s">
        <v>2823</v>
      </c>
      <c r="C181" s="557"/>
      <c r="D181" s="557"/>
      <c r="E181" s="557"/>
    </row>
    <row r="182" spans="2:5" s="8" customFormat="1" ht="34" customHeight="1" x14ac:dyDescent="0.35">
      <c r="B182" s="43" t="s">
        <v>261</v>
      </c>
      <c r="C182" s="43" t="s">
        <v>262</v>
      </c>
      <c r="D182" s="130" t="s">
        <v>19</v>
      </c>
      <c r="E182" s="43" t="s">
        <v>20</v>
      </c>
    </row>
    <row r="183" spans="2:5" s="8" customFormat="1" ht="20.05" customHeight="1" x14ac:dyDescent="0.35">
      <c r="B183" s="4" t="s">
        <v>2776</v>
      </c>
      <c r="C183" s="362" t="str">
        <f t="array" ref="C183">IF(mgmt_domain_chosen="First Domain",CONCATENATE(sample_mgmt_nsxt_gm_hostname,".",sample_child_dns_zone),sample_mgmt_existing_active_nsx_gm)</f>
        <v>sfo-m01-nsx-gm01.sfo.rainpole.io</v>
      </c>
      <c r="D183" s="337" t="str">
        <f>_xlfn.SINGLE(IF(mgmt_domain_chosen="First Domain",mgmt_nsxt_gm_vip_fqdn,mgmt_existing_active_nsx_gm))</f>
        <v>Value Missing</v>
      </c>
      <c r="E183" s="32"/>
    </row>
    <row r="184" spans="2:5" s="8" customFormat="1" ht="20.05" customHeight="1" x14ac:dyDescent="0.35">
      <c r="B184" s="4" t="s">
        <v>2777</v>
      </c>
      <c r="C184" s="362" t="str">
        <f>sample_mgmt_srm_recovery_nsx_location</f>
        <v>lax-m01</v>
      </c>
      <c r="D184" s="337" t="str">
        <f>mgmt_srm_recovery_nsx_location</f>
        <v>Value Missing</v>
      </c>
      <c r="E184" s="32"/>
    </row>
    <row r="185" spans="2:5" s="8" customFormat="1" ht="20.05" customHeight="1" x14ac:dyDescent="0.35">
      <c r="B185" s="361" t="s">
        <v>261</v>
      </c>
      <c r="C185" s="362" t="s">
        <v>2824</v>
      </c>
      <c r="D185" s="337" t="str">
        <f>C185</f>
        <v>vra-server-pool</v>
      </c>
      <c r="E185" s="32"/>
    </row>
    <row r="186" spans="2:5" s="8" customFormat="1" ht="20.05" customHeight="1" x14ac:dyDescent="0.35">
      <c r="B186" s="361" t="s">
        <v>2825</v>
      </c>
      <c r="C186" s="362" t="s">
        <v>2826</v>
      </c>
      <c r="D186" s="337" t="str">
        <f>C186</f>
        <v>vra01svr01a</v>
      </c>
      <c r="E186" s="32"/>
    </row>
    <row r="187" spans="2:5" s="8" customFormat="1" ht="20.05" customHeight="1" x14ac:dyDescent="0.35">
      <c r="B187" s="361" t="s">
        <v>2792</v>
      </c>
      <c r="C187" s="362" t="str">
        <f>sample_xreg_vra_nodea_ip</f>
        <v>10.11.10.46</v>
      </c>
      <c r="D187" s="337" t="str">
        <f>xreg_vra_nodea_ip</f>
        <v>Value Missing</v>
      </c>
      <c r="E187" s="32"/>
    </row>
    <row r="188" spans="2:5" s="8" customFormat="1" ht="16" customHeight="1" x14ac:dyDescent="0.35">
      <c r="B188" s="361" t="s">
        <v>2827</v>
      </c>
      <c r="C188" s="362" t="s">
        <v>2828</v>
      </c>
      <c r="D188" s="337" t="str">
        <f>C188</f>
        <v>vra01svr01b</v>
      </c>
      <c r="E188" s="32"/>
    </row>
    <row r="189" spans="2:5" s="8" customFormat="1" ht="34" customHeight="1" x14ac:dyDescent="0.35">
      <c r="B189" s="361" t="s">
        <v>2795</v>
      </c>
      <c r="C189" s="362" t="str">
        <f>sample_xreg_vra_nodeb_ip</f>
        <v>10.11.10.47</v>
      </c>
      <c r="D189" s="337" t="str">
        <f>xreg_vra_nodeb_ip</f>
        <v>Value Missing</v>
      </c>
      <c r="E189" s="32"/>
    </row>
    <row r="190" spans="2:5" s="8" customFormat="1" ht="20.05" customHeight="1" x14ac:dyDescent="0.35">
      <c r="B190" s="4" t="s">
        <v>2829</v>
      </c>
      <c r="C190" s="362" t="s">
        <v>2830</v>
      </c>
      <c r="D190" s="337" t="str">
        <f>C190</f>
        <v>vra01svr01c</v>
      </c>
      <c r="E190" s="32"/>
    </row>
    <row r="191" spans="2:5" s="8" customFormat="1" ht="20.05" customHeight="1" x14ac:dyDescent="0.35">
      <c r="B191" s="4" t="s">
        <v>2798</v>
      </c>
      <c r="C191" s="362" t="str">
        <f>sample_xreg_vra_nodec_ip</f>
        <v>10.11.10.48</v>
      </c>
      <c r="D191" s="337" t="str">
        <f>xreg_vra_nodec_ip</f>
        <v>Value Missing</v>
      </c>
      <c r="E191" s="32"/>
    </row>
    <row r="192" spans="2:5" s="8" customFormat="1" ht="20.05" customHeight="1" x14ac:dyDescent="0.35">
      <c r="B192" s="361" t="s">
        <v>2799</v>
      </c>
      <c r="C192" s="362" t="s">
        <v>2822</v>
      </c>
      <c r="D192" s="337" t="str">
        <f>C192</f>
        <v>vra-http-monitor</v>
      </c>
      <c r="E192" s="32"/>
    </row>
    <row r="193" spans="2:5" s="8" customFormat="1" ht="20.05" customHeight="1" x14ac:dyDescent="0.35"/>
    <row r="194" spans="2:5" s="8" customFormat="1" ht="20.05" customHeight="1" x14ac:dyDescent="0.35">
      <c r="B194" s="557" t="s">
        <v>2831</v>
      </c>
      <c r="C194" s="557"/>
      <c r="D194" s="557"/>
      <c r="E194" s="557"/>
    </row>
    <row r="195" spans="2:5" s="8" customFormat="1" ht="20.05" customHeight="1" x14ac:dyDescent="0.35">
      <c r="B195" s="43" t="s">
        <v>261</v>
      </c>
      <c r="C195" s="43" t="s">
        <v>262</v>
      </c>
      <c r="D195" s="130" t="s">
        <v>19</v>
      </c>
      <c r="E195" s="43" t="s">
        <v>20</v>
      </c>
    </row>
    <row r="196" spans="2:5" s="8" customFormat="1" ht="20.05" customHeight="1" x14ac:dyDescent="0.35">
      <c r="B196" s="4" t="s">
        <v>2776</v>
      </c>
      <c r="C196" s="362" t="str">
        <f t="array" ref="C196">IF(mgmt_domain_chosen="First Domain",CONCATENATE(sample_mgmt_nsxt_gm_hostname,".",sample_child_dns_zone),sample_mgmt_existing_active_nsx_gm)</f>
        <v>sfo-m01-nsx-gm01.sfo.rainpole.io</v>
      </c>
      <c r="D196" s="337" t="str">
        <f>_xlfn.SINGLE(IF(mgmt_domain_chosen="First Domain",mgmt_nsxt_gm_vip_fqdn,mgmt_existing_active_nsx_gm))</f>
        <v>Value Missing</v>
      </c>
      <c r="E196" s="32"/>
    </row>
    <row r="197" spans="2:5" s="8" customFormat="1" ht="20.05" customHeight="1" x14ac:dyDescent="0.35">
      <c r="B197" s="4" t="s">
        <v>2777</v>
      </c>
      <c r="C197" s="362" t="str">
        <f>sample_mgmt_srm_recovery_nsx_location</f>
        <v>lax-m01</v>
      </c>
      <c r="D197" s="337" t="str">
        <f>mgmt_srm_recovery_nsx_location</f>
        <v>Value Missing</v>
      </c>
      <c r="E197" s="32"/>
    </row>
    <row r="198" spans="2:5" s="8" customFormat="1" ht="20.05" customHeight="1" x14ac:dyDescent="0.35">
      <c r="B198" s="361" t="s">
        <v>2801</v>
      </c>
      <c r="C198" s="362" t="s">
        <v>2832</v>
      </c>
      <c r="D198" s="337" t="str">
        <f>C198</f>
        <v>vra-tcp-app-profile</v>
      </c>
      <c r="E198" s="32"/>
    </row>
    <row r="199" spans="2:5" s="8" customFormat="1" ht="20.05" customHeight="1" x14ac:dyDescent="0.35">
      <c r="B199" s="361" t="s">
        <v>2803</v>
      </c>
      <c r="C199" s="362" t="s">
        <v>2833</v>
      </c>
      <c r="D199" s="337" t="str">
        <f>C199</f>
        <v>vra-http-app-profile-redirect</v>
      </c>
      <c r="E199" s="32"/>
    </row>
    <row r="200" spans="2:5" s="8" customFormat="1" ht="20.05" customHeight="1" x14ac:dyDescent="0.35"/>
    <row r="201" spans="2:5" s="8" customFormat="1" ht="20.05" customHeight="1" x14ac:dyDescent="0.35">
      <c r="B201" s="557" t="s">
        <v>2834</v>
      </c>
      <c r="C201" s="557"/>
      <c r="D201" s="557"/>
      <c r="E201" s="557"/>
    </row>
    <row r="202" spans="2:5" s="8" customFormat="1" ht="16" customHeight="1" x14ac:dyDescent="0.35">
      <c r="B202" s="43" t="s">
        <v>261</v>
      </c>
      <c r="C202" s="43" t="s">
        <v>262</v>
      </c>
      <c r="D202" s="130" t="s">
        <v>19</v>
      </c>
      <c r="E202" s="43" t="s">
        <v>20</v>
      </c>
    </row>
    <row r="203" spans="2:5" s="8" customFormat="1" ht="34" customHeight="1" x14ac:dyDescent="0.35">
      <c r="B203" s="4" t="s">
        <v>2776</v>
      </c>
      <c r="C203" s="362" t="str">
        <f t="array" ref="C203">IF(mgmt_domain_chosen="First Domain",CONCATENATE(sample_mgmt_nsxt_gm_hostname,".",sample_child_dns_zone),sample_mgmt_existing_active_nsx_gm)</f>
        <v>sfo-m01-nsx-gm01.sfo.rainpole.io</v>
      </c>
      <c r="D203" s="337" t="str">
        <f>_xlfn.SINGLE(IF(mgmt_domain_chosen="First Domain",mgmt_nsxt_gm_vip_fqdn,mgmt_existing_active_nsx_gm))</f>
        <v>Value Missing</v>
      </c>
      <c r="E203" s="32"/>
    </row>
    <row r="204" spans="2:5" s="8" customFormat="1" ht="20.05" customHeight="1" x14ac:dyDescent="0.35">
      <c r="B204" s="4" t="s">
        <v>2777</v>
      </c>
      <c r="C204" s="362" t="str">
        <f>sample_mgmt_srm_recovery_nsx_location</f>
        <v>lax-m01</v>
      </c>
      <c r="D204" s="337" t="str">
        <f>mgmt_srm_recovery_nsx_location</f>
        <v>Value Missing</v>
      </c>
      <c r="E204" s="32"/>
    </row>
    <row r="205" spans="2:5" s="8" customFormat="1" ht="20.05" customHeight="1" x14ac:dyDescent="0.35">
      <c r="B205" s="361" t="s">
        <v>2808</v>
      </c>
      <c r="C205" s="362" t="s">
        <v>2835</v>
      </c>
      <c r="D205" s="337" t="str">
        <f>C205</f>
        <v>vra-https</v>
      </c>
      <c r="E205" s="32"/>
    </row>
    <row r="206" spans="2:5" s="8" customFormat="1" ht="20.05" customHeight="1" x14ac:dyDescent="0.35">
      <c r="B206" s="361" t="s">
        <v>2836</v>
      </c>
      <c r="C206" s="362" t="str">
        <f>sample_xreg_vra_virtual_ip</f>
        <v>10.11.10.25</v>
      </c>
      <c r="D206" s="337" t="str">
        <f>xreg_vra_virtual_ip</f>
        <v>Value Missing</v>
      </c>
      <c r="E206" s="32"/>
    </row>
    <row r="207" spans="2:5" s="8" customFormat="1" ht="20.05" customHeight="1" x14ac:dyDescent="0.35">
      <c r="B207" s="361" t="s">
        <v>2811</v>
      </c>
      <c r="C207" s="362" t="s">
        <v>2784</v>
      </c>
      <c r="D207" s="337" t="str">
        <f>C207</f>
        <v>recovery-lb01</v>
      </c>
      <c r="E207" s="32"/>
    </row>
    <row r="208" spans="2:5" s="8" customFormat="1" ht="20.05" customHeight="1" x14ac:dyDescent="0.35">
      <c r="B208" s="361" t="s">
        <v>2837</v>
      </c>
      <c r="C208" s="362" t="s">
        <v>2824</v>
      </c>
      <c r="D208" s="337" t="str">
        <f>C208</f>
        <v>vra-server-pool</v>
      </c>
      <c r="E208" s="32"/>
    </row>
    <row r="209" spans="2:5" s="8" customFormat="1" ht="20.05" customHeight="1" x14ac:dyDescent="0.35">
      <c r="B209" s="361" t="s">
        <v>2838</v>
      </c>
      <c r="C209" s="362" t="s">
        <v>2832</v>
      </c>
      <c r="D209" s="337" t="str">
        <f>C209</f>
        <v>vra-tcp-app-profile</v>
      </c>
      <c r="E209" s="32"/>
    </row>
    <row r="210" spans="2:5" s="8" customFormat="1" ht="16" customHeight="1" x14ac:dyDescent="0.35">
      <c r="B210" s="4" t="s">
        <v>2839</v>
      </c>
      <c r="C210" s="362" t="s">
        <v>2840</v>
      </c>
      <c r="D210" s="337" t="str">
        <f>C210</f>
        <v>vra-http-redirect</v>
      </c>
      <c r="E210" s="32"/>
    </row>
    <row r="211" spans="2:5" s="8" customFormat="1" ht="34" customHeight="1" x14ac:dyDescent="0.35">
      <c r="B211" s="4" t="s">
        <v>2817</v>
      </c>
      <c r="C211" s="362" t="str">
        <f>sample_xreg_vra_virtual_ip</f>
        <v>10.11.10.25</v>
      </c>
      <c r="D211" s="337" t="str">
        <f>xreg_vra_virtual_ip</f>
        <v>Value Missing</v>
      </c>
      <c r="E211" s="32"/>
    </row>
    <row r="212" spans="2:5" s="8" customFormat="1" ht="20.05" customHeight="1" x14ac:dyDescent="0.35">
      <c r="B212" s="361" t="s">
        <v>2818</v>
      </c>
      <c r="C212" s="362" t="s">
        <v>2784</v>
      </c>
      <c r="D212" s="337" t="str">
        <f>C212</f>
        <v>recovery-lb01</v>
      </c>
      <c r="E212" s="32"/>
    </row>
    <row r="213" spans="2:5" s="8" customFormat="1" ht="20.05" customHeight="1" x14ac:dyDescent="0.35">
      <c r="B213" s="361" t="s">
        <v>2841</v>
      </c>
      <c r="C213" s="362" t="s">
        <v>2833</v>
      </c>
      <c r="D213" s="337" t="str">
        <f>C213</f>
        <v>vra-http-app-profile-redirect</v>
      </c>
      <c r="E213" s="32"/>
    </row>
    <row r="214" spans="2:5" s="8" customFormat="1" ht="20.05" customHeight="1" x14ac:dyDescent="0.35"/>
    <row r="216" spans="2:5" s="8" customFormat="1" ht="14.05" customHeight="1" x14ac:dyDescent="0.35"/>
    <row r="217" spans="2:5" s="8" customFormat="1" ht="20.05" customHeight="1" x14ac:dyDescent="0.35">
      <c r="B217" s="556" t="s">
        <v>1617</v>
      </c>
      <c r="C217" s="557"/>
      <c r="D217" s="557"/>
      <c r="E217" s="557"/>
    </row>
    <row r="218" spans="2:5" s="8" customFormat="1" ht="20.05" customHeight="1" x14ac:dyDescent="0.35"/>
    <row r="219" spans="2:5" s="8" customFormat="1" ht="20.05" customHeight="1" x14ac:dyDescent="0.35">
      <c r="B219" s="556" t="s">
        <v>2842</v>
      </c>
      <c r="C219" s="557"/>
      <c r="D219" s="557"/>
      <c r="E219" s="557"/>
    </row>
    <row r="220" spans="2:5" s="8" customFormat="1" ht="20.05" customHeight="1" x14ac:dyDescent="0.35"/>
    <row r="221" spans="2:5" s="8" customFormat="1" ht="20.05" customHeight="1" x14ac:dyDescent="0.35">
      <c r="B221" s="557" t="s">
        <v>2843</v>
      </c>
      <c r="C221" s="557"/>
      <c r="D221" s="557"/>
      <c r="E221" s="557"/>
    </row>
    <row r="222" spans="2:5" s="8" customFormat="1" ht="20.05" customHeight="1" x14ac:dyDescent="0.35">
      <c r="B222" s="43" t="s">
        <v>261</v>
      </c>
      <c r="C222" s="43" t="s">
        <v>262</v>
      </c>
      <c r="D222" s="130" t="s">
        <v>19</v>
      </c>
      <c r="E222" s="43" t="s">
        <v>20</v>
      </c>
    </row>
    <row r="223" spans="2:5" s="8" customFormat="1" ht="20.05" customHeight="1" x14ac:dyDescent="0.35">
      <c r="B223" s="4" t="s">
        <v>368</v>
      </c>
      <c r="C223" s="362" t="str">
        <f>sample_wld_vc_fqdn</f>
        <v>sfo-w01-vc01.sfo.rainpole.io</v>
      </c>
      <c r="D223" s="337" t="str">
        <f>wld_vc_fqdn</f>
        <v>Value Missing</v>
      </c>
      <c r="E223" s="32"/>
    </row>
    <row r="224" spans="2:5" s="8" customFormat="1" ht="16" customHeight="1" x14ac:dyDescent="0.35">
      <c r="B224" s="4" t="s">
        <v>2764</v>
      </c>
      <c r="C224" s="362" t="str">
        <f>sample_wld_vrms_vm_folder</f>
        <v>sfo-w01-fd-vrms</v>
      </c>
      <c r="D224" s="337" t="str">
        <f>wld_vrms_vm_folder</f>
        <v>Value Missing</v>
      </c>
      <c r="E224" s="32"/>
    </row>
    <row r="225" spans="2:5" s="8" customFormat="1" ht="34" customHeight="1" x14ac:dyDescent="0.35"/>
    <row r="226" spans="2:5" s="8" customFormat="1" ht="20.05" customHeight="1" x14ac:dyDescent="0.35">
      <c r="B226" s="557" t="s">
        <v>2844</v>
      </c>
      <c r="C226" s="557"/>
      <c r="D226" s="557"/>
      <c r="E226" s="557"/>
    </row>
    <row r="227" spans="2:5" s="8" customFormat="1" ht="20.05" customHeight="1" x14ac:dyDescent="0.35">
      <c r="B227" s="43" t="s">
        <v>261</v>
      </c>
      <c r="C227" s="43" t="s">
        <v>262</v>
      </c>
      <c r="D227" s="130" t="s">
        <v>19</v>
      </c>
      <c r="E227" s="43" t="s">
        <v>20</v>
      </c>
    </row>
    <row r="228" spans="2:5" s="8" customFormat="1" ht="20.05" customHeight="1" x14ac:dyDescent="0.35">
      <c r="B228" s="4" t="s">
        <v>368</v>
      </c>
      <c r="C228" s="362" t="str">
        <f>sample_wld_vc_fqdn</f>
        <v>sfo-w01-vc01.sfo.rainpole.io</v>
      </c>
      <c r="D228" s="337" t="str">
        <f>wld_vc_fqdn</f>
        <v>Value Missing</v>
      </c>
      <c r="E228" s="32"/>
    </row>
    <row r="229" spans="2:5" s="8" customFormat="1" ht="20.05" customHeight="1" x14ac:dyDescent="0.35">
      <c r="B229" s="361" t="s">
        <v>732</v>
      </c>
      <c r="C229" s="362" t="str">
        <f>sample_wld_cl01_cluster</f>
        <v>sfo-w01-cl01</v>
      </c>
      <c r="D229" s="337" t="str">
        <f>wld_cl01_cluster</f>
        <v>Value Missing</v>
      </c>
      <c r="E229" s="32"/>
    </row>
    <row r="230" spans="2:5" s="8" customFormat="1" ht="20.05" customHeight="1" x14ac:dyDescent="0.35">
      <c r="B230" s="361" t="s">
        <v>2845</v>
      </c>
      <c r="C230" s="362" t="str">
        <f>sample_wld_vrms_hostname</f>
        <v>sfo-w01-vrms01</v>
      </c>
      <c r="D230" s="337" t="str">
        <f>wld_vrms_hostname</f>
        <v>Value Missing</v>
      </c>
      <c r="E230" s="32"/>
    </row>
    <row r="231" spans="2:5" s="8" customFormat="1" ht="20.05" customHeight="1" x14ac:dyDescent="0.35">
      <c r="B231" s="361" t="s">
        <v>2846</v>
      </c>
      <c r="C231" s="362" t="str">
        <f>sample_wld_vrms_vm_folder</f>
        <v>sfo-w01-fd-vrms</v>
      </c>
      <c r="D231" s="337" t="str">
        <f>wld_vrms_vm_folder</f>
        <v>Value Missing</v>
      </c>
      <c r="E231" s="32"/>
    </row>
    <row r="232" spans="2:5" s="8" customFormat="1" ht="20.05" customHeight="1" x14ac:dyDescent="0.35">
      <c r="B232" s="361" t="s">
        <v>2847</v>
      </c>
      <c r="C232" s="362" t="str">
        <f>sample_wld_cl01_cluster</f>
        <v>sfo-w01-cl01</v>
      </c>
      <c r="D232" s="337" t="str">
        <f>wld_cl01_cluster</f>
        <v>Value Missing</v>
      </c>
      <c r="E232" s="32"/>
    </row>
    <row r="233" spans="2:5" s="8" customFormat="1" ht="15.45" x14ac:dyDescent="0.35">
      <c r="B233" s="361" t="s">
        <v>103</v>
      </c>
      <c r="C233" s="362" t="str">
        <f>sample_wld_cl01_vsan_datastore</f>
        <v>sfo-w01-sfo-w01-cl01-vsan01</v>
      </c>
      <c r="D233" s="337" t="str">
        <f>wld_cl01_vsan_datastore</f>
        <v>Value Missing</v>
      </c>
      <c r="E233" s="32"/>
    </row>
    <row r="234" spans="2:5" s="8" customFormat="1" ht="34" customHeight="1" x14ac:dyDescent="0.35">
      <c r="B234" s="4" t="s">
        <v>2848</v>
      </c>
      <c r="C234" s="362" t="str">
        <f>sample_wld_cl01_az1_mgmt_pg</f>
        <v>sfo-w01-cl01-vds01-pg-esxi-mgmt</v>
      </c>
      <c r="D234" s="337" t="str">
        <f>wld_cl01_az1_mgmt_pg</f>
        <v>Value Missing</v>
      </c>
      <c r="E234" s="32"/>
    </row>
    <row r="235" spans="2:5" s="8" customFormat="1" ht="16" customHeight="1" x14ac:dyDescent="0.35">
      <c r="B235" s="4" t="s">
        <v>2849</v>
      </c>
      <c r="C235" s="362" t="str">
        <f>sample_wld_vrms_root_password</f>
        <v>VMw@re1!</v>
      </c>
      <c r="D235" s="337" t="str">
        <f>wld_vrms_root_password</f>
        <v>Value Missing</v>
      </c>
      <c r="E235" s="32"/>
    </row>
    <row r="236" spans="2:5" s="8" customFormat="1" ht="34" customHeight="1" x14ac:dyDescent="0.35">
      <c r="B236" s="361" t="s">
        <v>2850</v>
      </c>
      <c r="C236" s="362" t="str">
        <f>sample_wld_vrms_admin_password</f>
        <v>VMw@re1!</v>
      </c>
      <c r="D236" s="337" t="str">
        <f>wld_vrms_admin_password</f>
        <v>Value Missing</v>
      </c>
      <c r="E236" s="32"/>
    </row>
    <row r="237" spans="2:5" s="8" customFormat="1" ht="16" customHeight="1" x14ac:dyDescent="0.35">
      <c r="B237" s="361" t="s">
        <v>299</v>
      </c>
      <c r="C237" s="362" t="str">
        <f>sample_region_ntp1_server</f>
        <v>ntp0.sfo.rainpole.io</v>
      </c>
      <c r="D237" s="337" t="str">
        <f>region_ntp1_server</f>
        <v>Value Missing</v>
      </c>
      <c r="E237" s="32"/>
    </row>
    <row r="238" spans="2:5" s="8" customFormat="1" ht="34" customHeight="1" x14ac:dyDescent="0.35">
      <c r="B238" s="4" t="s">
        <v>302</v>
      </c>
      <c r="C238" s="362" t="str">
        <f>CONCATENATE(sample_wld_vrms_hostname,".",sample_child_dns_zone)</f>
        <v>sfo-w01-vrms01.sfo.rainpole.io</v>
      </c>
      <c r="D238" s="337" t="str">
        <f>wld_vrms_fqdn</f>
        <v>Value Missing.Value Missing</v>
      </c>
      <c r="E238" s="32"/>
    </row>
    <row r="239" spans="2:5" s="8" customFormat="1" ht="20.05" customHeight="1" x14ac:dyDescent="0.35">
      <c r="B239" s="4" t="s">
        <v>254</v>
      </c>
      <c r="C239" s="362" t="str">
        <f>sample_wld_az1_mgmt_vm_gateway_ip</f>
        <v>10.13.10.1</v>
      </c>
      <c r="D239" s="337" t="str">
        <f>wld_az1_mgmt_vm_gateway_ip</f>
        <v>Value Missing</v>
      </c>
      <c r="E239" s="32"/>
    </row>
    <row r="240" spans="2:5" s="8" customFormat="1" ht="20.05" customHeight="1" x14ac:dyDescent="0.35">
      <c r="B240" s="361" t="s">
        <v>606</v>
      </c>
      <c r="C240" s="362" t="str">
        <f>sample_child_dns_zone</f>
        <v>sfo.rainpole.io</v>
      </c>
      <c r="D240" s="337" t="str">
        <f>child_dns_zone</f>
        <v>Value Missing</v>
      </c>
      <c r="E240" s="32"/>
    </row>
    <row r="241" spans="2:5" s="8" customFormat="1" ht="20.05" customHeight="1" x14ac:dyDescent="0.35">
      <c r="B241" s="361" t="s">
        <v>2851</v>
      </c>
      <c r="C241" s="362" t="str">
        <f>sample_child_dns_zone</f>
        <v>sfo.rainpole.io</v>
      </c>
      <c r="D241" s="337" t="str">
        <f>child_dns_zone</f>
        <v>Value Missing</v>
      </c>
      <c r="E241" s="32"/>
    </row>
    <row r="242" spans="2:5" s="8" customFormat="1" ht="16" customHeight="1" x14ac:dyDescent="0.35">
      <c r="B242" s="361" t="s">
        <v>2852</v>
      </c>
      <c r="C242" s="362" t="str">
        <f>CONCATENATE(sample_region_dns1_ip,",",sample_region_dns2_ip)</f>
        <v>10.11.10.4,10.11.10.5</v>
      </c>
      <c r="D242" s="337" t="str">
        <f>CONCATENATE(region_dns1_ip,",",region_dns2_ip)</f>
        <v>Value Missing,Value Missing</v>
      </c>
      <c r="E242" s="32"/>
    </row>
    <row r="243" spans="2:5" s="8" customFormat="1" ht="34" customHeight="1" x14ac:dyDescent="0.35">
      <c r="B243" s="361" t="s">
        <v>2853</v>
      </c>
      <c r="C243" s="362" t="str">
        <f>sample_wld_vrms_mgmt_ip</f>
        <v>10.13.10.125</v>
      </c>
      <c r="D243" s="337" t="str">
        <f>wld_vrms_mgmt_ip</f>
        <v>Value Missing</v>
      </c>
      <c r="E243" s="32"/>
    </row>
    <row r="244" spans="2:5" s="8" customFormat="1" ht="20.05" customHeight="1" x14ac:dyDescent="0.35">
      <c r="B244" s="361" t="s">
        <v>2854</v>
      </c>
      <c r="C244" s="362">
        <f>INT(RIGHT(sample_wld_az1_mgmt_cidr,LEN(sample_wld_az1_mgmt_cidr)-FIND("/",sample_wld_az1_mgmt_cidr)))</f>
        <v>24</v>
      </c>
      <c r="D244" s="337" t="str">
        <f>IF(wld_az1_mgmt_cidr="Value Missing","Value Missing",IF(wld_az1_mgmt_cidr="Not Required","Not Required",INT(RIGHT(wld_az1_mgmt_cidr,LEN(wld_az1_mgmt_cidr)-FIND("/",wld_az1_mgmt_cidr)))))</f>
        <v>Value Missing</v>
      </c>
      <c r="E244" s="32"/>
    </row>
    <row r="245" spans="2:5" s="8" customFormat="1" ht="20.05" customHeight="1" x14ac:dyDescent="0.35"/>
    <row r="246" spans="2:5" s="8" customFormat="1" ht="20.05" customHeight="1" x14ac:dyDescent="0.35">
      <c r="B246" s="557" t="s">
        <v>2855</v>
      </c>
      <c r="C246" s="557"/>
      <c r="D246" s="557"/>
      <c r="E246" s="557"/>
    </row>
    <row r="247" spans="2:5" s="8" customFormat="1" ht="20.05" customHeight="1" x14ac:dyDescent="0.35">
      <c r="B247" s="43" t="s">
        <v>261</v>
      </c>
      <c r="C247" s="43" t="s">
        <v>262</v>
      </c>
      <c r="D247" s="130" t="s">
        <v>19</v>
      </c>
      <c r="E247" s="43" t="s">
        <v>20</v>
      </c>
    </row>
    <row r="248" spans="2:5" s="8" customFormat="1" ht="20.05" customHeight="1" x14ac:dyDescent="0.35">
      <c r="B248" s="4" t="s">
        <v>2856</v>
      </c>
      <c r="C248" s="362" t="str">
        <f>CONCATENATE(sample_wld_vrms_hostname,".",sample_child_dns_zone)</f>
        <v>sfo-w01-vrms01.sfo.rainpole.io</v>
      </c>
      <c r="D248" s="337" t="str">
        <f>wld_vrms_fqdn</f>
        <v>Value Missing.Value Missing</v>
      </c>
      <c r="E248" s="32"/>
    </row>
    <row r="249" spans="2:5" s="8" customFormat="1" ht="20.05" customHeight="1" x14ac:dyDescent="0.35">
      <c r="B249" s="4" t="s">
        <v>2857</v>
      </c>
      <c r="C249" s="362" t="str">
        <f>sample_wld_vrms_p12_password</f>
        <v>VMw@re1!</v>
      </c>
      <c r="D249" s="337" t="str">
        <f>wld_vrms_p12_password</f>
        <v>Value Missing</v>
      </c>
      <c r="E249" s="32"/>
    </row>
    <row r="250" spans="2:5" s="8" customFormat="1" ht="20.05" customHeight="1" x14ac:dyDescent="0.35"/>
    <row r="251" spans="2:5" s="8" customFormat="1" ht="20.05" customHeight="1" x14ac:dyDescent="0.35">
      <c r="B251" s="557" t="s">
        <v>2858</v>
      </c>
      <c r="C251" s="557"/>
      <c r="D251" s="557"/>
      <c r="E251" s="557"/>
    </row>
    <row r="252" spans="2:5" s="8" customFormat="1" ht="20.05" customHeight="1" x14ac:dyDescent="0.35">
      <c r="B252" s="43" t="s">
        <v>261</v>
      </c>
      <c r="C252" s="43" t="s">
        <v>262</v>
      </c>
      <c r="D252" s="130" t="s">
        <v>19</v>
      </c>
      <c r="E252" s="43" t="s">
        <v>20</v>
      </c>
    </row>
    <row r="253" spans="2:5" s="8" customFormat="1" ht="20.05" customHeight="1" x14ac:dyDescent="0.35">
      <c r="B253" s="4" t="s">
        <v>2856</v>
      </c>
      <c r="C253" s="362" t="str">
        <f>CONCATENATE(sample_wld_vrms_hostname,".",sample_child_dns_zone)</f>
        <v>sfo-w01-vrms01.sfo.rainpole.io</v>
      </c>
      <c r="D253" s="337" t="str">
        <f>wld_vrms_fqdn</f>
        <v>Value Missing.Value Missing</v>
      </c>
      <c r="E253" s="32"/>
    </row>
    <row r="254" spans="2:5" s="8" customFormat="1" ht="20.05" customHeight="1" x14ac:dyDescent="0.35">
      <c r="B254" s="361" t="s">
        <v>2859</v>
      </c>
      <c r="C254" s="362" t="str">
        <f>sample_wld_vc_fqdn</f>
        <v>sfo-w01-vc01.sfo.rainpole.io</v>
      </c>
      <c r="D254" s="337" t="str">
        <f>wld_vc_fqdn</f>
        <v>Value Missing</v>
      </c>
      <c r="E254" s="32"/>
    </row>
    <row r="255" spans="2:5" s="8" customFormat="1" ht="20.05" customHeight="1" x14ac:dyDescent="0.35">
      <c r="B255" s="361" t="s">
        <v>78</v>
      </c>
      <c r="C255" s="362" t="s">
        <v>1844</v>
      </c>
      <c r="D255" s="337" t="str">
        <f>C255</f>
        <v>administrator@vsphere.local</v>
      </c>
      <c r="E255" s="32"/>
    </row>
    <row r="256" spans="2:5" s="8" customFormat="1" ht="20.05" customHeight="1" x14ac:dyDescent="0.35">
      <c r="B256" s="361" t="s">
        <v>29</v>
      </c>
      <c r="C256" s="362" t="str">
        <f>sample_administrator_vsphere_local_password</f>
        <v>VMw@re1!VMw@re1!</v>
      </c>
      <c r="D256" s="337" t="str">
        <f>administrator_vsphere_local_password</f>
        <v>Value Missing</v>
      </c>
      <c r="E256" s="32"/>
    </row>
    <row r="257" spans="2:5" s="8" customFormat="1" ht="20.05" customHeight="1" x14ac:dyDescent="0.35">
      <c r="B257" s="361" t="s">
        <v>1657</v>
      </c>
      <c r="C257" s="362" t="str">
        <f>sample_wld_vc_fqdn</f>
        <v>sfo-w01-vc01.sfo.rainpole.io</v>
      </c>
      <c r="D257" s="337" t="str">
        <f>wld_vc_fqdn</f>
        <v>Value Missing</v>
      </c>
      <c r="E257" s="32"/>
    </row>
    <row r="258" spans="2:5" s="8" customFormat="1" ht="20.05" customHeight="1" x14ac:dyDescent="0.35">
      <c r="B258" s="361" t="s">
        <v>2743</v>
      </c>
      <c r="C258" s="362" t="str">
        <f>sample_wld_vrms_site_name</f>
        <v>SFO-W01</v>
      </c>
      <c r="D258" s="337" t="str">
        <f>wld_vrms_site_name</f>
        <v>Value Missing</v>
      </c>
      <c r="E258" s="32"/>
    </row>
    <row r="259" spans="2:5" s="8" customFormat="1" ht="20.05" customHeight="1" x14ac:dyDescent="0.35">
      <c r="B259" s="4" t="s">
        <v>2860</v>
      </c>
      <c r="C259" s="362" t="str">
        <f>sample_wld_vrms_admin_email</f>
        <v>vrms-administrator@rainpole.io</v>
      </c>
      <c r="D259" s="337" t="str">
        <f>wld_vrms_admin_email</f>
        <v>Value Missing</v>
      </c>
      <c r="E259" s="32"/>
    </row>
    <row r="260" spans="2:5" s="8" customFormat="1" ht="20.05" customHeight="1" x14ac:dyDescent="0.35">
      <c r="B260" s="4" t="s">
        <v>2861</v>
      </c>
      <c r="C260" s="362" t="str">
        <f>CONCATENATE(sample_wld_vrms_hostname,".",sample_child_dns_zone)</f>
        <v>sfo-w01-vrms01.sfo.rainpole.io</v>
      </c>
      <c r="D260" s="337" t="str">
        <f>wld_vrms_fqdn</f>
        <v>Value Missing.Value Missing</v>
      </c>
      <c r="E260" s="32"/>
    </row>
    <row r="261" spans="2:5" s="8" customFormat="1" ht="20.05" customHeight="1" x14ac:dyDescent="0.35"/>
    <row r="262" spans="2:5" s="8" customFormat="1" ht="16" customHeight="1" x14ac:dyDescent="0.35">
      <c r="B262" s="557" t="s">
        <v>2862</v>
      </c>
      <c r="C262" s="557"/>
      <c r="D262" s="557"/>
      <c r="E262" s="557"/>
    </row>
    <row r="263" spans="2:5" s="8" customFormat="1" ht="34" customHeight="1" x14ac:dyDescent="0.35">
      <c r="B263" s="43" t="s">
        <v>261</v>
      </c>
      <c r="C263" s="43" t="s">
        <v>262</v>
      </c>
      <c r="D263" s="130" t="s">
        <v>19</v>
      </c>
      <c r="E263" s="43" t="s">
        <v>20</v>
      </c>
    </row>
    <row r="264" spans="2:5" s="8" customFormat="1" ht="20.05" customHeight="1" x14ac:dyDescent="0.35">
      <c r="B264" s="361" t="s">
        <v>368</v>
      </c>
      <c r="C264" s="362" t="str">
        <f>sample_wld_vc_fqdn</f>
        <v>sfo-w01-vc01.sfo.rainpole.io</v>
      </c>
      <c r="D264" s="337" t="str">
        <f>wld_vc_fqdn</f>
        <v>Value Missing</v>
      </c>
      <c r="E264" s="32"/>
    </row>
    <row r="265" spans="2:5" s="8" customFormat="1" ht="20.05" customHeight="1" x14ac:dyDescent="0.35">
      <c r="B265" s="361" t="s">
        <v>2863</v>
      </c>
      <c r="C265" s="362" t="str">
        <f>sample_mgmt_cl01_vds01_name</f>
        <v>sfo-m01-cl01-vds01</v>
      </c>
      <c r="D265" s="337" t="str">
        <f>mgmt_cl01_vds01_name</f>
        <v>Value Missing</v>
      </c>
      <c r="E265" s="32"/>
    </row>
    <row r="266" spans="2:5" s="8" customFormat="1" ht="20.05" customHeight="1" x14ac:dyDescent="0.35">
      <c r="B266" s="502" t="s">
        <v>2864</v>
      </c>
      <c r="C266" s="503"/>
      <c r="D266" s="503"/>
      <c r="E266" s="504"/>
    </row>
    <row r="267" spans="2:5" s="8" customFormat="1" ht="16" customHeight="1" x14ac:dyDescent="0.35">
      <c r="B267" s="361" t="s">
        <v>261</v>
      </c>
      <c r="D267" s="337" t="str">
        <f>wld_vrms_pg</f>
        <v>Value Missing</v>
      </c>
      <c r="E267" s="32"/>
    </row>
    <row r="268" spans="2:5" s="8" customFormat="1" ht="34" customHeight="1" x14ac:dyDescent="0.4">
      <c r="B268" s="209" t="s">
        <v>85</v>
      </c>
      <c r="D268" s="347"/>
      <c r="E268" s="210"/>
    </row>
    <row r="269" spans="2:5" s="8" customFormat="1" ht="20.05" customHeight="1" x14ac:dyDescent="0.4">
      <c r="B269" s="209" t="s">
        <v>187</v>
      </c>
      <c r="C269" s="80" t="str">
        <f>CONCATENATE(prefix_wld_az1_cidr,"9.1")</f>
        <v>10.13.9.1</v>
      </c>
      <c r="D269" s="347"/>
      <c r="E269" s="362" t="s">
        <v>128</v>
      </c>
    </row>
    <row r="270" spans="2:5" s="8" customFormat="1" ht="20.05" customHeight="1" x14ac:dyDescent="0.4">
      <c r="B270" s="209" t="s">
        <v>188</v>
      </c>
      <c r="C270" s="80" t="str">
        <f>CONCATENATE(prefix_wld_az1_cidr,"9.0/24")</f>
        <v>10.13.9.0/24</v>
      </c>
      <c r="D270" s="347"/>
      <c r="E270" s="210"/>
    </row>
    <row r="271" spans="2:5" s="8" customFormat="1" ht="20.05" customHeight="1" x14ac:dyDescent="0.35">
      <c r="B271" s="22" t="s">
        <v>160</v>
      </c>
      <c r="C271" s="80">
        <v>9000</v>
      </c>
      <c r="D271" s="347"/>
      <c r="E271" s="210"/>
    </row>
    <row r="272" spans="2:5" s="8" customFormat="1" ht="20.05" customHeight="1" x14ac:dyDescent="0.35"/>
    <row r="273" spans="2:5" s="8" customFormat="1" ht="20.05" customHeight="1" x14ac:dyDescent="0.35">
      <c r="B273" s="557" t="s">
        <v>2865</v>
      </c>
      <c r="C273" s="557"/>
      <c r="D273" s="557"/>
      <c r="E273" s="557"/>
    </row>
    <row r="274" spans="2:5" s="8" customFormat="1" ht="20.05" customHeight="1" x14ac:dyDescent="0.35">
      <c r="B274" s="43" t="s">
        <v>261</v>
      </c>
      <c r="C274" s="43" t="s">
        <v>262</v>
      </c>
      <c r="D274" s="130" t="s">
        <v>19</v>
      </c>
      <c r="E274" s="43" t="s">
        <v>20</v>
      </c>
    </row>
    <row r="275" spans="2:5" s="8" customFormat="1" ht="20.05" customHeight="1" x14ac:dyDescent="0.35">
      <c r="B275" s="361" t="s">
        <v>368</v>
      </c>
      <c r="C275" s="362" t="str">
        <f>sample_wld_vc_fqdn</f>
        <v>sfo-w01-vc01.sfo.rainpole.io</v>
      </c>
      <c r="D275" s="337" t="str">
        <f>wld_vc_fqdn</f>
        <v>Value Missing</v>
      </c>
      <c r="E275" s="32"/>
    </row>
    <row r="276" spans="2:5" s="8" customFormat="1" ht="20.05" customHeight="1" x14ac:dyDescent="0.35">
      <c r="B276" s="361" t="s">
        <v>732</v>
      </c>
      <c r="C276" s="362" t="str">
        <f>sample_wld_cl01_cluster</f>
        <v>sfo-w01-cl01</v>
      </c>
      <c r="D276" s="337" t="str">
        <f>wld_cl01_cluster</f>
        <v>Value Missing</v>
      </c>
      <c r="E276" s="32"/>
    </row>
    <row r="277" spans="2:5" s="8" customFormat="1" ht="20.05" customHeight="1" x14ac:dyDescent="0.35">
      <c r="B277" s="361" t="s">
        <v>2866</v>
      </c>
      <c r="C277" s="362" t="str">
        <f>sample_wld_vrms_hostname</f>
        <v>sfo-w01-vrms01</v>
      </c>
      <c r="D277" s="337" t="str">
        <f>wld_vrms_hostname</f>
        <v>Value Missing</v>
      </c>
      <c r="E277" s="32"/>
    </row>
    <row r="278" spans="2:5" s="8" customFormat="1" ht="16" customHeight="1" x14ac:dyDescent="0.35">
      <c r="B278" s="361" t="s">
        <v>2867</v>
      </c>
      <c r="C278" s="362" t="str">
        <f>sample_wld_vrms_pg</f>
        <v>sfo-w01-cl01-vds01-pg-vrms</v>
      </c>
      <c r="D278" s="337" t="str">
        <f>wld_vrms_pg</f>
        <v>Value Missing</v>
      </c>
      <c r="E278" s="32"/>
    </row>
    <row r="279" spans="2:5" s="8" customFormat="1" ht="34" customHeight="1" x14ac:dyDescent="0.35">
      <c r="B279" s="361" t="s">
        <v>2868</v>
      </c>
      <c r="C279" s="362" t="str">
        <f>CONCATENATE(sample_wld_vrms_hostname,".",sample_child_dns_zone)</f>
        <v>sfo-w01-vrms01.sfo.rainpole.io</v>
      </c>
      <c r="D279" s="337" t="str">
        <f>wld_vrms_fqdn</f>
        <v>Value Missing.Value Missing</v>
      </c>
      <c r="E279" s="32"/>
    </row>
    <row r="280" spans="2:5" s="8" customFormat="1" ht="20.05" customHeight="1" x14ac:dyDescent="0.35">
      <c r="B280" s="361" t="s">
        <v>2869</v>
      </c>
      <c r="C280" s="362" t="str">
        <f>sample_wld_vrms_vrms_ip</f>
        <v>10.13.16.125</v>
      </c>
      <c r="D280" s="337" t="str">
        <f>wld_vrms_vrms_ip</f>
        <v>Value Missing</v>
      </c>
      <c r="E280" s="32"/>
    </row>
    <row r="281" spans="2:5" s="8" customFormat="1" ht="20.05" customHeight="1" x14ac:dyDescent="0.35">
      <c r="B281" s="361" t="s">
        <v>2870</v>
      </c>
      <c r="C281" s="362">
        <f>INT(RIGHT(sample_wld_az1_vrms_cidr,LEN(sample_wld_az1_vrms_cidr)-FIND("/",sample_wld_az1_vrms_cidr)))</f>
        <v>24</v>
      </c>
      <c r="D281" s="337" t="str">
        <f>IF(wld_az1_mgmt_cidr="Value Missing","Value Missing",IF(wld_az1_mgmt_cidr="Not Required","Not Required",INT(RIGHT(wld_az1_mgmt_cidr,LEN(wld_az1_mgmt_cidr)-FIND("/",wld_az1_mgmt_cidr)))))</f>
        <v>Value Missing</v>
      </c>
      <c r="E281" s="32"/>
    </row>
    <row r="282" spans="2:5" s="8" customFormat="1" ht="20.05" customHeight="1" x14ac:dyDescent="0.35">
      <c r="B282" s="4" t="s">
        <v>2871</v>
      </c>
      <c r="C282" s="362" t="str">
        <f>sample_wld_az1_mgmt_gateway_ip</f>
        <v>10.13.11.1</v>
      </c>
      <c r="D282" s="337" t="str">
        <f>wld_az1_mgmt_gateway_ip</f>
        <v>Value Missing</v>
      </c>
      <c r="E282" s="32"/>
    </row>
    <row r="283" spans="2:5" s="8" customFormat="1" ht="20.05" customHeight="1" x14ac:dyDescent="0.35">
      <c r="B283" s="4" t="s">
        <v>2872</v>
      </c>
      <c r="C283" s="362" t="str">
        <f>sample_wld_vrms_vrms_ip</f>
        <v>10.13.16.125</v>
      </c>
      <c r="D283" s="337" t="str">
        <f>wld_vrms_vrms_ip</f>
        <v>Value Missing</v>
      </c>
      <c r="E283" s="32"/>
    </row>
    <row r="284" spans="2:5" s="8" customFormat="1" ht="20.05" customHeight="1" x14ac:dyDescent="0.35">
      <c r="B284" s="361" t="s">
        <v>2873</v>
      </c>
      <c r="C284" s="362" t="str">
        <f>sample_wld_az1_vrms_gateway_ip</f>
        <v>10.13.9.1</v>
      </c>
      <c r="D284" s="337" t="str">
        <f>wld_az1_vrms_gateway_ip</f>
        <v>Value Missing</v>
      </c>
      <c r="E284" s="32"/>
    </row>
    <row r="285" spans="2:5" s="8" customFormat="1" ht="20.05" customHeight="1" x14ac:dyDescent="0.35">
      <c r="B285" s="361" t="s">
        <v>2874</v>
      </c>
      <c r="C285" s="362" t="str">
        <f>sample_wld_vrms_recovery_replication_cidr</f>
        <v>10.21.9.0/24</v>
      </c>
      <c r="D285" s="337" t="str">
        <f t="array" ref="D285">wld_vrms_recovery_replication_cidr</f>
        <v>Value Missing</v>
      </c>
      <c r="E285" s="32"/>
    </row>
    <row r="286" spans="2:5" s="8" customFormat="1" ht="20.05" customHeight="1" x14ac:dyDescent="0.35"/>
    <row r="287" spans="2:5" s="8" customFormat="1" ht="20.05" customHeight="1" x14ac:dyDescent="0.35">
      <c r="B287" s="557" t="s">
        <v>2875</v>
      </c>
      <c r="C287" s="557"/>
      <c r="D287" s="557"/>
      <c r="E287" s="557"/>
    </row>
    <row r="288" spans="2:5" s="8" customFormat="1" ht="20.05" customHeight="1" x14ac:dyDescent="0.35">
      <c r="B288" s="43" t="s">
        <v>261</v>
      </c>
      <c r="C288" s="43" t="s">
        <v>262</v>
      </c>
      <c r="D288" s="130" t="s">
        <v>19</v>
      </c>
      <c r="E288" s="43" t="s">
        <v>20</v>
      </c>
    </row>
    <row r="289" spans="2:5" s="8" customFormat="1" ht="20.05" customHeight="1" x14ac:dyDescent="0.35">
      <c r="B289" s="361" t="s">
        <v>368</v>
      </c>
      <c r="C289" s="362" t="str">
        <f>sample_wld_vc_fqdn</f>
        <v>sfo-w01-vc01.sfo.rainpole.io</v>
      </c>
      <c r="D289" s="337" t="str">
        <f>wld_vc_fqdn</f>
        <v>Value Missing</v>
      </c>
      <c r="E289" s="32"/>
    </row>
    <row r="290" spans="2:5" s="8" customFormat="1" ht="16" customHeight="1" x14ac:dyDescent="0.35">
      <c r="B290" s="361" t="s">
        <v>732</v>
      </c>
      <c r="C290" s="362" t="str">
        <f>sample_wld_cl01_cluster</f>
        <v>sfo-w01-cl01</v>
      </c>
      <c r="D290" s="337" t="str">
        <f>wld_cl01_cluster</f>
        <v>Value Missing</v>
      </c>
      <c r="E290" s="32"/>
    </row>
    <row r="291" spans="2:5" s="8" customFormat="1" ht="34" customHeight="1" x14ac:dyDescent="0.35">
      <c r="B291" s="4" t="s">
        <v>604</v>
      </c>
      <c r="C291" s="362" t="str">
        <f>sample_wld_vrms_pg</f>
        <v>sfo-w01-cl01-vds01-pg-vrms</v>
      </c>
      <c r="D291" s="337" t="str">
        <f>wld_vrms_pg</f>
        <v>Value Missing</v>
      </c>
      <c r="E291" s="32"/>
    </row>
    <row r="292" spans="2:5" s="8" customFormat="1" ht="20.05" customHeight="1" x14ac:dyDescent="0.35">
      <c r="B292" s="622" t="s">
        <v>2876</v>
      </c>
      <c r="C292" s="623"/>
      <c r="D292" s="623"/>
      <c r="E292" s="624"/>
    </row>
    <row r="293" spans="2:5" s="8" customFormat="1" ht="20.05" customHeight="1" x14ac:dyDescent="0.35">
      <c r="B293" s="361" t="str">
        <f t="array" ref="B293:B308">wld_az1_host_fqdns</f>
        <v>Value Missing</v>
      </c>
      <c r="C293" s="89" t="str">
        <f>CONCATENATE(prefix_wld_az1_cidr,"9.101")</f>
        <v>10.13.9.101</v>
      </c>
      <c r="D293" s="347"/>
      <c r="E293" s="100" t="s">
        <v>2877</v>
      </c>
    </row>
    <row r="294" spans="2:5" s="8" customFormat="1" ht="20.05" customHeight="1" x14ac:dyDescent="0.35">
      <c r="B294" s="361" t="str">
        <v>Value Missing</v>
      </c>
      <c r="C294" s="89" t="str">
        <f>CONCATENATE(prefix_wld_az1_cidr,"9.102")</f>
        <v>10.13.9.102</v>
      </c>
      <c r="D294" s="347"/>
      <c r="E294" s="100" t="s">
        <v>2878</v>
      </c>
    </row>
    <row r="295" spans="2:5" s="8" customFormat="1" ht="20.05" customHeight="1" x14ac:dyDescent="0.35">
      <c r="B295" s="361" t="str">
        <v>Value Missing</v>
      </c>
      <c r="C295" s="89" t="str">
        <f>CONCATENATE(prefix_wld_az1_cidr,"9.103")</f>
        <v>10.13.9.103</v>
      </c>
      <c r="D295" s="347"/>
      <c r="E295" s="100" t="s">
        <v>2879</v>
      </c>
    </row>
    <row r="296" spans="2:5" s="8" customFormat="1" ht="20.05" customHeight="1" x14ac:dyDescent="0.35">
      <c r="B296" s="361" t="str">
        <v>Value Missing</v>
      </c>
      <c r="C296" s="89" t="str">
        <f>CONCATENATE(prefix_wld_az1_cidr,"9.104")</f>
        <v>10.13.9.104</v>
      </c>
      <c r="D296" s="347"/>
      <c r="E296" s="100" t="s">
        <v>2880</v>
      </c>
    </row>
    <row r="297" spans="2:5" s="8" customFormat="1" ht="20.05" customHeight="1" x14ac:dyDescent="0.35">
      <c r="B297" s="361" t="str">
        <v>Value Missing</v>
      </c>
      <c r="C297" s="89" t="str">
        <f>CONCATENATE(prefix_wld_az1_cidr,"9.105")</f>
        <v>10.13.9.105</v>
      </c>
      <c r="D297" s="347"/>
      <c r="E297" s="100" t="s">
        <v>2881</v>
      </c>
    </row>
    <row r="298" spans="2:5" s="8" customFormat="1" ht="20.05" customHeight="1" x14ac:dyDescent="0.35">
      <c r="B298" s="361" t="str">
        <v>Value Missing</v>
      </c>
      <c r="C298" s="89" t="str">
        <f>CONCATENATE(prefix_wld_az1_cidr,"9.106")</f>
        <v>10.13.9.106</v>
      </c>
      <c r="D298" s="347"/>
      <c r="E298" s="100" t="s">
        <v>2882</v>
      </c>
    </row>
    <row r="299" spans="2:5" s="8" customFormat="1" ht="20.05" customHeight="1" x14ac:dyDescent="0.35">
      <c r="B299" s="4" t="str">
        <v>Value Missing</v>
      </c>
      <c r="C299" s="89" t="str">
        <f>CONCATENATE(prefix_wld_az1_cidr,"9.107")</f>
        <v>10.13.9.107</v>
      </c>
      <c r="D299" s="347"/>
      <c r="E299" s="100" t="s">
        <v>2883</v>
      </c>
    </row>
    <row r="300" spans="2:5" s="8" customFormat="1" ht="20.05" customHeight="1" x14ac:dyDescent="0.35">
      <c r="B300" s="4" t="str">
        <v>Value Missing</v>
      </c>
      <c r="C300" s="89" t="str">
        <f>CONCATENATE(prefix_wld_az1_cidr,"9.108")</f>
        <v>10.13.9.108</v>
      </c>
      <c r="D300" s="347"/>
      <c r="E300" s="100" t="s">
        <v>2884</v>
      </c>
    </row>
    <row r="301" spans="2:5" s="8" customFormat="1" ht="20.05" customHeight="1" x14ac:dyDescent="0.35">
      <c r="B301" s="4" t="str">
        <v>Value Missing</v>
      </c>
      <c r="C301" s="89" t="str">
        <f>CONCATENATE(prefix_wld_az1_cidr,"9.109")</f>
        <v>10.13.9.109</v>
      </c>
      <c r="D301" s="347"/>
      <c r="E301" s="100" t="s">
        <v>2885</v>
      </c>
    </row>
    <row r="302" spans="2:5" s="8" customFormat="1" ht="20.05" customHeight="1" x14ac:dyDescent="0.35">
      <c r="B302" s="361" t="str">
        <v>Value Missing</v>
      </c>
      <c r="C302" s="89" t="str">
        <f>CONCATENATE(prefix_wld_az1_cidr,"9.110")</f>
        <v>10.13.9.110</v>
      </c>
      <c r="D302" s="347"/>
      <c r="E302" s="100" t="s">
        <v>2886</v>
      </c>
    </row>
    <row r="303" spans="2:5" s="8" customFormat="1" ht="20.05" customHeight="1" x14ac:dyDescent="0.35">
      <c r="B303" s="361" t="str">
        <v>Value Missing</v>
      </c>
      <c r="C303" s="89" t="str">
        <f>CONCATENATE(prefix_wld_az1_cidr,"9.111")</f>
        <v>10.13.9.111</v>
      </c>
      <c r="D303" s="347"/>
      <c r="E303" s="100" t="s">
        <v>2887</v>
      </c>
    </row>
    <row r="304" spans="2:5" s="8" customFormat="1" ht="16" customHeight="1" x14ac:dyDescent="0.35">
      <c r="B304" s="361" t="str">
        <v>Value Missing</v>
      </c>
      <c r="C304" s="89" t="str">
        <f>CONCATENATE(prefix_wld_az1_cidr,"9.112")</f>
        <v>10.13.9.112</v>
      </c>
      <c r="D304" s="347"/>
      <c r="E304" s="100" t="s">
        <v>2888</v>
      </c>
    </row>
    <row r="305" spans="2:5" s="8" customFormat="1" ht="34" customHeight="1" x14ac:dyDescent="0.35">
      <c r="B305" s="358" t="str">
        <v>Value Missing</v>
      </c>
      <c r="C305" s="89" t="str">
        <f>CONCATENATE(prefix_wld_az1_cidr,"9.113")</f>
        <v>10.13.9.113</v>
      </c>
      <c r="D305" s="347"/>
      <c r="E305" s="100" t="s">
        <v>2889</v>
      </c>
    </row>
    <row r="306" spans="2:5" s="8" customFormat="1" ht="20.05" customHeight="1" x14ac:dyDescent="0.35">
      <c r="B306" s="358" t="str">
        <v>Value Missing</v>
      </c>
      <c r="C306" s="89" t="str">
        <f>CONCATENATE(prefix_wld_az1_cidr,"9.114")</f>
        <v>10.13.9.114</v>
      </c>
      <c r="D306" s="347"/>
      <c r="E306" s="100" t="s">
        <v>2890</v>
      </c>
    </row>
    <row r="307" spans="2:5" s="8" customFormat="1" ht="20.05" customHeight="1" x14ac:dyDescent="0.35">
      <c r="B307" s="358" t="str">
        <v>Value Missing</v>
      </c>
      <c r="C307" s="89" t="str">
        <f>CONCATENATE(prefix_wld_az1_cidr,"9.115")</f>
        <v>10.13.9.115</v>
      </c>
      <c r="D307" s="347"/>
      <c r="E307" s="100" t="s">
        <v>2891</v>
      </c>
    </row>
    <row r="308" spans="2:5" s="8" customFormat="1" ht="20.05" customHeight="1" x14ac:dyDescent="0.35">
      <c r="B308" s="358" t="str">
        <v>Value Missing</v>
      </c>
      <c r="C308" s="89" t="str">
        <f>CONCATENATE(prefix_wld_az1_cidr,"9.116")</f>
        <v>10.13.9.116</v>
      </c>
      <c r="D308" s="347"/>
      <c r="E308" s="100" t="s">
        <v>2892</v>
      </c>
    </row>
    <row r="309" spans="2:5" s="8" customFormat="1" ht="20.05" customHeight="1" x14ac:dyDescent="0.35">
      <c r="B309" s="622" t="s">
        <v>2893</v>
      </c>
      <c r="C309" s="623"/>
      <c r="D309" s="623"/>
      <c r="E309" s="624"/>
    </row>
    <row r="310" spans="2:5" s="8" customFormat="1" ht="20.05" customHeight="1" x14ac:dyDescent="0.35">
      <c r="B310" s="361" t="str">
        <f t="array" ref="B310:B325">wld_az2_host_fqdns</f>
        <v>Value Missing</v>
      </c>
      <c r="C310" s="89" t="str">
        <f>CONCATENATE(prefix_wld_az2_cidr,"9.101")</f>
        <v>10.14.9.101</v>
      </c>
      <c r="D310" s="347"/>
      <c r="E310" s="100" t="s">
        <v>2877</v>
      </c>
    </row>
    <row r="311" spans="2:5" s="8" customFormat="1" ht="20.05" customHeight="1" x14ac:dyDescent="0.35">
      <c r="B311" s="361" t="str">
        <v>Value Missing</v>
      </c>
      <c r="C311" s="89" t="str">
        <f>CONCATENATE(prefix_wld_az2_cidr,"9.102")</f>
        <v>10.14.9.102</v>
      </c>
      <c r="D311" s="347"/>
      <c r="E311" s="100" t="s">
        <v>2878</v>
      </c>
    </row>
    <row r="312" spans="2:5" s="8" customFormat="1" ht="20.05" customHeight="1" x14ac:dyDescent="0.35">
      <c r="B312" s="361" t="str">
        <v>Value Missing</v>
      </c>
      <c r="C312" s="89" t="str">
        <f>CONCATENATE(prefix_wld_az2_cidr,"9.103")</f>
        <v>10.14.9.103</v>
      </c>
      <c r="D312" s="347"/>
      <c r="E312" s="100" t="s">
        <v>2879</v>
      </c>
    </row>
    <row r="313" spans="2:5" s="8" customFormat="1" ht="20.05" customHeight="1" x14ac:dyDescent="0.35">
      <c r="B313" s="361" t="str">
        <v>Value Missing</v>
      </c>
      <c r="C313" s="89" t="str">
        <f>CONCATENATE(prefix_wld_az2_cidr,"9.104")</f>
        <v>10.14.9.104</v>
      </c>
      <c r="D313" s="347"/>
      <c r="E313" s="100" t="s">
        <v>2880</v>
      </c>
    </row>
    <row r="314" spans="2:5" s="8" customFormat="1" ht="20.05" customHeight="1" x14ac:dyDescent="0.35">
      <c r="B314" s="361" t="str">
        <v>Value Missing</v>
      </c>
      <c r="C314" s="89" t="str">
        <f>CONCATENATE(prefix_wld_az2_cidr,"9.105")</f>
        <v>10.14.9.105</v>
      </c>
      <c r="D314" s="347"/>
      <c r="E314" s="100" t="s">
        <v>2881</v>
      </c>
    </row>
    <row r="315" spans="2:5" s="8" customFormat="1" ht="20.05" customHeight="1" x14ac:dyDescent="0.35">
      <c r="B315" s="361" t="str">
        <v>Value Missing</v>
      </c>
      <c r="C315" s="89" t="str">
        <f>CONCATENATE(prefix_wld_az2_cidr,"9.106")</f>
        <v>10.14.9.106</v>
      </c>
      <c r="D315" s="347"/>
      <c r="E315" s="100" t="s">
        <v>2882</v>
      </c>
    </row>
    <row r="316" spans="2:5" s="8" customFormat="1" ht="20.05" customHeight="1" x14ac:dyDescent="0.35">
      <c r="B316" s="4" t="str">
        <v>Value Missing</v>
      </c>
      <c r="C316" s="89" t="str">
        <f>CONCATENATE(prefix_wld_az2_cidr,"9.107")</f>
        <v>10.14.9.107</v>
      </c>
      <c r="D316" s="347"/>
      <c r="E316" s="100" t="s">
        <v>2883</v>
      </c>
    </row>
    <row r="317" spans="2:5" s="8" customFormat="1" ht="20.05" customHeight="1" x14ac:dyDescent="0.35">
      <c r="B317" s="4" t="str">
        <v>Value Missing</v>
      </c>
      <c r="C317" s="89" t="str">
        <f>CONCATENATE(prefix_wld_az2_cidr,"9.108")</f>
        <v>10.14.9.108</v>
      </c>
      <c r="D317" s="347"/>
      <c r="E317" s="100" t="s">
        <v>2884</v>
      </c>
    </row>
    <row r="318" spans="2:5" s="8" customFormat="1" ht="20.05" customHeight="1" x14ac:dyDescent="0.35">
      <c r="B318" s="4" t="str">
        <v>Value Missing</v>
      </c>
      <c r="C318" s="89" t="str">
        <f>CONCATENATE(prefix_wld_az2_cidr,"9.109")</f>
        <v>10.14.9.109</v>
      </c>
      <c r="D318" s="347"/>
      <c r="E318" s="100" t="s">
        <v>2885</v>
      </c>
    </row>
    <row r="319" spans="2:5" s="8" customFormat="1" ht="20.05" customHeight="1" x14ac:dyDescent="0.35">
      <c r="B319" s="361" t="str">
        <v>Value Missing</v>
      </c>
      <c r="C319" s="89" t="str">
        <f>CONCATENATE(prefix_wld_az2_cidr,"9.110")</f>
        <v>10.14.9.110</v>
      </c>
      <c r="D319" s="347"/>
      <c r="E319" s="100" t="s">
        <v>2886</v>
      </c>
    </row>
    <row r="320" spans="2:5" s="8" customFormat="1" ht="20.05" customHeight="1" x14ac:dyDescent="0.35">
      <c r="B320" s="361" t="str">
        <v>Value Missing</v>
      </c>
      <c r="C320" s="89" t="str">
        <f>CONCATENATE(prefix_wld_az2_cidr,"9.111")</f>
        <v>10.14.9.111</v>
      </c>
      <c r="D320" s="347"/>
      <c r="E320" s="100" t="s">
        <v>2887</v>
      </c>
    </row>
    <row r="321" spans="2:5" s="8" customFormat="1" ht="20.05" customHeight="1" x14ac:dyDescent="0.35">
      <c r="B321" s="361" t="str">
        <v>Value Missing</v>
      </c>
      <c r="C321" s="89" t="str">
        <f>CONCATENATE(prefix_wld_az2_cidr,"9.112")</f>
        <v>10.14.9.112</v>
      </c>
      <c r="D321" s="347"/>
      <c r="E321" s="100" t="s">
        <v>2888</v>
      </c>
    </row>
    <row r="322" spans="2:5" s="8" customFormat="1" ht="20.05" customHeight="1" x14ac:dyDescent="0.35">
      <c r="B322" s="361" t="str">
        <v>Value Missing</v>
      </c>
      <c r="C322" s="89" t="str">
        <f>CONCATENATE(prefix_wld_az2_cidr,"9.113")</f>
        <v>10.14.9.113</v>
      </c>
      <c r="D322" s="347"/>
      <c r="E322" s="100" t="s">
        <v>2889</v>
      </c>
    </row>
    <row r="323" spans="2:5" s="8" customFormat="1" ht="20.05" customHeight="1" x14ac:dyDescent="0.35">
      <c r="B323" s="361" t="str">
        <v>Value Missing</v>
      </c>
      <c r="C323" s="89" t="str">
        <f>CONCATENATE(prefix_wld_az2_cidr,"9.114")</f>
        <v>10.14.9.114</v>
      </c>
      <c r="D323" s="347"/>
      <c r="E323" s="100" t="s">
        <v>2890</v>
      </c>
    </row>
    <row r="324" spans="2:5" s="8" customFormat="1" ht="20.05" customHeight="1" x14ac:dyDescent="0.35">
      <c r="B324" s="361" t="str">
        <v>Value Missing</v>
      </c>
      <c r="C324" s="89" t="str">
        <f>CONCATENATE(prefix_wld_az2_cidr,"9.115")</f>
        <v>10.14.9.115</v>
      </c>
      <c r="D324" s="347"/>
      <c r="E324" s="100" t="s">
        <v>2891</v>
      </c>
    </row>
    <row r="325" spans="2:5" s="8" customFormat="1" ht="20.05" customHeight="1" x14ac:dyDescent="0.35">
      <c r="B325" s="361" t="str">
        <v>Value Missing</v>
      </c>
      <c r="C325" s="89" t="str">
        <f>CONCATENATE(prefix_wld_az2_cidr,"9.116")</f>
        <v>10.14.9.116</v>
      </c>
      <c r="D325" s="347"/>
      <c r="E325" s="100" t="s">
        <v>2892</v>
      </c>
    </row>
    <row r="326" spans="2:5" s="8" customFormat="1" ht="20.05" customHeight="1" x14ac:dyDescent="0.35"/>
    <row r="327" spans="2:5" s="8" customFormat="1" ht="20.05" customHeight="1" x14ac:dyDescent="0.35">
      <c r="B327" s="557" t="s">
        <v>2894</v>
      </c>
      <c r="C327" s="557"/>
      <c r="D327" s="557"/>
      <c r="E327" s="557"/>
    </row>
    <row r="328" spans="2:5" s="8" customFormat="1" ht="20.05" customHeight="1" x14ac:dyDescent="0.35">
      <c r="B328" s="43" t="s">
        <v>261</v>
      </c>
      <c r="C328" s="43" t="s">
        <v>262</v>
      </c>
      <c r="D328" s="130" t="s">
        <v>19</v>
      </c>
      <c r="E328" s="43" t="s">
        <v>20</v>
      </c>
    </row>
    <row r="329" spans="2:5" s="8" customFormat="1" ht="20.05" customHeight="1" x14ac:dyDescent="0.35">
      <c r="B329" s="622" t="s">
        <v>2876</v>
      </c>
      <c r="C329" s="623"/>
      <c r="D329" s="623"/>
      <c r="E329" s="624"/>
    </row>
    <row r="330" spans="2:5" s="8" customFormat="1" ht="20.05" customHeight="1" x14ac:dyDescent="0.35">
      <c r="B330" s="4" t="s">
        <v>2895</v>
      </c>
      <c r="C330" s="362" t="str">
        <f>sample_wld_az1_host1_fqdn</f>
        <v>sfo01-w01-r01-esx01.sfo.rainpole.io</v>
      </c>
      <c r="D330" s="337" t="str">
        <f>wld_az1_host1_fqdn</f>
        <v>Value Missing</v>
      </c>
      <c r="E330" s="32"/>
    </row>
    <row r="331" spans="2:5" s="8" customFormat="1" ht="20.05" customHeight="1" x14ac:dyDescent="0.35">
      <c r="B331" s="4" t="s">
        <v>2896</v>
      </c>
      <c r="C331" s="362" t="str">
        <f>sample_wld_az1_vrms_gateway_ip</f>
        <v>10.13.9.1</v>
      </c>
      <c r="D331" s="337" t="str">
        <f>wld_az1_vrms_gateway_ip</f>
        <v>Value Missing</v>
      </c>
      <c r="E331" s="32"/>
    </row>
    <row r="332" spans="2:5" s="8" customFormat="1" ht="20.05" customHeight="1" x14ac:dyDescent="0.35">
      <c r="B332" s="361" t="s">
        <v>2897</v>
      </c>
      <c r="C332" s="362" t="str">
        <f t="array" ref="C332">sample_wld_vrms_recovery_replication_cidr</f>
        <v>10.21.9.0/24</v>
      </c>
      <c r="D332" s="337" t="str">
        <f t="array" ref="D332">wld_vrms_recovery_replication_cidr</f>
        <v>Value Missing</v>
      </c>
      <c r="E332" s="32"/>
    </row>
    <row r="333" spans="2:5" s="8" customFormat="1" ht="20.05" customHeight="1" x14ac:dyDescent="0.35">
      <c r="B333" s="361" t="s">
        <v>2898</v>
      </c>
      <c r="C333" s="362" t="str">
        <f>sample_wld_az1_host2_fqdn</f>
        <v>sfo01-w01-r01-esx02.sfo.rainpole.io</v>
      </c>
      <c r="D333" s="337" t="str">
        <f>wld_az1_host2_fqdn</f>
        <v>Value Missing</v>
      </c>
      <c r="E333" s="32"/>
    </row>
    <row r="334" spans="2:5" s="8" customFormat="1" ht="20.05" customHeight="1" x14ac:dyDescent="0.35">
      <c r="B334" s="361" t="s">
        <v>2899</v>
      </c>
      <c r="C334" s="362" t="str">
        <f>sample_wld_az1_vrms_gateway_ip</f>
        <v>10.13.9.1</v>
      </c>
      <c r="D334" s="337" t="str">
        <f>wld_az1_vrms_gateway_ip</f>
        <v>Value Missing</v>
      </c>
      <c r="E334" s="32"/>
    </row>
    <row r="335" spans="2:5" s="8" customFormat="1" ht="20.05" customHeight="1" x14ac:dyDescent="0.35">
      <c r="B335" s="361" t="s">
        <v>2900</v>
      </c>
      <c r="C335" s="362" t="str">
        <f t="array" ref="C335">sample_wld_vrms_recovery_replication_cidr</f>
        <v>10.21.9.0/24</v>
      </c>
      <c r="D335" s="337" t="str">
        <f t="array" ref="D335">wld_vrms_recovery_replication_cidr</f>
        <v>Value Missing</v>
      </c>
      <c r="E335" s="32"/>
    </row>
    <row r="336" spans="2:5" s="8" customFormat="1" ht="20.05" customHeight="1" x14ac:dyDescent="0.35">
      <c r="B336" s="361" t="s">
        <v>2901</v>
      </c>
      <c r="C336" s="362" t="str">
        <f>sample_wld_az1_host3_fqdn</f>
        <v>sfo01-w01-r01-esx03.sfo.rainpole.io</v>
      </c>
      <c r="D336" s="337" t="str">
        <f>wld_az1_host3_fqdn</f>
        <v>Value Missing</v>
      </c>
      <c r="E336" s="32"/>
    </row>
    <row r="337" spans="2:5" s="8" customFormat="1" ht="20.05" customHeight="1" x14ac:dyDescent="0.35">
      <c r="B337" s="4" t="s">
        <v>2902</v>
      </c>
      <c r="C337" s="362" t="str">
        <f>sample_wld_az1_vrms_gateway_ip</f>
        <v>10.13.9.1</v>
      </c>
      <c r="D337" s="337" t="str">
        <f>wld_az1_vrms_gateway_ip</f>
        <v>Value Missing</v>
      </c>
      <c r="E337" s="32"/>
    </row>
    <row r="338" spans="2:5" s="8" customFormat="1" ht="20.05" customHeight="1" x14ac:dyDescent="0.35">
      <c r="B338" s="4" t="s">
        <v>2903</v>
      </c>
      <c r="C338" s="362" t="str">
        <f t="array" ref="C338">sample_wld_vrms_recovery_replication_cidr</f>
        <v>10.21.9.0/24</v>
      </c>
      <c r="D338" s="337" t="str">
        <f t="array" ref="D338">wld_vrms_recovery_replication_cidr</f>
        <v>Value Missing</v>
      </c>
      <c r="E338" s="32"/>
    </row>
    <row r="339" spans="2:5" s="8" customFormat="1" ht="20.05" customHeight="1" x14ac:dyDescent="0.35">
      <c r="B339" s="361" t="s">
        <v>2904</v>
      </c>
      <c r="C339" s="362" t="str">
        <f>sample_wld_az1_host4_fqdn</f>
        <v>sfo01-w01-r01-esx04.sfo.rainpole.io</v>
      </c>
      <c r="D339" s="337" t="str">
        <f>wld_az1_host4_fqdn</f>
        <v>Value Missing</v>
      </c>
      <c r="E339" s="32"/>
    </row>
    <row r="340" spans="2:5" s="8" customFormat="1" ht="20.05" customHeight="1" x14ac:dyDescent="0.35">
      <c r="B340" s="361" t="s">
        <v>2905</v>
      </c>
      <c r="C340" s="362" t="str">
        <f>sample_wld_az1_vrms_gateway_ip</f>
        <v>10.13.9.1</v>
      </c>
      <c r="D340" s="337" t="str">
        <f>wld_az1_vrms_gateway_ip</f>
        <v>Value Missing</v>
      </c>
      <c r="E340" s="32"/>
    </row>
    <row r="341" spans="2:5" s="8" customFormat="1" ht="20.05" customHeight="1" x14ac:dyDescent="0.35">
      <c r="B341" s="4" t="s">
        <v>2906</v>
      </c>
      <c r="C341" s="362" t="str">
        <f t="array" ref="C341">sample_wld_vrms_recovery_replication_cidr</f>
        <v>10.21.9.0/24</v>
      </c>
      <c r="D341" s="337" t="str">
        <f t="array" ref="D341">wld_vrms_recovery_replication_cidr</f>
        <v>Value Missing</v>
      </c>
      <c r="E341" s="32"/>
    </row>
    <row r="342" spans="2:5" s="8" customFormat="1" ht="20.05" customHeight="1" x14ac:dyDescent="0.35">
      <c r="B342" s="622" t="s">
        <v>2893</v>
      </c>
      <c r="C342" s="623"/>
      <c r="D342" s="623"/>
      <c r="E342" s="624"/>
    </row>
    <row r="343" spans="2:5" s="8" customFormat="1" ht="20.05" customHeight="1" x14ac:dyDescent="0.35">
      <c r="B343" s="4" t="s">
        <v>2895</v>
      </c>
      <c r="C343" s="362" t="str">
        <f>sample_wld_az2_host1_fqdn</f>
        <v>sfo02-w01-r01-esx01.sfo.rainpole.io</v>
      </c>
      <c r="D343" s="337" t="str">
        <f>wld_az2_host1_fqdn</f>
        <v>Value Missing</v>
      </c>
      <c r="E343" s="32"/>
    </row>
    <row r="344" spans="2:5" s="8" customFormat="1" ht="16" customHeight="1" x14ac:dyDescent="0.35">
      <c r="B344" s="4" t="s">
        <v>2896</v>
      </c>
      <c r="C344" s="362" t="str">
        <f>sample_wld_az1_vrms_gateway_ip</f>
        <v>10.13.9.1</v>
      </c>
      <c r="D344" s="337" t="str">
        <f>wld_az1_vrms_gateway_ip</f>
        <v>Value Missing</v>
      </c>
      <c r="E344" s="32"/>
    </row>
    <row r="345" spans="2:5" s="8" customFormat="1" ht="34" customHeight="1" x14ac:dyDescent="0.35">
      <c r="B345" s="361" t="s">
        <v>2897</v>
      </c>
      <c r="C345" s="362" t="str">
        <f t="array" ref="C345">sample_wld_vrms_recovery_replication_cidr</f>
        <v>10.21.9.0/24</v>
      </c>
      <c r="D345" s="337" t="str">
        <f t="array" ref="D345">wld_vrms_recovery_replication_cidr</f>
        <v>Value Missing</v>
      </c>
      <c r="E345" s="32"/>
    </row>
    <row r="346" spans="2:5" s="8" customFormat="1" ht="20.05" customHeight="1" x14ac:dyDescent="0.35">
      <c r="B346" s="361" t="s">
        <v>2898</v>
      </c>
      <c r="C346" s="362" t="str">
        <f>sample_wld_az2_host2_fqdn</f>
        <v>sfo02-w01-r01-esx02.sfo.rainpole.io</v>
      </c>
      <c r="D346" s="337" t="str">
        <f>wld_az2_host2_fqdn</f>
        <v>Value Missing</v>
      </c>
      <c r="E346" s="32"/>
    </row>
    <row r="347" spans="2:5" s="8" customFormat="1" ht="20.05" customHeight="1" x14ac:dyDescent="0.35">
      <c r="B347" s="361" t="s">
        <v>2899</v>
      </c>
      <c r="C347" s="362" t="str">
        <f>sample_wld_az1_vrms_gateway_ip</f>
        <v>10.13.9.1</v>
      </c>
      <c r="D347" s="337" t="str">
        <f>wld_az1_vrms_gateway_ip</f>
        <v>Value Missing</v>
      </c>
      <c r="E347" s="32"/>
    </row>
    <row r="348" spans="2:5" s="8" customFormat="1" ht="20.05" customHeight="1" x14ac:dyDescent="0.35">
      <c r="B348" s="361" t="s">
        <v>2900</v>
      </c>
      <c r="C348" s="362" t="str">
        <f t="array" ref="C348">sample_wld_vrms_recovery_replication_cidr</f>
        <v>10.21.9.0/24</v>
      </c>
      <c r="D348" s="337" t="str">
        <f t="array" ref="D348">wld_vrms_recovery_replication_cidr</f>
        <v>Value Missing</v>
      </c>
      <c r="E348" s="32"/>
    </row>
    <row r="349" spans="2:5" s="8" customFormat="1" ht="20.05" customHeight="1" x14ac:dyDescent="0.35">
      <c r="B349" s="361" t="s">
        <v>2901</v>
      </c>
      <c r="C349" s="362" t="str">
        <f>sample_wld_az2_host3_fqdn</f>
        <v>sfo02-w01-r01-esx03.sfo.rainpole.io</v>
      </c>
      <c r="D349" s="337" t="str">
        <f>wld_az2_host3_fqdn</f>
        <v>Value Missing</v>
      </c>
      <c r="E349" s="32"/>
    </row>
    <row r="350" spans="2:5" s="8" customFormat="1" ht="20.05" customHeight="1" x14ac:dyDescent="0.35">
      <c r="B350" s="4" t="s">
        <v>2902</v>
      </c>
      <c r="C350" s="362" t="str">
        <f>sample_wld_az1_vrms_gateway_ip</f>
        <v>10.13.9.1</v>
      </c>
      <c r="D350" s="337" t="str">
        <f>wld_az1_vrms_gateway_ip</f>
        <v>Value Missing</v>
      </c>
      <c r="E350" s="32"/>
    </row>
    <row r="351" spans="2:5" s="8" customFormat="1" ht="20.05" customHeight="1" x14ac:dyDescent="0.35">
      <c r="B351" s="4" t="s">
        <v>2903</v>
      </c>
      <c r="C351" s="362" t="str">
        <f t="array" ref="C351">sample_wld_vrms_recovery_replication_cidr</f>
        <v>10.21.9.0/24</v>
      </c>
      <c r="D351" s="337" t="str">
        <f t="array" ref="D351">wld_vrms_recovery_replication_cidr</f>
        <v>Value Missing</v>
      </c>
      <c r="E351" s="32"/>
    </row>
    <row r="352" spans="2:5" s="8" customFormat="1" ht="20.05" customHeight="1" x14ac:dyDescent="0.35">
      <c r="B352" s="361" t="s">
        <v>2904</v>
      </c>
      <c r="C352" s="362" t="str">
        <f>sample_wld_az2_host14_fqdn</f>
        <v>sfo02-w01-r01-esx14.sfo.rainpole.io</v>
      </c>
      <c r="D352" s="337" t="str">
        <f>wld_az2_host4_fqdn</f>
        <v>Value Missing</v>
      </c>
      <c r="E352" s="32"/>
    </row>
    <row r="353" spans="2:5" s="8" customFormat="1" ht="20.05" customHeight="1" x14ac:dyDescent="0.35">
      <c r="B353" s="361" t="s">
        <v>2905</v>
      </c>
      <c r="C353" s="362" t="str">
        <f>sample_wld_az1_vrms_gateway_ip</f>
        <v>10.13.9.1</v>
      </c>
      <c r="D353" s="337" t="str">
        <f>wld_az1_vrms_gateway_ip</f>
        <v>Value Missing</v>
      </c>
      <c r="E353" s="32"/>
    </row>
    <row r="354" spans="2:5" s="8" customFormat="1" ht="20.05" customHeight="1" x14ac:dyDescent="0.35">
      <c r="B354" s="4" t="s">
        <v>2906</v>
      </c>
      <c r="C354" s="362" t="str">
        <f>sample_wld_vrms_recovery_replication_cidr</f>
        <v>10.21.9.0/24</v>
      </c>
      <c r="D354" s="337" t="str">
        <f t="array" ref="D354">wld_vrms_recovery_replication_cidr</f>
        <v>Value Missing</v>
      </c>
      <c r="E354" s="32"/>
    </row>
    <row r="355" spans="2:5" s="8" customFormat="1" ht="20.05" customHeight="1" x14ac:dyDescent="0.35"/>
    <row r="356" spans="2:5" s="8" customFormat="1" ht="20.05" customHeight="1" x14ac:dyDescent="0.35">
      <c r="B356" s="556" t="s">
        <v>2907</v>
      </c>
      <c r="C356" s="557"/>
      <c r="D356" s="557"/>
      <c r="E356" s="557"/>
    </row>
    <row r="357" spans="2:5" s="8" customFormat="1" ht="20.05" customHeight="1" x14ac:dyDescent="0.35"/>
    <row r="358" spans="2:5" s="8" customFormat="1" ht="20.05" customHeight="1" x14ac:dyDescent="0.35">
      <c r="B358" s="557" t="s">
        <v>2908</v>
      </c>
      <c r="C358" s="557"/>
      <c r="D358" s="557"/>
      <c r="E358" s="557"/>
    </row>
    <row r="359" spans="2:5" s="8" customFormat="1" ht="20.05" customHeight="1" x14ac:dyDescent="0.35">
      <c r="B359" s="43" t="s">
        <v>261</v>
      </c>
      <c r="C359" s="43" t="s">
        <v>262</v>
      </c>
      <c r="D359" s="130" t="s">
        <v>19</v>
      </c>
      <c r="E359" s="43" t="s">
        <v>20</v>
      </c>
    </row>
    <row r="360" spans="2:5" s="8" customFormat="1" ht="20.05" customHeight="1" x14ac:dyDescent="0.35">
      <c r="B360" s="361" t="s">
        <v>368</v>
      </c>
      <c r="C360" s="362" t="str">
        <f>sample_mgmt_vc_fqdn</f>
        <v>sfo-m01-vc01.sfo.rainpole.io</v>
      </c>
      <c r="D360" s="337" t="str">
        <f>mgmt_vc_fqdn</f>
        <v>Value Missing</v>
      </c>
      <c r="E360" s="32"/>
    </row>
    <row r="361" spans="2:5" s="8" customFormat="1" ht="20.05" customHeight="1" x14ac:dyDescent="0.35">
      <c r="B361" s="4" t="s">
        <v>2764</v>
      </c>
      <c r="C361" s="362" t="str">
        <f>sample_wld_srm_vm_folder</f>
        <v>sfo-w01-fd-srm</v>
      </c>
      <c r="D361" s="337" t="str">
        <f>wld_srm_vm_folder</f>
        <v>Value Missing</v>
      </c>
      <c r="E361" s="32"/>
    </row>
    <row r="362" spans="2:5" s="8" customFormat="1" ht="20.05" customHeight="1" x14ac:dyDescent="0.35"/>
    <row r="363" spans="2:5" s="8" customFormat="1" ht="20.05" customHeight="1" x14ac:dyDescent="0.35">
      <c r="B363" s="557" t="s">
        <v>2909</v>
      </c>
      <c r="C363" s="510"/>
      <c r="D363" s="510"/>
      <c r="E363" s="511"/>
    </row>
    <row r="364" spans="2:5" s="8" customFormat="1" ht="20.05" customHeight="1" x14ac:dyDescent="0.35">
      <c r="B364" s="43" t="s">
        <v>261</v>
      </c>
      <c r="C364" s="43" t="s">
        <v>262</v>
      </c>
      <c r="D364" s="130" t="s">
        <v>19</v>
      </c>
      <c r="E364" s="43" t="s">
        <v>20</v>
      </c>
    </row>
    <row r="365" spans="2:5" s="8" customFormat="1" ht="20.05" customHeight="1" x14ac:dyDescent="0.35">
      <c r="B365" s="4" t="s">
        <v>2910</v>
      </c>
      <c r="C365" s="362" t="str">
        <f>sample_mgmt_vc_fqdn</f>
        <v>sfo-m01-vc01.sfo.rainpole.io</v>
      </c>
      <c r="D365" s="337" t="str">
        <f>mgmt_vc_fqdn</f>
        <v>Value Missing</v>
      </c>
      <c r="E365" s="32"/>
    </row>
    <row r="366" spans="2:5" s="8" customFormat="1" ht="20.05" customHeight="1" x14ac:dyDescent="0.35">
      <c r="B366" s="361" t="s">
        <v>732</v>
      </c>
      <c r="C366" s="362" t="str">
        <f>sample_mgmt_cl01_cluster</f>
        <v>sfo-m01-cl01</v>
      </c>
      <c r="D366" s="337" t="str">
        <f>mgmt_cl01_cluster</f>
        <v>Value Missing</v>
      </c>
      <c r="E366" s="32"/>
    </row>
    <row r="367" spans="2:5" s="8" customFormat="1" ht="20.05" customHeight="1" x14ac:dyDescent="0.35">
      <c r="B367" s="361" t="s">
        <v>2845</v>
      </c>
      <c r="C367" s="362" t="str">
        <f>sample_wld_srm_hostname</f>
        <v>sfo-w01-srm01</v>
      </c>
      <c r="D367" s="337" t="str">
        <f>wld_srm_hostname</f>
        <v>Value Missing</v>
      </c>
      <c r="E367" s="32"/>
    </row>
    <row r="368" spans="2:5" s="8" customFormat="1" ht="20.05" customHeight="1" x14ac:dyDescent="0.35">
      <c r="B368" s="361" t="s">
        <v>2846</v>
      </c>
      <c r="C368" s="362" t="str">
        <f>sample_wld_srm_vm_folder</f>
        <v>sfo-w01-fd-srm</v>
      </c>
      <c r="D368" s="337" t="str">
        <f>wld_srm_vm_folder</f>
        <v>Value Missing</v>
      </c>
      <c r="E368" s="32"/>
    </row>
    <row r="369" spans="2:5" s="8" customFormat="1" ht="20.05" customHeight="1" x14ac:dyDescent="0.35">
      <c r="B369" s="361" t="s">
        <v>2847</v>
      </c>
      <c r="C369" s="362" t="str">
        <f>sample_mgmt_cl01_cluster</f>
        <v>sfo-m01-cl01</v>
      </c>
      <c r="D369" s="337" t="str">
        <f>mgmt_cl01_cluster</f>
        <v>Value Missing</v>
      </c>
      <c r="E369" s="32"/>
    </row>
    <row r="370" spans="2:5" s="8" customFormat="1" ht="20.05" customHeight="1" x14ac:dyDescent="0.35">
      <c r="B370" s="361" t="s">
        <v>103</v>
      </c>
      <c r="C370" s="362" t="str">
        <f>sample_mgmt_cl01_vsan_datastore</f>
        <v>sfo-m01-cl01-ds-vsan01</v>
      </c>
      <c r="D370" s="337" t="str">
        <f>mgmt_cl01_vsan_datastore</f>
        <v>Value Missing</v>
      </c>
      <c r="E370" s="32"/>
    </row>
    <row r="371" spans="2:5" s="8" customFormat="1" ht="20.05" customHeight="1" x14ac:dyDescent="0.35">
      <c r="B371" s="4" t="s">
        <v>2848</v>
      </c>
      <c r="C371" s="362" t="str">
        <f>sample_mgmt_cl01_az1_mgmt_pg</f>
        <v>sfo-m01-cl01-vds01-pg-mgmt</v>
      </c>
      <c r="D371" s="337" t="str">
        <f>mgmt_cl01_az1_mgmt_pg</f>
        <v>Value Missing</v>
      </c>
      <c r="E371" s="32"/>
    </row>
    <row r="372" spans="2:5" s="8" customFormat="1" ht="20.05" customHeight="1" x14ac:dyDescent="0.35">
      <c r="B372" s="4" t="s">
        <v>2849</v>
      </c>
      <c r="C372" s="362" t="str">
        <f>sample_wld_srm_root_password</f>
        <v>VMw@re1!</v>
      </c>
      <c r="D372" s="337" t="str">
        <f>wld_srm_root_password</f>
        <v>Value Missing</v>
      </c>
      <c r="E372" s="32"/>
    </row>
    <row r="373" spans="2:5" s="8" customFormat="1" ht="16" customHeight="1" x14ac:dyDescent="0.35">
      <c r="B373" s="361" t="s">
        <v>2850</v>
      </c>
      <c r="C373" s="362" t="str">
        <f>sample_wld_srm_admin_password</f>
        <v>VMw@re1!</v>
      </c>
      <c r="D373" s="337" t="str">
        <f>wld_srm_admin_password</f>
        <v>Value Missing</v>
      </c>
      <c r="E373" s="32"/>
    </row>
    <row r="374" spans="2:5" s="8" customFormat="1" ht="34" customHeight="1" x14ac:dyDescent="0.35">
      <c r="B374" s="361" t="s">
        <v>299</v>
      </c>
      <c r="C374" s="362" t="str">
        <f>sample_region_ntp1_server</f>
        <v>ntp0.sfo.rainpole.io</v>
      </c>
      <c r="D374" s="337" t="str">
        <f>region_ntp1_server</f>
        <v>Value Missing</v>
      </c>
      <c r="E374" s="32"/>
    </row>
    <row r="375" spans="2:5" s="8" customFormat="1" ht="16" customHeight="1" x14ac:dyDescent="0.35">
      <c r="B375" s="4" t="s">
        <v>302</v>
      </c>
      <c r="C375" s="362" t="str">
        <f>CONCATENATE(sample_wld_srm_hostname,".",sample_child_dns_zone)</f>
        <v>sfo-w01-srm01.sfo.rainpole.io</v>
      </c>
      <c r="D375" s="337" t="str">
        <f>wld_srm_fqdn</f>
        <v>Value Missing.Value Missing</v>
      </c>
      <c r="E375" s="32"/>
    </row>
    <row r="376" spans="2:5" s="8" customFormat="1" ht="34" customHeight="1" x14ac:dyDescent="0.35">
      <c r="B376" s="361" t="s">
        <v>2911</v>
      </c>
      <c r="C376" s="362" t="str">
        <f>sample_wld_srm_database_password</f>
        <v>VMw@re1!</v>
      </c>
      <c r="D376" s="337" t="str">
        <f>wld_srm_database_password</f>
        <v>Value Missing</v>
      </c>
      <c r="E376" s="32"/>
    </row>
    <row r="377" spans="2:5" s="8" customFormat="1" ht="20.05" customHeight="1" x14ac:dyDescent="0.35">
      <c r="B377" s="4" t="s">
        <v>254</v>
      </c>
      <c r="C377" s="362" t="str">
        <f>sample_mgmt_az1_mgmt_vm_gateway_ip</f>
        <v>10.11.10.1</v>
      </c>
      <c r="D377" s="337" t="str">
        <f>mgmt_az1_mgmt_vm_gateway_ip</f>
        <v>Value Missing</v>
      </c>
      <c r="E377" s="32"/>
    </row>
    <row r="378" spans="2:5" s="8" customFormat="1" ht="20.05" customHeight="1" x14ac:dyDescent="0.35">
      <c r="B378" s="361" t="s">
        <v>606</v>
      </c>
      <c r="C378" s="362" t="str">
        <f>sample_child_dns_zone</f>
        <v>sfo.rainpole.io</v>
      </c>
      <c r="D378" s="337" t="str">
        <f>child_dns_zone</f>
        <v>Value Missing</v>
      </c>
      <c r="E378" s="32"/>
    </row>
    <row r="379" spans="2:5" s="8" customFormat="1" ht="20.05" customHeight="1" x14ac:dyDescent="0.35">
      <c r="B379" s="361" t="s">
        <v>2851</v>
      </c>
      <c r="C379" s="362" t="str">
        <f>sample_child_dns_zone</f>
        <v>sfo.rainpole.io</v>
      </c>
      <c r="D379" s="337" t="str">
        <f>child_dns_zone</f>
        <v>Value Missing</v>
      </c>
      <c r="E379" s="32"/>
    </row>
    <row r="380" spans="2:5" s="8" customFormat="1" ht="16" customHeight="1" x14ac:dyDescent="0.35">
      <c r="B380" s="361" t="s">
        <v>2852</v>
      </c>
      <c r="C380" s="362" t="str">
        <f>CONCATENATE(sample_region_dns1_ip,",",sample_region_dns2_ip)</f>
        <v>10.11.10.4,10.11.10.5</v>
      </c>
      <c r="D380" s="337" t="str">
        <f>CONCATENATE(region_dns1_ip,",",region_dns2_ip)</f>
        <v>Value Missing,Value Missing</v>
      </c>
      <c r="E380" s="32"/>
    </row>
    <row r="381" spans="2:5" s="8" customFormat="1" ht="34" customHeight="1" x14ac:dyDescent="0.35">
      <c r="B381" s="361" t="s">
        <v>2853</v>
      </c>
      <c r="C381" s="362" t="str">
        <f>sample_wld_srm_ip</f>
        <v>10.11.10.127</v>
      </c>
      <c r="D381" s="337" t="str">
        <f>wld_srm_ip</f>
        <v>Value Missing</v>
      </c>
      <c r="E381" s="32"/>
    </row>
    <row r="382" spans="2:5" s="8" customFormat="1" ht="20.05" customHeight="1" x14ac:dyDescent="0.35">
      <c r="B382" s="361" t="s">
        <v>2854</v>
      </c>
      <c r="C382" s="362">
        <f>INT(RIGHT(sample_mgmt_az1_mgmt_cidr,LEN(sample_mgmt_az1_mgmt_cidr)-FIND("/",sample_mgmt_az1_mgmt_cidr)))</f>
        <v>24</v>
      </c>
      <c r="D382" s="337" t="str">
        <f>IF(mgmt_az1_mgmt_cidr="Value Missing","Value Missing",INT(RIGHT(mgmt_az1_mgmt_cidr,LEN(mgmt_az1_mgmt_cidr)-FIND("/",mgmt_az1_mgmt_cidr))))</f>
        <v>Value Missing</v>
      </c>
      <c r="E382" s="32"/>
    </row>
    <row r="383" spans="2:5" s="8" customFormat="1" ht="20.05" customHeight="1" x14ac:dyDescent="0.35"/>
    <row r="384" spans="2:5" s="8" customFormat="1" ht="20.05" customHeight="1" x14ac:dyDescent="0.35">
      <c r="B384" s="509" t="s">
        <v>2912</v>
      </c>
      <c r="C384" s="510"/>
      <c r="D384" s="510"/>
      <c r="E384" s="511"/>
    </row>
    <row r="385" spans="2:5" s="8" customFormat="1" ht="20.05" customHeight="1" x14ac:dyDescent="0.35">
      <c r="B385" s="43" t="s">
        <v>261</v>
      </c>
      <c r="C385" s="43" t="s">
        <v>262</v>
      </c>
      <c r="D385" s="130" t="s">
        <v>19</v>
      </c>
      <c r="E385" s="43" t="s">
        <v>20</v>
      </c>
    </row>
    <row r="386" spans="2:5" s="8" customFormat="1" ht="20.05" customHeight="1" x14ac:dyDescent="0.35">
      <c r="B386" s="4" t="s">
        <v>2913</v>
      </c>
      <c r="C386" s="362" t="str">
        <f>CONCATENATE(sample_wld_srm_hostname,".",sample_child_dns_zone)</f>
        <v>sfo-w01-srm01.sfo.rainpole.io</v>
      </c>
      <c r="D386" s="337" t="str">
        <f>wld_srm_fqdn</f>
        <v>Value Missing.Value Missing</v>
      </c>
      <c r="E386" s="32"/>
    </row>
    <row r="387" spans="2:5" s="8" customFormat="1" ht="20.05" customHeight="1" x14ac:dyDescent="0.35">
      <c r="B387" s="4" t="s">
        <v>2857</v>
      </c>
      <c r="C387" s="362" t="str">
        <f>sample_wld_srm_p12_password</f>
        <v>VMw@re1!</v>
      </c>
      <c r="D387" s="337" t="str">
        <f>wld_srm_p12_password</f>
        <v>Value Missing</v>
      </c>
      <c r="E387" s="32"/>
    </row>
    <row r="388" spans="2:5" s="8" customFormat="1" ht="20.05" customHeight="1" x14ac:dyDescent="0.35"/>
    <row r="389" spans="2:5" s="8" customFormat="1" ht="20.05" customHeight="1" x14ac:dyDescent="0.35">
      <c r="B389" s="509" t="s">
        <v>2914</v>
      </c>
      <c r="C389" s="510"/>
      <c r="D389" s="510"/>
      <c r="E389" s="511"/>
    </row>
    <row r="390" spans="2:5" s="8" customFormat="1" ht="20.05" customHeight="1" x14ac:dyDescent="0.35">
      <c r="B390" s="43" t="s">
        <v>261</v>
      </c>
      <c r="C390" s="43" t="s">
        <v>262</v>
      </c>
      <c r="D390" s="130" t="s">
        <v>19</v>
      </c>
      <c r="E390" s="43" t="s">
        <v>20</v>
      </c>
    </row>
    <row r="391" spans="2:5" s="8" customFormat="1" ht="20.05" customHeight="1" x14ac:dyDescent="0.35">
      <c r="B391" s="4" t="s">
        <v>2913</v>
      </c>
      <c r="C391" s="362" t="str">
        <f>CONCATENATE(sample_wld_srm_hostname,".",sample_child_dns_zone)</f>
        <v>sfo-w01-srm01.sfo.rainpole.io</v>
      </c>
      <c r="D391" s="337" t="str">
        <f>wld_srm_fqdn</f>
        <v>Value Missing.Value Missing</v>
      </c>
      <c r="E391" s="32"/>
    </row>
    <row r="392" spans="2:5" s="8" customFormat="1" ht="20.05" customHeight="1" x14ac:dyDescent="0.35">
      <c r="B392" s="361" t="s">
        <v>2859</v>
      </c>
      <c r="C392" s="362" t="str">
        <f>sample_wld_vc_fqdn</f>
        <v>sfo-w01-vc01.sfo.rainpole.io</v>
      </c>
      <c r="D392" s="337" t="str">
        <f>wld_vc_fqdn</f>
        <v>Value Missing</v>
      </c>
      <c r="E392" s="32"/>
    </row>
    <row r="393" spans="2:5" s="8" customFormat="1" ht="20.05" customHeight="1" x14ac:dyDescent="0.35">
      <c r="B393" s="361" t="s">
        <v>78</v>
      </c>
      <c r="C393" s="362" t="s">
        <v>1844</v>
      </c>
      <c r="D393" s="337" t="str">
        <f>C393</f>
        <v>administrator@vsphere.local</v>
      </c>
      <c r="E393" s="32"/>
    </row>
    <row r="394" spans="2:5" s="8" customFormat="1" ht="20.05" customHeight="1" x14ac:dyDescent="0.35">
      <c r="B394" s="361" t="s">
        <v>29</v>
      </c>
      <c r="C394" s="362" t="str">
        <f>sample_administrator_vsphere_local_password</f>
        <v>VMw@re1!VMw@re1!</v>
      </c>
      <c r="D394" s="337" t="str">
        <f>administrator_vsphere_local_password</f>
        <v>Value Missing</v>
      </c>
      <c r="E394" s="32"/>
    </row>
    <row r="395" spans="2:5" s="8" customFormat="1" ht="20.05" customHeight="1" x14ac:dyDescent="0.35">
      <c r="B395" s="361" t="s">
        <v>1657</v>
      </c>
      <c r="C395" s="362" t="str">
        <f>sample_wld_vc_fqdn</f>
        <v>sfo-w01-vc01.sfo.rainpole.io</v>
      </c>
      <c r="D395" s="337" t="str">
        <f>wld_vc_fqdn</f>
        <v>Value Missing</v>
      </c>
      <c r="E395" s="32"/>
    </row>
    <row r="396" spans="2:5" s="8" customFormat="1" ht="20.05" customHeight="1" x14ac:dyDescent="0.35">
      <c r="B396" s="361" t="s">
        <v>2743</v>
      </c>
      <c r="C396" s="362" t="str">
        <f>sample_wld_srm_site_name</f>
        <v>SFO-W01</v>
      </c>
      <c r="D396" s="337" t="str">
        <f>wld_srm_site_name</f>
        <v>Value Missing</v>
      </c>
      <c r="E396" s="32"/>
    </row>
    <row r="397" spans="2:5" s="8" customFormat="1" ht="20.05" customHeight="1" x14ac:dyDescent="0.35">
      <c r="B397" s="4" t="s">
        <v>2860</v>
      </c>
      <c r="C397" s="362" t="str">
        <f>sample_wld_srm_admin_email</f>
        <v>srm-administrator@rainpole.io</v>
      </c>
      <c r="D397" s="337" t="str">
        <f>wld_srm_admin_email</f>
        <v>Value Missing</v>
      </c>
      <c r="E397" s="32"/>
    </row>
    <row r="398" spans="2:5" s="8" customFormat="1" ht="20.05" customHeight="1" x14ac:dyDescent="0.35">
      <c r="B398" s="4" t="s">
        <v>2861</v>
      </c>
      <c r="C398" s="362" t="str">
        <f>CONCATENATE(sample_wld_srm_hostname,".",sample_child_dns_zone)</f>
        <v>sfo-w01-srm01.sfo.rainpole.io</v>
      </c>
      <c r="D398" s="337" t="str">
        <f>wld_srm_fqdn</f>
        <v>Value Missing.Value Missing</v>
      </c>
      <c r="E398" s="32"/>
    </row>
    <row r="399" spans="2:5" s="8" customFormat="1" ht="20.05" customHeight="1" x14ac:dyDescent="0.35"/>
    <row r="400" spans="2:5" s="8" customFormat="1" ht="20.05" customHeight="1" x14ac:dyDescent="0.35">
      <c r="B400" s="509" t="s">
        <v>2915</v>
      </c>
      <c r="C400" s="510"/>
      <c r="D400" s="510"/>
      <c r="E400" s="511"/>
    </row>
    <row r="401" spans="2:5" s="8" customFormat="1" ht="16" customHeight="1" x14ac:dyDescent="0.35">
      <c r="B401" s="43" t="s">
        <v>261</v>
      </c>
      <c r="C401" s="43" t="s">
        <v>262</v>
      </c>
      <c r="D401" s="130" t="s">
        <v>19</v>
      </c>
      <c r="E401" s="43" t="s">
        <v>20</v>
      </c>
    </row>
    <row r="402" spans="2:5" s="8" customFormat="1" ht="34" customHeight="1" x14ac:dyDescent="0.35">
      <c r="B402" s="361" t="s">
        <v>368</v>
      </c>
      <c r="C402" s="362" t="str">
        <f>sample_wld_vc_fqdn</f>
        <v>sfo-w01-vc01.sfo.rainpole.io</v>
      </c>
      <c r="D402" s="337" t="str">
        <f>wld_vc_fqdn</f>
        <v>Value Missing</v>
      </c>
      <c r="E402" s="32"/>
    </row>
    <row r="403" spans="2:5" s="8" customFormat="1" ht="20.05" customHeight="1" x14ac:dyDescent="0.35">
      <c r="B403" s="4" t="s">
        <v>2916</v>
      </c>
      <c r="C403" s="362"/>
      <c r="D403" s="337"/>
      <c r="E403" s="32"/>
    </row>
    <row r="404" spans="2:5" s="8" customFormat="1" ht="20.05" customHeight="1" x14ac:dyDescent="0.35">
      <c r="B404" s="361" t="s">
        <v>2917</v>
      </c>
      <c r="C404" s="362" t="s">
        <v>2109</v>
      </c>
      <c r="D404" s="337" t="str">
        <f>C404</f>
        <v>Site Recovery Manager</v>
      </c>
      <c r="E404" s="32"/>
    </row>
    <row r="405" spans="2:5" s="8" customFormat="1" ht="20.05" customHeight="1" x14ac:dyDescent="0.35">
      <c r="B405" s="361" t="s">
        <v>2918</v>
      </c>
      <c r="C405" s="362" t="str">
        <f>sample_wld_srm_site_name</f>
        <v>SFO-W01</v>
      </c>
      <c r="D405" s="337" t="str">
        <f>wld_srm_site_name</f>
        <v>Value Missing</v>
      </c>
      <c r="E405" s="32"/>
    </row>
    <row r="406" spans="2:5" s="8" customFormat="1" ht="16" customHeight="1" x14ac:dyDescent="0.35">
      <c r="B406" s="361" t="s">
        <v>2919</v>
      </c>
      <c r="C406" s="362"/>
      <c r="D406" s="337"/>
      <c r="E406" s="32"/>
    </row>
    <row r="407" spans="2:5" s="8" customFormat="1" ht="34" customHeight="1" x14ac:dyDescent="0.35"/>
    <row r="408" spans="2:5" s="8" customFormat="1" ht="20.05" customHeight="1" x14ac:dyDescent="0.35">
      <c r="B408" s="556" t="s">
        <v>2920</v>
      </c>
      <c r="C408" s="557"/>
      <c r="D408" s="557"/>
      <c r="E408" s="557"/>
    </row>
    <row r="409" spans="2:5" s="8" customFormat="1" ht="20.05" customHeight="1" x14ac:dyDescent="0.35"/>
    <row r="410" spans="2:5" s="8" customFormat="1" ht="20.05" customHeight="1" x14ac:dyDescent="0.35">
      <c r="B410" s="557" t="s">
        <v>2921</v>
      </c>
      <c r="C410" s="557"/>
      <c r="D410" s="557"/>
      <c r="E410" s="557"/>
    </row>
    <row r="411" spans="2:5" s="8" customFormat="1" ht="20.05" customHeight="1" x14ac:dyDescent="0.35">
      <c r="B411" s="43" t="s">
        <v>261</v>
      </c>
      <c r="C411" s="43" t="s">
        <v>262</v>
      </c>
      <c r="D411" s="130" t="s">
        <v>19</v>
      </c>
      <c r="E411" s="43" t="s">
        <v>20</v>
      </c>
    </row>
    <row r="412" spans="2:5" s="8" customFormat="1" ht="20.05" customHeight="1" x14ac:dyDescent="0.35">
      <c r="B412" s="361" t="s">
        <v>2763</v>
      </c>
      <c r="C412" s="362" t="str">
        <f>sample_wld_vc_fqdn</f>
        <v>sfo-w01-vc01.sfo.rainpole.io</v>
      </c>
      <c r="D412" s="337" t="str">
        <f>wld_vc_fqdn</f>
        <v>Value Missing</v>
      </c>
      <c r="E412" s="32"/>
    </row>
    <row r="413" spans="2:5" s="8" customFormat="1" ht="20.05" customHeight="1" x14ac:dyDescent="0.35">
      <c r="B413" s="361" t="s">
        <v>2922</v>
      </c>
      <c r="C413" s="362" t="str">
        <f>sample_wld_vc_fqdn</f>
        <v>sfo-w01-vc01.sfo.rainpole.io</v>
      </c>
      <c r="D413" s="337" t="str">
        <f>wld_vc_fqdn</f>
        <v>Value Missing</v>
      </c>
      <c r="E413" s="32"/>
    </row>
    <row r="414" spans="2:5" s="8" customFormat="1" ht="20.05" customHeight="1" x14ac:dyDescent="0.35">
      <c r="B414" s="361" t="s">
        <v>2923</v>
      </c>
      <c r="C414" s="362" t="s">
        <v>2924</v>
      </c>
      <c r="D414" s="337" t="str">
        <f>IF(wld_srm_sso_domain_membership="Value Missing","Value Missing",IF(wld_srm_sso_domain_membership="Same SSO Domain","Pair with a peer vCenter Server located in the same SSO domain","Pair with a peer vCenter Server located in a different SSO domain"))</f>
        <v>Value Missing</v>
      </c>
      <c r="E414" s="32"/>
    </row>
    <row r="415" spans="2:5" s="8" customFormat="1" ht="20.05" customHeight="1" x14ac:dyDescent="0.35">
      <c r="B415" s="361" t="s">
        <v>2859</v>
      </c>
      <c r="C415" s="362" t="str">
        <f>sample_wld_srm_recovery_vcenter_fqdn</f>
        <v>lax-w01-vc01.lax.rainpole.io</v>
      </c>
      <c r="D415" s="337" t="str">
        <f>wld_srm_recovery_vcenter_fqdn</f>
        <v>Value Missing</v>
      </c>
      <c r="E415" s="32"/>
    </row>
    <row r="416" spans="2:5" s="8" customFormat="1" ht="20.05" customHeight="1" x14ac:dyDescent="0.35">
      <c r="B416" s="361" t="s">
        <v>78</v>
      </c>
      <c r="C416" s="362" t="str">
        <f>sample_wld_srm_recovery_vcenter_username</f>
        <v>administrator@vsphere.local</v>
      </c>
      <c r="D416" s="337" t="str">
        <f>wld_srm_recovery_vcenter_username</f>
        <v>Value Missing</v>
      </c>
      <c r="E416" s="32"/>
    </row>
    <row r="417" spans="2:5" s="8" customFormat="1" ht="16" customHeight="1" x14ac:dyDescent="0.35">
      <c r="B417" s="4" t="s">
        <v>29</v>
      </c>
      <c r="C417" s="362" t="str">
        <f>sample_wld_srm_recovery_vcenter_password</f>
        <v>VMw@re1!</v>
      </c>
      <c r="D417" s="337" t="str">
        <f>wld_srm_recovery_vcenter_password</f>
        <v>Value Missing</v>
      </c>
      <c r="E417" s="32"/>
    </row>
    <row r="418" spans="2:5" s="8" customFormat="1" ht="34" customHeight="1" x14ac:dyDescent="0.35">
      <c r="B418" s="4" t="s">
        <v>2925</v>
      </c>
      <c r="C418" s="362" t="str">
        <f>sample_wld_srm_recovery_vcenter_fqdn</f>
        <v>lax-w01-vc01.lax.rainpole.io</v>
      </c>
      <c r="D418" s="337" t="str">
        <f>wld_srm_recovery_vcenter_fqdn</f>
        <v>Value Missing</v>
      </c>
      <c r="E418" s="32"/>
    </row>
    <row r="419" spans="2:5" s="8" customFormat="1" ht="20.05" customHeight="1" x14ac:dyDescent="0.35"/>
    <row r="507" spans="2:5" ht="20.05" customHeight="1" x14ac:dyDescent="0.45">
      <c r="B507" s="496" t="str">
        <f>IF(OR(cluster_secondary_storage_chosen="Secondary NFS Storage Network",wld_secondary_storage_chosen="Secondary NFS Storage Network"),"NFS Storage Network","vSAN Storage Client")</f>
        <v>vSAN Storage Client</v>
      </c>
      <c r="C507" s="497"/>
      <c r="D507" s="497"/>
      <c r="E507" s="498"/>
    </row>
    <row r="508" spans="2:5" ht="20.05" customHeight="1" x14ac:dyDescent="0.45">
      <c r="B508" s="4" t="s">
        <v>85</v>
      </c>
      <c r="C508" s="80" t="str">
        <f>IF(cluster_wld_domain_chosen&lt;&gt;"MGMT Workload Domain",CONCATENATE(prefix_wld_az1_rack_vlan,"26"),CONCATENATE(prefix_mgmt_az1_vlan,"26"))</f>
        <v>1326</v>
      </c>
      <c r="D508" s="347"/>
      <c r="E508" s="32"/>
    </row>
    <row r="509" spans="2:5" ht="20.05" customHeight="1" x14ac:dyDescent="0.45">
      <c r="B509" s="4" t="s">
        <v>160</v>
      </c>
      <c r="C509" s="80">
        <v>9000</v>
      </c>
      <c r="D509" s="347"/>
      <c r="E509" s="56"/>
    </row>
    <row r="510" spans="2:5" ht="20.05" customHeight="1" x14ac:dyDescent="0.45">
      <c r="B510" s="4" t="s">
        <v>188</v>
      </c>
      <c r="C510" s="80" t="str">
        <f>IF(cluster_wld_domain_chosen&lt;&gt;"MGMT Workload Domain",CONCATENATE(prefix_wld_az1_rack_cidr,"26.0"),CONCATENATE(prefix_mgmt_az1_cidr,"26.0"))</f>
        <v>10.13.26.0</v>
      </c>
      <c r="D510" s="347"/>
      <c r="E510" s="32"/>
    </row>
    <row r="511" spans="2:5" ht="20.05" customHeight="1" x14ac:dyDescent="0.45">
      <c r="B511" s="4" t="s">
        <v>285</v>
      </c>
      <c r="C511" s="80" t="s">
        <v>128</v>
      </c>
      <c r="D511" s="347"/>
      <c r="E511" s="32"/>
    </row>
    <row r="512" spans="2:5" ht="20.05" customHeight="1" x14ac:dyDescent="0.45">
      <c r="B512" s="4" t="s">
        <v>187</v>
      </c>
      <c r="C512" s="80" t="str">
        <f>IF(cluster_wld_domain_chosen&lt;&gt;"MGMT Workload Domain",CONCATENATE(prefix_wld_az1_rack_cidr,"26.1"),CONCATENATE(prefix_mgmt_az1_cidr,"26.1"))</f>
        <v>10.13.26.1</v>
      </c>
      <c r="D512" s="347"/>
      <c r="E512" s="32" t="str">
        <f>IF(AND(mgmt_stretched_cluster_result="Included",mgmt_dpg_reuse_result="Excluded"),"Stretched L2","")</f>
        <v/>
      </c>
    </row>
    <row r="513" spans="2:5" ht="20.05" customHeight="1" x14ac:dyDescent="0.45">
      <c r="B513" s="17" t="s">
        <v>255</v>
      </c>
      <c r="C513" s="80" t="str">
        <f>IF(cluster_wld_domain_chosen&lt;&gt;"MGMT Workload Domain",CONCATENATE(prefix_wld_az1_rack_cidr,"26.101"),CONCATENATE(prefix_mgmt_az1_cidr,"26.101"))</f>
        <v>10.13.26.101</v>
      </c>
      <c r="D513" s="140"/>
      <c r="E513"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14" spans="2:5" ht="20.05" customHeight="1" x14ac:dyDescent="0.45">
      <c r="B514" s="17" t="s">
        <v>256</v>
      </c>
      <c r="C514" s="80" t="str">
        <f>IF(cluster_wld_domain_chosen&lt;&gt;"MGMT Workload Domain",CONCATENATE(prefix_wld_az1_rack_cidr,"26.116"),CONCATENATE(prefix_mgmt_az1_cidr,"26.116"))</f>
        <v>10.13.26.116</v>
      </c>
      <c r="D514" s="140"/>
      <c r="E514"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15" spans="2:5" ht="20.05" customHeight="1" x14ac:dyDescent="0.45">
      <c r="B515" s="496" t="str">
        <f>IF(OR(cluster_secondary_storage_chosen="Secondary NFS Storage Network",wld_secondary_storage_chosen="Secondary NFS Storage Network"),"NFS Storage Network","vSAN Storage Client")</f>
        <v>vSAN Storage Client</v>
      </c>
      <c r="C515" s="497"/>
      <c r="D515" s="497"/>
      <c r="E515" s="498"/>
    </row>
    <row r="516" spans="2:5" ht="20.05" customHeight="1" x14ac:dyDescent="0.45">
      <c r="B516" s="4" t="s">
        <v>85</v>
      </c>
      <c r="C516" s="89" t="str">
        <f>IF(cluster_wld_domain_chosen&lt;&gt;"MGMT Workload Domain",CONCATENATE(prefix_wld_az1_rack_vlan,"37"),CONCATENATE(prefix_mgmt_az1_vlan,"37"))</f>
        <v>1337</v>
      </c>
      <c r="D516" s="347"/>
      <c r="E516" s="32"/>
    </row>
    <row r="517" spans="2:5" ht="20.05" customHeight="1" x14ac:dyDescent="0.45">
      <c r="B517" s="4" t="s">
        <v>160</v>
      </c>
      <c r="C517" s="89">
        <v>9000</v>
      </c>
      <c r="D517" s="347"/>
      <c r="E517" s="56"/>
    </row>
    <row r="518" spans="2:5" ht="20.05" customHeight="1" x14ac:dyDescent="0.45">
      <c r="B518" s="4" t="s">
        <v>188</v>
      </c>
      <c r="C518" s="89" t="str">
        <f>IF(cluster_wld_domain_chosen&lt;&gt;"MGMT Workload Domain",CONCATENATE(prefix_wld_az1_rack_cidr,"37.0"),CONCATENATE(prefix_mgmt_az1_cidr,"37.0"))</f>
        <v>10.13.37.0</v>
      </c>
      <c r="D518" s="347"/>
      <c r="E518" s="32"/>
    </row>
    <row r="519" spans="2:5" ht="20.05" customHeight="1" x14ac:dyDescent="0.45">
      <c r="B519" s="4" t="s">
        <v>285</v>
      </c>
      <c r="C519" s="89" t="s">
        <v>128</v>
      </c>
      <c r="D519" s="347"/>
      <c r="E519" s="32"/>
    </row>
    <row r="520" spans="2:5" ht="20.05" customHeight="1" x14ac:dyDescent="0.45">
      <c r="B520" s="4" t="s">
        <v>187</v>
      </c>
      <c r="C520" s="89" t="str">
        <f>IF(cluster_wld_domain_chosen&lt;&gt;"MGMT Workload Domain",CONCATENATE(prefix_wld_az1_rack_cidr,"37.1"),CONCATENATE(prefix_mgmt_az1_cidr,"37.1"))</f>
        <v>10.13.37.1</v>
      </c>
      <c r="D520" s="347"/>
      <c r="E520" s="32" t="str">
        <f>IF(AND(mgmt_stretched_cluster_result="Included",mgmt_dpg_reuse_result="Excluded"),"Stretched L2","")</f>
        <v/>
      </c>
    </row>
    <row r="521" spans="2:5" ht="20.05" customHeight="1" x14ac:dyDescent="0.45">
      <c r="B521" s="17" t="s">
        <v>255</v>
      </c>
      <c r="C521" s="89" t="str">
        <f>IF(cluster_wld_domain_chosen&lt;&gt;"MGMT Workload Domain",CONCATENATE(prefix_wld_az1_rack_cidr,"37.101"),CONCATENATE(prefix_mgmt_az1_cidr,"37.101"))</f>
        <v>10.13.37.101</v>
      </c>
      <c r="D521" s="347"/>
      <c r="E521"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22" spans="2:5" ht="20.05" customHeight="1" x14ac:dyDescent="0.45">
      <c r="B522" s="17" t="s">
        <v>256</v>
      </c>
      <c r="C522" s="89" t="str">
        <f>IF(cluster_wld_domain_chosen&lt;&gt;"MGMT Workload Domain",CONCATENATE(prefix_wld_az1_rack_cidr,"37.116"),CONCATENATE(prefix_mgmt_az1_cidr,"37.116"))</f>
        <v>10.13.37.116</v>
      </c>
      <c r="D522" s="347"/>
      <c r="E522"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23" spans="2:5" ht="20.05" customHeight="1" x14ac:dyDescent="0.45">
      <c r="B523" s="496" t="str">
        <f>IF(OR(cluster_secondary_storage_chosen="Secondary NFS Storage Network",wld_secondary_storage_chosen="Secondary NFS Storage Network"),"NFS Storage Network","vSAN Storage Client")</f>
        <v>vSAN Storage Client</v>
      </c>
      <c r="C523" s="497"/>
      <c r="D523" s="497"/>
      <c r="E523" s="498"/>
    </row>
    <row r="524" spans="2:5" ht="20.05" customHeight="1" x14ac:dyDescent="0.45">
      <c r="B524" s="4" t="s">
        <v>85</v>
      </c>
      <c r="C524" s="362" t="str">
        <f>IF(cluster_wld_domain_chosen&lt;&gt;"MGMT Workload Domain",CONCATENATE(prefix_wld_az1_rack_vlan,"48"),CONCATENATE(prefix_mgmt_az1_vlan,"48"))</f>
        <v>1348</v>
      </c>
      <c r="D524" s="347"/>
      <c r="E524" s="32"/>
    </row>
    <row r="525" spans="2:5" ht="20.05" customHeight="1" x14ac:dyDescent="0.45">
      <c r="B525" s="4" t="s">
        <v>160</v>
      </c>
      <c r="C525" s="362">
        <v>9000</v>
      </c>
      <c r="D525" s="347"/>
      <c r="E525" s="56"/>
    </row>
    <row r="526" spans="2:5" ht="20.05" customHeight="1" x14ac:dyDescent="0.45">
      <c r="B526" s="4" t="s">
        <v>188</v>
      </c>
      <c r="C526" s="126" t="str">
        <f>IF(cluster_wld_domain_chosen&lt;&gt;"MGMT Workload Domain",CONCATENATE(prefix_wld_az1_rack_cidr,"48.0"),CONCATENATE(prefix_mgmt_az1_cidr,"48.0"))</f>
        <v>10.13.48.0</v>
      </c>
      <c r="D526" s="347"/>
      <c r="E526" s="32"/>
    </row>
    <row r="527" spans="2:5" ht="20.05" customHeight="1" x14ac:dyDescent="0.45">
      <c r="B527" s="4" t="s">
        <v>285</v>
      </c>
      <c r="C527" s="126" t="s">
        <v>128</v>
      </c>
      <c r="D527" s="347"/>
      <c r="E527" s="32"/>
    </row>
    <row r="528" spans="2:5" ht="20.05" customHeight="1" x14ac:dyDescent="0.45">
      <c r="B528" s="4" t="s">
        <v>187</v>
      </c>
      <c r="C528" s="362" t="str">
        <f>IF(cluster_wld_domain_chosen&lt;&gt;"MGMT Workload Domain",CONCATENATE(prefix_wld_az1_rack_cidr,"48.1"),CONCATENATE(prefix_mgmt_az1_cidr,"48.1"))</f>
        <v>10.13.48.1</v>
      </c>
      <c r="D528" s="347"/>
      <c r="E528" s="32" t="str">
        <f>IF(AND(mgmt_stretched_cluster_result="Included",mgmt_dpg_reuse_result="Excluded"),"Stretched L2","")</f>
        <v/>
      </c>
    </row>
    <row r="529" spans="2:5" ht="20.05" customHeight="1" x14ac:dyDescent="0.45">
      <c r="B529" s="17" t="s">
        <v>255</v>
      </c>
      <c r="C529" s="362" t="str">
        <f>IF(cluster_wld_domain_chosen&lt;&gt;"MGMT Workload Domain",CONCATENATE(prefix_wld_az1_rack_cidr,"48.101"),CONCATENATE(prefix_mgmt_az1_cidr,"48.101"))</f>
        <v>10.13.48.101</v>
      </c>
      <c r="D529" s="347"/>
      <c r="E529"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30" spans="2:5" ht="20.05" customHeight="1" x14ac:dyDescent="0.45">
      <c r="B530" s="17" t="s">
        <v>256</v>
      </c>
      <c r="C530" s="362" t="str">
        <f>IF(cluster_wld_domain_chosen&lt;&gt;"MGMT Workload Domain",CONCATENATE(prefix_wld_az1_rack_cidr,"48.116"),CONCATENATE(prefix_mgmt_az1_cidr,"48.116"))</f>
        <v>10.13.48.116</v>
      </c>
      <c r="D530" s="347"/>
      <c r="E530"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31" spans="2:5" ht="20.05" customHeight="1" x14ac:dyDescent="0.45">
      <c r="B531" s="496" t="str">
        <f>IF(OR(cluster_secondary_storage_chosen="Secondary NFS Storage Network",wld_secondary_storage_chosen="Secondary NFS Storage Network"),"NFS Storage Network","vSAN Storage Client")</f>
        <v>vSAN Storage Client</v>
      </c>
      <c r="C531" s="497"/>
      <c r="D531" s="497"/>
      <c r="E531" s="498"/>
    </row>
    <row r="532" spans="2:5" ht="20.05" customHeight="1" x14ac:dyDescent="0.45">
      <c r="B532" s="4" t="s">
        <v>85</v>
      </c>
      <c r="C532" s="362" t="str">
        <f>IF(cluster_wld_domain_chosen&lt;&gt;"MGMT Workload Domain",CONCATENATE(prefix_wld_az1_rack_vlan,"59"),CONCATENATE(prefix_mgmt_az1_vlan,"59"))</f>
        <v>1359</v>
      </c>
      <c r="D532" s="347"/>
      <c r="E532" s="32"/>
    </row>
    <row r="533" spans="2:5" ht="20.05" customHeight="1" x14ac:dyDescent="0.45">
      <c r="B533" s="4" t="s">
        <v>160</v>
      </c>
      <c r="C533" s="362">
        <v>9000</v>
      </c>
      <c r="D533" s="347"/>
      <c r="E533" s="56"/>
    </row>
    <row r="534" spans="2:5" ht="20.05" customHeight="1" x14ac:dyDescent="0.45">
      <c r="B534" s="4" t="s">
        <v>188</v>
      </c>
      <c r="C534" s="126" t="str">
        <f>IF(cluster_wld_domain_chosen&lt;&gt;"MGMT Workload Domain",CONCATENATE(prefix_wld_az1_rack_cidr,"59.0"),CONCATENATE(prefix_mgmt_az1_cidr,"59.0"))</f>
        <v>10.13.59.0</v>
      </c>
      <c r="D534" s="347"/>
      <c r="E534" s="32"/>
    </row>
    <row r="535" spans="2:5" ht="20.05" customHeight="1" x14ac:dyDescent="0.45">
      <c r="B535" s="4" t="s">
        <v>285</v>
      </c>
      <c r="C535" s="126" t="s">
        <v>128</v>
      </c>
      <c r="D535" s="347"/>
      <c r="E535" s="32"/>
    </row>
    <row r="536" spans="2:5" ht="20.05" customHeight="1" x14ac:dyDescent="0.45">
      <c r="B536" s="4" t="s">
        <v>187</v>
      </c>
      <c r="C536" s="362" t="str">
        <f>IF(cluster_wld_domain_chosen&lt;&gt;"MGMT Workload Domain",CONCATENATE(prefix_wld_az1_rack_cidr,"59.1"),CONCATENATE(prefix_mgmt_az1_cidr,"59.1"))</f>
        <v>10.13.59.1</v>
      </c>
      <c r="D536" s="347"/>
      <c r="E536" s="32" t="str">
        <f>IF(AND(mgmt_stretched_cluster_result="Included",mgmt_dpg_reuse_result="Excluded"),"Stretched L2","")</f>
        <v/>
      </c>
    </row>
    <row r="537" spans="2:5" ht="20.05" customHeight="1" x14ac:dyDescent="0.45">
      <c r="B537" s="17" t="s">
        <v>255</v>
      </c>
      <c r="C537" s="362" t="str">
        <f>IF(cluster_wld_domain_chosen&lt;&gt;"MGMT Workload Domain",CONCATENATE(prefix_wld_az1_rack_cidr,"59.101"),CONCATENATE(prefix_mgmt_az1_cidr,"59.101"))</f>
        <v>10.13.59.101</v>
      </c>
      <c r="D537" s="347"/>
      <c r="E537"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38" spans="2:5" ht="20.05" customHeight="1" x14ac:dyDescent="0.45">
      <c r="B538" s="17" t="s">
        <v>256</v>
      </c>
      <c r="C538" s="362" t="str">
        <f>IF(cluster_wld_domain_chosen&lt;&gt;"MGMT Workload Domain",CONCATENATE(prefix_wld_az1_rack_cidr,"59.116"),CONCATENATE(prefix_mgmt_az1_cidr,"59.116"))</f>
        <v>10.13.59.116</v>
      </c>
      <c r="D538" s="347"/>
      <c r="E538"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39" spans="2:5" ht="20.05" customHeight="1" x14ac:dyDescent="0.45">
      <c r="B539" s="496" t="str">
        <f>IF(OR(cluster_secondary_storage_chosen="Secondary NFS Storage Network",wld_secondary_storage_chosen="Secondary NFS Storage Network"),"NFS Storage Network","vSAN Storage Client")</f>
        <v>vSAN Storage Client</v>
      </c>
      <c r="C539" s="497"/>
      <c r="D539" s="497"/>
      <c r="E539" s="498"/>
    </row>
    <row r="540" spans="2:5" ht="20.05" customHeight="1" x14ac:dyDescent="0.45">
      <c r="B540" s="4" t="s">
        <v>85</v>
      </c>
      <c r="C540" s="362" t="str">
        <f>IF(cluster_wld_domain_chosen&lt;&gt;"MGMT Workload Domain",CONCATENATE(prefix_wld_az1_rack_vlan,"70"),CONCATENATE(prefix_mgmt_az1_vlan,"70"))</f>
        <v>1370</v>
      </c>
      <c r="D540" s="347"/>
      <c r="E540" s="32"/>
    </row>
    <row r="541" spans="2:5" ht="20.05" customHeight="1" x14ac:dyDescent="0.45">
      <c r="B541" s="4" t="s">
        <v>160</v>
      </c>
      <c r="C541" s="362">
        <v>9000</v>
      </c>
      <c r="D541" s="347"/>
      <c r="E541" s="56"/>
    </row>
    <row r="542" spans="2:5" ht="20.05" customHeight="1" x14ac:dyDescent="0.45">
      <c r="B542" s="4" t="s">
        <v>188</v>
      </c>
      <c r="C542" s="126" t="str">
        <f>IF(cluster_wld_domain_chosen&lt;&gt;"MGMT Workload Domain",CONCATENATE(prefix_wld_az1_rack_cidr,"70.0"),CONCATENATE(prefix_mgmt_az1_cidr,"70.0"))</f>
        <v>10.13.70.0</v>
      </c>
      <c r="D542" s="347"/>
      <c r="E542" s="32"/>
    </row>
    <row r="543" spans="2:5" ht="20.05" customHeight="1" x14ac:dyDescent="0.45">
      <c r="B543" s="4" t="s">
        <v>285</v>
      </c>
      <c r="C543" s="126" t="s">
        <v>128</v>
      </c>
      <c r="D543" s="347"/>
      <c r="E543" s="32"/>
    </row>
    <row r="544" spans="2:5" ht="20.05" customHeight="1" x14ac:dyDescent="0.45">
      <c r="B544" s="4" t="s">
        <v>187</v>
      </c>
      <c r="C544" s="362" t="str">
        <f>IF(cluster_wld_domain_chosen&lt;&gt;"MGMT Workload Domain",CONCATENATE(prefix_wld_az1_rack_cidr,"70.1"),CONCATENATE(prefix_mgmt_az1_cidr,"70.1"))</f>
        <v>10.13.70.1</v>
      </c>
      <c r="D544" s="347"/>
      <c r="E544" s="32" t="str">
        <f>IF(AND(mgmt_stretched_cluster_result="Included",mgmt_dpg_reuse_result="Excluded"),"Stretched L2","")</f>
        <v/>
      </c>
    </row>
    <row r="545" spans="2:5" ht="20.05" customHeight="1" x14ac:dyDescent="0.45">
      <c r="B545" s="17" t="s">
        <v>255</v>
      </c>
      <c r="C545" s="362" t="str">
        <f>IF(cluster_wld_domain_chosen&lt;&gt;"MGMT Workload Domain",CONCATENATE(prefix_wld_az1_rack_cidr,"70.101"),CONCATENATE(prefix_mgmt_az1_cidr,"70.101"))</f>
        <v>10.13.70.101</v>
      </c>
      <c r="D545" s="347"/>
      <c r="E545"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46" spans="2:5" ht="20.05" customHeight="1" x14ac:dyDescent="0.45">
      <c r="B546" s="17" t="s">
        <v>256</v>
      </c>
      <c r="C546" s="362" t="str">
        <f>IF(cluster_wld_domain_chosen&lt;&gt;"MGMT Workload Domain",CONCATENATE(prefix_wld_az1_rack_cidr,"70.116"),CONCATENATE(prefix_mgmt_az1_cidr,"70.116"))</f>
        <v>10.13.70.116</v>
      </c>
      <c r="D546" s="347"/>
      <c r="E546"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47" spans="2:5" ht="20.05" customHeight="1" x14ac:dyDescent="0.45">
      <c r="B547" s="496" t="str">
        <f>IF(OR(cluster_secondary_storage_chosen="Secondary NFS Storage Network",wld_secondary_storage_chosen="Secondary NFS Storage Network"),"NFS Storage Network","vSAN Storage Client")</f>
        <v>vSAN Storage Client</v>
      </c>
      <c r="C547" s="497"/>
      <c r="D547" s="497"/>
      <c r="E547" s="498"/>
    </row>
    <row r="548" spans="2:5" ht="20.05" customHeight="1" x14ac:dyDescent="0.45">
      <c r="B548" s="4" t="s">
        <v>85</v>
      </c>
      <c r="C548" s="362" t="str">
        <f>IF(cluster_wld_domain_chosen&lt;&gt;"MGMT Workload Domain",CONCATENATE(prefix_wld_az1_rack_vlan,"81"),CONCATENATE(prefix_mgmt_az1_vlan,"81"))</f>
        <v>1381</v>
      </c>
      <c r="D548" s="347"/>
      <c r="E548" s="32"/>
    </row>
    <row r="549" spans="2:5" ht="20.05" customHeight="1" x14ac:dyDescent="0.45">
      <c r="B549" s="4" t="s">
        <v>160</v>
      </c>
      <c r="C549" s="362">
        <v>9000</v>
      </c>
      <c r="D549" s="347"/>
      <c r="E549" s="56"/>
    </row>
    <row r="550" spans="2:5" ht="20.05" customHeight="1" x14ac:dyDescent="0.45">
      <c r="B550" s="4" t="s">
        <v>188</v>
      </c>
      <c r="C550" s="126" t="str">
        <f>IF(cluster_wld_domain_chosen&lt;&gt;"MGMT Workload Domain",CONCATENATE(prefix_wld_az1_rack_cidr,"81.0"),CONCATENATE(prefix_mgmt_az1_cidr,"81.0"))</f>
        <v>10.13.81.0</v>
      </c>
      <c r="D550" s="347"/>
      <c r="E550" s="32"/>
    </row>
    <row r="551" spans="2:5" ht="20.05" customHeight="1" x14ac:dyDescent="0.45">
      <c r="B551" s="4" t="s">
        <v>285</v>
      </c>
      <c r="C551" s="126" t="s">
        <v>128</v>
      </c>
      <c r="D551" s="347"/>
      <c r="E551" s="32"/>
    </row>
    <row r="552" spans="2:5" ht="20.05" customHeight="1" x14ac:dyDescent="0.45">
      <c r="B552" s="4" t="s">
        <v>187</v>
      </c>
      <c r="C552" s="362" t="str">
        <f>IF(cluster_wld_domain_chosen&lt;&gt;"MGMT Workload Domain",CONCATENATE(prefix_wld_az1_rack_cidr,"81.1"),CONCATENATE(prefix_mgmt_az1_cidr,"81.1"))</f>
        <v>10.13.81.1</v>
      </c>
      <c r="D552" s="347"/>
      <c r="E552" s="32" t="str">
        <f>IF(AND(mgmt_stretched_cluster_result="Included",mgmt_dpg_reuse_result="Excluded"),"Stretched L2","")</f>
        <v/>
      </c>
    </row>
    <row r="553" spans="2:5" ht="20.05" customHeight="1" x14ac:dyDescent="0.45">
      <c r="B553" s="17" t="s">
        <v>255</v>
      </c>
      <c r="C553" s="362" t="str">
        <f>IF(cluster_wld_domain_chosen&lt;&gt;"MGMT Workload Domain",CONCATENATE(prefix_wld_az1_rack_cidr,"81.101"),CONCATENATE(prefix_mgmt_az1_cidr,"81.101"))</f>
        <v>10.13.81.101</v>
      </c>
      <c r="D553" s="347"/>
      <c r="E553"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54" spans="2:5" ht="20.05" customHeight="1" x14ac:dyDescent="0.45">
      <c r="B554" s="17" t="s">
        <v>256</v>
      </c>
      <c r="C554" s="362" t="str">
        <f>IF(cluster_wld_domain_chosen&lt;&gt;"MGMT Workload Domain",CONCATENATE(prefix_wld_az1_rack_cidr,"81.116"),CONCATENATE(prefix_mgmt_az1_cidr,"81.116"))</f>
        <v>10.13.81.116</v>
      </c>
      <c r="D554" s="347"/>
      <c r="E554"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55" spans="2:5" ht="20.05" customHeight="1" x14ac:dyDescent="0.45">
      <c r="B555" s="496" t="str">
        <f>IF(OR(cluster_secondary_storage_chosen="Secondary NFS Storage Network",wld_secondary_storage_chosen="Secondary NFS Storage Network"),"NFS Storage Network","vSAN Storage Client")</f>
        <v>vSAN Storage Client</v>
      </c>
      <c r="C555" s="497"/>
      <c r="D555" s="497"/>
      <c r="E555" s="498"/>
    </row>
    <row r="556" spans="2:5" ht="20.05" customHeight="1" x14ac:dyDescent="0.45">
      <c r="B556" s="4" t="s">
        <v>85</v>
      </c>
      <c r="C556" s="362" t="str">
        <f>IF(cluster_wld_domain_chosen&lt;&gt;"MGMT Workload Domain",CONCATENATE(prefix_wld_az1_rack_vlan,"92"),CONCATENATE(prefix_mgmt_az1_vlan,"92"))</f>
        <v>1392</v>
      </c>
      <c r="D556" s="347"/>
      <c r="E556" s="32"/>
    </row>
    <row r="557" spans="2:5" ht="20.05" customHeight="1" x14ac:dyDescent="0.45">
      <c r="B557" s="4" t="s">
        <v>160</v>
      </c>
      <c r="C557" s="362">
        <v>9200</v>
      </c>
      <c r="D557" s="347"/>
      <c r="E557" s="56"/>
    </row>
    <row r="558" spans="2:5" ht="20.05" customHeight="1" x14ac:dyDescent="0.45">
      <c r="B558" s="4" t="s">
        <v>188</v>
      </c>
      <c r="C558" s="126" t="str">
        <f>IF(cluster_wld_domain_chosen&lt;&gt;"MGMT Workload Domain",CONCATENATE(prefix_wld_az1_rack_cidr,"92.0"),CONCATENATE(prefix_mgmt_az1_cidr,"92.0"))</f>
        <v>10.13.92.0</v>
      </c>
      <c r="D558" s="347"/>
      <c r="E558" s="32"/>
    </row>
    <row r="559" spans="2:5" ht="20.05" customHeight="1" x14ac:dyDescent="0.45">
      <c r="B559" s="4" t="s">
        <v>285</v>
      </c>
      <c r="C559" s="126" t="s">
        <v>128</v>
      </c>
      <c r="D559" s="347"/>
      <c r="E559" s="32"/>
    </row>
    <row r="560" spans="2:5" ht="20.05" customHeight="1" x14ac:dyDescent="0.45">
      <c r="B560" s="4" t="s">
        <v>187</v>
      </c>
      <c r="C560" s="362" t="str">
        <f>IF(cluster_wld_domain_chosen&lt;&gt;"MGMT Workload Domain",CONCATENATE(prefix_wld_az1_rack_cidr,"92.1"),CONCATENATE(prefix_mgmt_az1_cidr,"92.1"))</f>
        <v>10.13.92.1</v>
      </c>
      <c r="D560" s="347"/>
      <c r="E560" s="32" t="str">
        <f>IF(AND(mgmt_stretched_cluster_result="Included",mgmt_dpg_reuse_result="Excluded"),"Stretched L2","")</f>
        <v/>
      </c>
    </row>
    <row r="561" spans="2:5" ht="20.05" customHeight="1" x14ac:dyDescent="0.45">
      <c r="B561" s="17" t="s">
        <v>255</v>
      </c>
      <c r="C561" s="362" t="str">
        <f>IF(cluster_wld_domain_chosen&lt;&gt;"MGMT Workload Domain",CONCATENATE(prefix_wld_az1_rack_cidr,"92.101"),CONCATENATE(prefix_mgmt_az1_cidr,"92.101"))</f>
        <v>10.13.92.101</v>
      </c>
      <c r="D561" s="347"/>
      <c r="E561" s="99"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62" spans="2:5" ht="20.05" customHeight="1" x14ac:dyDescent="0.45">
      <c r="B562" s="17" t="s">
        <v>256</v>
      </c>
      <c r="C562" s="362" t="str">
        <f>IF(cluster_wld_domain_chosen&lt;&gt;"MGMT Workload Domain",CONCATENATE(prefix_wld_az1_rack_cidr,"92.116"),CONCATENATE(prefix_mgmt_az1_cidr,"92.116"))</f>
        <v>10.13.92.116</v>
      </c>
      <c r="D562" s="347"/>
      <c r="E562" s="99" t="str">
        <f>IF(OR(cluster_secondary_storage_chosen="Secondary NFS Storage Network",wld_secondary_storage_chosen="Secondary NFS Storage Network"),"Start IP of the Secondary Storage NFS Pool Range","End IP of the vSAN Storage Client Pool Range")</f>
        <v>End IP of the vSAN Storage Client Pool Range</v>
      </c>
    </row>
  </sheetData>
  <sheetProtection algorithmName="SHA-512" hashValue="6IyxD4zr0yqO2EPGhaKLh2359kw9jcGe0qxrj4c5TDngjdkLx/SkCdMUVp+B/o8g7UXdhYWEjfHBcbSS5TI/TQ==" saltValue="8w56Tuu3VSOH5LOyk2kzMw==" spinCount="100000" sheet="1" objects="1" scenarios="1"/>
  <mergeCells count="66">
    <mergeCell ref="B547:E547"/>
    <mergeCell ref="B555:E555"/>
    <mergeCell ref="B507:E507"/>
    <mergeCell ref="B515:E515"/>
    <mergeCell ref="B523:E523"/>
    <mergeCell ref="B531:E531"/>
    <mergeCell ref="B539:E539"/>
    <mergeCell ref="B410:E410"/>
    <mergeCell ref="B389:E389"/>
    <mergeCell ref="B400:E400"/>
    <mergeCell ref="B408:E408"/>
    <mergeCell ref="B251:E251"/>
    <mergeCell ref="B363:E363"/>
    <mergeCell ref="B384:E384"/>
    <mergeCell ref="B358:E358"/>
    <mergeCell ref="B266:E266"/>
    <mergeCell ref="B262:E262"/>
    <mergeCell ref="B287:E287"/>
    <mergeCell ref="B292:E292"/>
    <mergeCell ref="B356:E356"/>
    <mergeCell ref="B327:E327"/>
    <mergeCell ref="B329:E329"/>
    <mergeCell ref="B342:E342"/>
    <mergeCell ref="B309:E309"/>
    <mergeCell ref="B127:E127"/>
    <mergeCell ref="B201:E201"/>
    <mergeCell ref="B273:E273"/>
    <mergeCell ref="B246:E246"/>
    <mergeCell ref="B217:E217"/>
    <mergeCell ref="B175:E175"/>
    <mergeCell ref="B152:E152"/>
    <mergeCell ref="B194:E194"/>
    <mergeCell ref="B181:E181"/>
    <mergeCell ref="B133:E133"/>
    <mergeCell ref="B160:E160"/>
    <mergeCell ref="B139:E139"/>
    <mergeCell ref="B219:E219"/>
    <mergeCell ref="B221:E221"/>
    <mergeCell ref="B226:E226"/>
    <mergeCell ref="B76:E76"/>
    <mergeCell ref="B66:E66"/>
    <mergeCell ref="B93:E93"/>
    <mergeCell ref="B95:E95"/>
    <mergeCell ref="B121:E121"/>
    <mergeCell ref="B101:E101"/>
    <mergeCell ref="B109:E109"/>
    <mergeCell ref="B84:E84"/>
    <mergeCell ref="B35:E35"/>
    <mergeCell ref="B52:E52"/>
    <mergeCell ref="B54:E54"/>
    <mergeCell ref="B68:E68"/>
    <mergeCell ref="B14:E14"/>
    <mergeCell ref="B2:J2"/>
    <mergeCell ref="B1:J1"/>
    <mergeCell ref="B16:E16"/>
    <mergeCell ref="B27:E27"/>
    <mergeCell ref="B25:E25"/>
    <mergeCell ref="H3:J3"/>
    <mergeCell ref="H11:J11"/>
    <mergeCell ref="H10:J10"/>
    <mergeCell ref="H12:J12"/>
    <mergeCell ref="H9:J9"/>
    <mergeCell ref="B8:J8"/>
    <mergeCell ref="H5:J5"/>
    <mergeCell ref="H7:J7"/>
    <mergeCell ref="H6:J6"/>
  </mergeCells>
  <conditionalFormatting sqref="D508:D514">
    <cfRule type="containsBlanks" dxfId="482" priority="50">
      <formula>LEN(TRIM(D508))=0</formula>
    </cfRule>
    <cfRule type="notContainsBlanks" dxfId="481" priority="49">
      <formula>LEN(TRIM(D508))&gt;0</formula>
    </cfRule>
    <cfRule type="expression" dxfId="479" priority="47">
      <formula>AND((cluster_secondary_storage_result="Excluded"),(wld_secondary_storage_result="Excluded"))</formula>
    </cfRule>
    <cfRule type="expression" dxfId="478" priority="46">
      <formula>wld_multirack_result="Excluded"</formula>
    </cfRule>
    <cfRule type="expression" dxfId="477" priority="45">
      <formula>wld_az1_rack2_reuse_vcf_networkpool_chosen="Re-use an existing VCF Network Pool"</formula>
    </cfRule>
  </conditionalFormatting>
  <conditionalFormatting sqref="D516:D522">
    <cfRule type="containsBlanks" dxfId="476" priority="44">
      <formula>LEN(TRIM(D516))=0</formula>
    </cfRule>
    <cfRule type="notContainsBlanks" dxfId="475" priority="43">
      <formula>LEN(TRIM(D516))&gt;0</formula>
    </cfRule>
    <cfRule type="expression" dxfId="473" priority="41">
      <formula>AND((cluster_secondary_storage_result="Excluded"),(wld_secondary_storage_result="Excluded"))</formula>
    </cfRule>
    <cfRule type="expression" dxfId="472" priority="40">
      <formula>wld_multirack_result="Excluded"</formula>
    </cfRule>
    <cfRule type="expression" dxfId="471" priority="39">
      <formula>wld_az1_rack3_reuse_vcf_networkpool_chosen="Re-use an existing VCF Network Pool"</formula>
    </cfRule>
  </conditionalFormatting>
  <conditionalFormatting sqref="D524:D530">
    <cfRule type="expression" dxfId="470" priority="33">
      <formula>wld_az1_rack4_reuse_vcf_networkpool_chosen="Re-use an existing VCF Network Pool"</formula>
    </cfRule>
    <cfRule type="notContainsBlanks" dxfId="469" priority="37">
      <formula>LEN(TRIM(D524))&gt;0</formula>
    </cfRule>
    <cfRule type="expression" dxfId="467" priority="35">
      <formula>AND((cluster_secondary_storage_result="Excluded"),(wld_secondary_storage_result="Excluded"))</formula>
    </cfRule>
    <cfRule type="expression" dxfId="466" priority="34">
      <formula>wld_multirack_result="Excluded"</formula>
    </cfRule>
    <cfRule type="containsBlanks" dxfId="465" priority="38">
      <formula>LEN(TRIM(D524))=0</formula>
    </cfRule>
  </conditionalFormatting>
  <conditionalFormatting sqref="D532:D538">
    <cfRule type="containsBlanks" dxfId="464" priority="32">
      <formula>LEN(TRIM(D532))=0</formula>
    </cfRule>
    <cfRule type="expression" dxfId="463" priority="27">
      <formula>wld_multirack_result="Excluded"</formula>
    </cfRule>
    <cfRule type="expression" dxfId="462" priority="28">
      <formula>AND((cluster_secondary_storage_result="Excluded"),(wld_secondary_storage_result="Excluded"))</formula>
    </cfRule>
    <cfRule type="expression" dxfId="461" priority="29">
      <formula>wld_multi_rack_count_chosen&lt;4</formula>
    </cfRule>
    <cfRule type="notContainsBlanks" dxfId="459" priority="31">
      <formula>LEN(TRIM(D532))&gt;0</formula>
    </cfRule>
    <cfRule type="expression" dxfId="458" priority="26">
      <formula>wld_az1_rack5_reuse_vcf_networkpool_chosen="Re-use an existing VCF Network Pool"</formula>
    </cfRule>
  </conditionalFormatting>
  <conditionalFormatting sqref="D540:D546">
    <cfRule type="expression" dxfId="457" priority="20">
      <formula>wld_multirack_result="Excluded"</formula>
    </cfRule>
    <cfRule type="containsBlanks" dxfId="456" priority="25">
      <formula>LEN(TRIM(D540))=0</formula>
    </cfRule>
    <cfRule type="notContainsBlanks" dxfId="455" priority="24">
      <formula>LEN(TRIM(D540))&gt;0</formula>
    </cfRule>
    <cfRule type="expression" dxfId="453" priority="22">
      <formula>wld_multi_rack_count_chosen&lt;5</formula>
    </cfRule>
    <cfRule type="expression" dxfId="452" priority="21">
      <formula>AND((cluster_secondary_storage_result="Excluded"),(wld_secondary_storage_result="Excluded"))</formula>
    </cfRule>
    <cfRule type="expression" dxfId="451" priority="19">
      <formula>wld_az1_rack6_reuse_vcf_networkpool_chosen="Re-use an existing VCF Network Pool"</formula>
    </cfRule>
  </conditionalFormatting>
  <conditionalFormatting sqref="D548:D554">
    <cfRule type="expression" dxfId="450" priority="13">
      <formula>wld_multirack_result="Excluded"</formula>
    </cfRule>
    <cfRule type="containsBlanks" dxfId="449" priority="18">
      <formula>LEN(TRIM(D548))=0</formula>
    </cfRule>
    <cfRule type="notContainsBlanks" dxfId="448" priority="17">
      <formula>LEN(TRIM(D548))&gt;0</formula>
    </cfRule>
    <cfRule type="expression" dxfId="446" priority="15">
      <formula>wld_multi_rack_count_chosen&lt;6</formula>
    </cfRule>
    <cfRule type="expression" dxfId="445" priority="14">
      <formula>AND((cluster_secondary_storage_result="Excluded"),(wld_secondary_storage_result="Excluded"))</formula>
    </cfRule>
    <cfRule type="expression" dxfId="444" priority="12">
      <formula>wld_az1_rack7_reuse_vcf_networkpool_chosen="Re-use an existing VCF Network Pool"</formula>
    </cfRule>
  </conditionalFormatting>
  <conditionalFormatting sqref="D556:D562">
    <cfRule type="expression" dxfId="443" priority="5">
      <formula>wld_az1_rack8_reuse_vcf_networkpool_chosen="Re-use an existing VCF Network Pool"</formula>
    </cfRule>
    <cfRule type="expression" dxfId="442" priority="6">
      <formula>wld_multirack_result="Excluded"</formula>
    </cfRule>
    <cfRule type="expression" dxfId="441" priority="7">
      <formula>AND((cluster_secondary_storage_result="Excluded"),(wld_secondary_storage_result="Excluded"))</formula>
    </cfRule>
    <cfRule type="containsBlanks" dxfId="440" priority="11">
      <formula>LEN(TRIM(D556))=0</formula>
    </cfRule>
    <cfRule type="notContainsBlanks" dxfId="439" priority="10">
      <formula>LEN(TRIM(D556))&gt;0</formula>
    </cfRule>
    <cfRule type="expression" dxfId="437" priority="8">
      <formula>wld_multi_rack_count_chosen&lt;7</formula>
    </cfRule>
  </conditionalFormatting>
  <conditionalFormatting sqref="S7">
    <cfRule type="expression" dxfId="436" priority="2">
      <formula>mgmt_domain_result="Excluded"</formula>
    </cfRule>
    <cfRule type="notContainsBlanks" dxfId="435" priority="3">
      <formula>LEN(TRIM(S7))&gt;0</formula>
    </cfRule>
    <cfRule type="containsBlanks" dxfId="434" priority="4">
      <formula>LEN(TRIM(S7))=0</formula>
    </cfRule>
    <cfRule type="expression" dxfId="433" priority="1">
      <formula>wld_domain_result="Excluded"</formula>
    </cfRule>
  </conditionalFormatting>
  <dataValidations count="3">
    <dataValidation type="list" allowBlank="1" showInputMessage="1" showErrorMessage="1" sqref="C15:D15 C26" xr:uid="{4BEA9190-F800-344C-9020-B8C55E48864B}">
      <formula1>"Standard,Consolidated"</formula1>
    </dataValidation>
    <dataValidation type="list" allowBlank="1" showInputMessage="1" showErrorMessage="1" sqref="C64:D64 C89:D89" xr:uid="{F6BD0DA2-C340-4D45-B623-C1DC9E1F8C89}">
      <formula1>"Same SSO Domain,Different SSO Domain"</formula1>
    </dataValidation>
    <dataValidation type="list" allowBlank="1" showInputMessage="1" showErrorMessage="1" sqref="C53:D53" xr:uid="{3015415A-7C1C-CF4C-8C61-F8EE485E76C0}">
      <formula1>"User Interface,PowerShell"</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48" operator="containsText" id="{AD33D65D-6814-4240-869F-C80BD31C8F37}">
            <xm:f>NOT(ISERROR(SEARCH("Value Missing",D508)))</xm:f>
            <xm:f>"Value Missing"</xm:f>
            <x14:dxf>
              <font>
                <color rgb="FF0E223A"/>
              </font>
              <fill>
                <patternFill>
                  <bgColor rgb="FFFFBE29"/>
                </patternFill>
              </fill>
            </x14:dxf>
          </x14:cfRule>
          <xm:sqref>D508:D514</xm:sqref>
        </x14:conditionalFormatting>
        <x14:conditionalFormatting xmlns:xm="http://schemas.microsoft.com/office/excel/2006/main">
          <x14:cfRule type="containsText" priority="42" operator="containsText" id="{A048F58B-06EB-8848-9A55-BCC5EEC7D84C}">
            <xm:f>NOT(ISERROR(SEARCH("Value Missing",D516)))</xm:f>
            <xm:f>"Value Missing"</xm:f>
            <x14:dxf>
              <font>
                <color rgb="FF0E223A"/>
              </font>
              <fill>
                <patternFill>
                  <bgColor rgb="FFFFBE29"/>
                </patternFill>
              </fill>
            </x14:dxf>
          </x14:cfRule>
          <xm:sqref>D516:D522</xm:sqref>
        </x14:conditionalFormatting>
        <x14:conditionalFormatting xmlns:xm="http://schemas.microsoft.com/office/excel/2006/main">
          <x14:cfRule type="containsText" priority="36" operator="containsText" id="{F0FD4B9B-BB02-C349-8838-ABC7D6C78C5B}">
            <xm:f>NOT(ISERROR(SEARCH("Value Missing",D524)))</xm:f>
            <xm:f>"Value Missing"</xm:f>
            <x14:dxf>
              <font>
                <color rgb="FF0E223A"/>
              </font>
              <fill>
                <patternFill>
                  <bgColor rgb="FFFFBE29"/>
                </patternFill>
              </fill>
            </x14:dxf>
          </x14:cfRule>
          <xm:sqref>D524:D530</xm:sqref>
        </x14:conditionalFormatting>
        <x14:conditionalFormatting xmlns:xm="http://schemas.microsoft.com/office/excel/2006/main">
          <x14:cfRule type="containsText" priority="30" operator="containsText" id="{0418E6D3-E2E9-AD45-9EFF-B86DD5A86B97}">
            <xm:f>NOT(ISERROR(SEARCH("Value Missing",D532)))</xm:f>
            <xm:f>"Value Missing"</xm:f>
            <x14:dxf>
              <font>
                <color rgb="FF0E223A"/>
              </font>
              <fill>
                <patternFill>
                  <bgColor rgb="FFFFBE29"/>
                </patternFill>
              </fill>
            </x14:dxf>
          </x14:cfRule>
          <xm:sqref>D532:D538</xm:sqref>
        </x14:conditionalFormatting>
        <x14:conditionalFormatting xmlns:xm="http://schemas.microsoft.com/office/excel/2006/main">
          <x14:cfRule type="containsText" priority="23" operator="containsText" id="{51E4AF8D-DD3E-3448-BF62-C0FF2F8040EA}">
            <xm:f>NOT(ISERROR(SEARCH("Value Missing",D540)))</xm:f>
            <xm:f>"Value Missing"</xm:f>
            <x14:dxf>
              <font>
                <color rgb="FF0E223A"/>
              </font>
              <fill>
                <patternFill>
                  <bgColor rgb="FFFFBE29"/>
                </patternFill>
              </fill>
            </x14:dxf>
          </x14:cfRule>
          <xm:sqref>D540:D546</xm:sqref>
        </x14:conditionalFormatting>
        <x14:conditionalFormatting xmlns:xm="http://schemas.microsoft.com/office/excel/2006/main">
          <x14:cfRule type="containsText" priority="16" operator="containsText" id="{ADD8C2A2-9A27-C247-96FA-A3E154397623}">
            <xm:f>NOT(ISERROR(SEARCH("Value Missing",D548)))</xm:f>
            <xm:f>"Value Missing"</xm:f>
            <x14:dxf>
              <font>
                <color rgb="FF0E223A"/>
              </font>
              <fill>
                <patternFill>
                  <bgColor rgb="FFFFBE29"/>
                </patternFill>
              </fill>
            </x14:dxf>
          </x14:cfRule>
          <xm:sqref>D548:D554</xm:sqref>
        </x14:conditionalFormatting>
        <x14:conditionalFormatting xmlns:xm="http://schemas.microsoft.com/office/excel/2006/main">
          <x14:cfRule type="containsText" priority="9" operator="containsText" id="{4050537B-F511-BA42-A3A7-EBD16B9D0506}">
            <xm:f>NOT(ISERROR(SEARCH("Value Missing",D556)))</xm:f>
            <xm:f>"Value Missing"</xm:f>
            <x14:dxf>
              <font>
                <color rgb="FF0E223A"/>
              </font>
              <fill>
                <patternFill>
                  <bgColor rgb="FFFFBE29"/>
                </patternFill>
              </fill>
            </x14:dxf>
          </x14:cfRule>
          <xm:sqref>D556:D562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80476-CC84-E044-9A93-EB76B090E826}">
  <sheetPr codeName="Sheet7">
    <tabColor theme="7" tint="0.59999389629810485"/>
  </sheetPr>
  <dimension ref="A1:J656"/>
  <sheetViews>
    <sheetView showGridLines="0" workbookViewId="0">
      <pane ySplit="4" topLeftCell="A5" activePane="bottomLeft" state="frozen"/>
      <selection pane="bottomLeft"/>
    </sheetView>
  </sheetViews>
  <sheetFormatPr defaultColWidth="11" defaultRowHeight="15.9" x14ac:dyDescent="0.45"/>
  <cols>
    <col min="1" max="1" width="2.85546875" customWidth="1"/>
    <col min="2" max="4" width="75.85546875" customWidth="1"/>
    <col min="5" max="5" width="125.85546875" customWidth="1"/>
  </cols>
  <sheetData>
    <row r="1" spans="1:10" s="2" customFormat="1" ht="16" customHeight="1" x14ac:dyDescent="0.35">
      <c r="A1" s="1"/>
      <c r="F1" s="8"/>
      <c r="G1" s="8"/>
      <c r="H1" s="8"/>
      <c r="I1" s="8"/>
      <c r="J1" s="8"/>
    </row>
    <row r="2" spans="1:10" s="2" customFormat="1" ht="54" customHeight="1" x14ac:dyDescent="0.35">
      <c r="B2" s="550" t="s">
        <v>2926</v>
      </c>
      <c r="C2" s="551"/>
      <c r="D2" s="551"/>
      <c r="E2" s="552"/>
      <c r="F2" s="8"/>
      <c r="G2" s="8"/>
      <c r="H2" s="8"/>
      <c r="I2" s="8"/>
      <c r="J2" s="8"/>
    </row>
    <row r="3" spans="1:10" s="2" customFormat="1" ht="20.05" customHeight="1" x14ac:dyDescent="0.35">
      <c r="B3" s="553" t="s">
        <v>756</v>
      </c>
      <c r="C3" s="554"/>
      <c r="D3" s="554"/>
      <c r="E3" s="555"/>
      <c r="F3" s="8"/>
      <c r="G3" s="8"/>
      <c r="H3" s="8"/>
      <c r="I3" s="8"/>
      <c r="J3" s="8"/>
    </row>
    <row r="4" spans="1:10" s="2" customFormat="1" ht="15" x14ac:dyDescent="0.45">
      <c r="B4" s="2" t="s">
        <v>1027</v>
      </c>
      <c r="D4" s="10"/>
      <c r="E4" s="3"/>
      <c r="F4" s="3"/>
    </row>
    <row r="5" spans="1:10" s="8" customFormat="1" ht="16" customHeight="1" x14ac:dyDescent="0.35"/>
    <row r="6" spans="1:10" ht="34" customHeight="1" x14ac:dyDescent="0.45">
      <c r="B6" s="509" t="s">
        <v>2927</v>
      </c>
      <c r="C6" s="510"/>
      <c r="D6" s="510"/>
      <c r="E6" s="511"/>
    </row>
    <row r="7" spans="1:10" ht="20.05" customHeight="1" x14ac:dyDescent="0.45">
      <c r="B7" s="43" t="s">
        <v>261</v>
      </c>
      <c r="C7" s="43" t="s">
        <v>262</v>
      </c>
      <c r="D7" s="130" t="s">
        <v>19</v>
      </c>
      <c r="E7" s="43" t="s">
        <v>263</v>
      </c>
    </row>
    <row r="8" spans="1:10" ht="20.05" customHeight="1" x14ac:dyDescent="0.45">
      <c r="B8" s="496" t="s">
        <v>213</v>
      </c>
      <c r="C8" s="497"/>
      <c r="D8" s="497"/>
      <c r="E8" s="498"/>
    </row>
    <row r="9" spans="1:10" ht="20.05" customHeight="1" x14ac:dyDescent="0.45">
      <c r="B9" s="4" t="s">
        <v>85</v>
      </c>
      <c r="C9" s="80" t="str">
        <f>IF(cluster_wld_domain_chosen&lt;&gt;"MGMT Workload Domain",CONCATENATE(prefix_wld_az1_rack_vlan,"22"),CONCATENATE(prefix_mgmt_az1_vlan,"22"))</f>
        <v>1322</v>
      </c>
      <c r="D9" s="347"/>
      <c r="E9" s="93"/>
    </row>
    <row r="10" spans="1:10" ht="20.05" customHeight="1" x14ac:dyDescent="0.45">
      <c r="B10" s="4" t="s">
        <v>187</v>
      </c>
      <c r="C10" s="80" t="str">
        <f>IF(cluster_wld_domain_chosen&lt;&gt;"MGMT Workload Domain",CONCATENATE(prefix_wld_az1_rack_cidr,"22.1"),CONCATENATE(prefix_mgmt_az1_cidr,"22.1"))</f>
        <v>10.13.22.1</v>
      </c>
      <c r="D10" s="347"/>
      <c r="E10" s="32"/>
    </row>
    <row r="11" spans="1:10" ht="20.05" customHeight="1" x14ac:dyDescent="0.45">
      <c r="B11" s="4" t="s">
        <v>188</v>
      </c>
      <c r="C11" s="80" t="str">
        <f>IF(cluster_wld_domain_chosen&lt;&gt;"MGMT Workload Domain",CONCATENATE(prefix_wld_az1_rack_cidr,"22.0/24"),CONCATENATE(prefix_mgmt_az1_cidr,"22.0/24"))</f>
        <v>10.13.22.0/24</v>
      </c>
      <c r="D11" s="347"/>
      <c r="E11" s="32"/>
    </row>
    <row r="12" spans="1:10" ht="20.05" customHeight="1" x14ac:dyDescent="0.45">
      <c r="B12" s="4" t="s">
        <v>160</v>
      </c>
      <c r="C12" s="80">
        <v>1500</v>
      </c>
      <c r="D12" s="347"/>
      <c r="E12" s="32"/>
    </row>
    <row r="13" spans="1:10" ht="20.05" customHeight="1" x14ac:dyDescent="0.45">
      <c r="B13" s="512" t="s">
        <v>214</v>
      </c>
      <c r="C13" s="513"/>
      <c r="D13" s="513"/>
      <c r="E13" s="514"/>
    </row>
    <row r="14" spans="1:10" ht="20.05" customHeight="1" x14ac:dyDescent="0.45">
      <c r="B14" s="17" t="s">
        <v>215</v>
      </c>
      <c r="C14" s="80" t="str">
        <f>IF(cluster_wld_domain_chosen&lt;&gt;"MGMT Workload Domain",CONCATENATE(prefix_wld_az1_rack_cidr,"22.101"),CONCATENATE(prefix_mgmt_az1_cidr,"22.101"))</f>
        <v>10.13.22.101</v>
      </c>
      <c r="D14" s="347"/>
      <c r="E14" s="132" t="s">
        <v>216</v>
      </c>
    </row>
    <row r="15" spans="1:10" ht="20.05" customHeight="1" x14ac:dyDescent="0.45">
      <c r="B15" s="17" t="s">
        <v>217</v>
      </c>
      <c r="C15" s="80" t="str">
        <f>IF(cluster_wld_domain_chosen&lt;&gt;"MGMT Workload Domain",CONCATENATE(prefix_wld_az1_rack_cidr,"22.102"),CONCATENATE(prefix_mgmt_az1_cidr,"22.102"))</f>
        <v>10.13.22.102</v>
      </c>
      <c r="D15" s="347"/>
      <c r="E15" s="132" t="s">
        <v>218</v>
      </c>
    </row>
    <row r="16" spans="1:10" ht="20.05" customHeight="1" x14ac:dyDescent="0.45">
      <c r="B16" s="17" t="s">
        <v>219</v>
      </c>
      <c r="C16" s="80" t="str">
        <f>IF(cluster_wld_domain_chosen&lt;&gt;"MGMT Workload Domain",CONCATENATE(prefix_wld_az1_rack_cidr,"22.103"),CONCATENATE(prefix_mgmt_az1_cidr,"22.103"))</f>
        <v>10.13.22.103</v>
      </c>
      <c r="D16" s="347"/>
      <c r="E16" s="132" t="s">
        <v>220</v>
      </c>
    </row>
    <row r="17" spans="2:5" ht="20.05" customHeight="1" x14ac:dyDescent="0.45">
      <c r="B17" s="17" t="s">
        <v>221</v>
      </c>
      <c r="C17" s="80" t="str">
        <f>IF(cluster_wld_domain_chosen&lt;&gt;"MGMT Workload Domain",CONCATENATE(prefix_wld_az1_rack_cidr,"22.104"),CONCATENATE(prefix_mgmt_az1_cidr,"22.104"))</f>
        <v>10.13.22.104</v>
      </c>
      <c r="D17" s="347"/>
      <c r="E17" s="132" t="s">
        <v>222</v>
      </c>
    </row>
    <row r="18" spans="2:5" ht="20.05" customHeight="1" x14ac:dyDescent="0.45">
      <c r="B18" s="17" t="s">
        <v>223</v>
      </c>
      <c r="C18" s="80" t="str">
        <f>IF(cluster_wld_domain_chosen&lt;&gt;"MGMT Workload Domain",CONCATENATE(prefix_wld_az1_rack_cidr,"22.105"),CONCATENATE(prefix_mgmt_az1_cidr,"22.105"))</f>
        <v>10.13.22.105</v>
      </c>
      <c r="D18" s="347"/>
      <c r="E18" s="132" t="s">
        <v>224</v>
      </c>
    </row>
    <row r="19" spans="2:5" ht="20.05" customHeight="1" x14ac:dyDescent="0.45">
      <c r="B19" s="17" t="s">
        <v>225</v>
      </c>
      <c r="C19" s="80" t="str">
        <f>IF(cluster_wld_domain_chosen&lt;&gt;"MGMT Workload Domain",CONCATENATE(prefix_wld_az1_rack_cidr,"22.106"),CONCATENATE(prefix_mgmt_az1_cidr,"22.106"))</f>
        <v>10.13.22.106</v>
      </c>
      <c r="D19" s="347"/>
      <c r="E19" s="132" t="s">
        <v>226</v>
      </c>
    </row>
    <row r="20" spans="2:5" ht="20.05" customHeight="1" x14ac:dyDescent="0.45">
      <c r="B20" s="17" t="s">
        <v>227</v>
      </c>
      <c r="C20" s="80" t="str">
        <f>IF(cluster_wld_domain_chosen&lt;&gt;"MGMT Workload Domain",CONCATENATE(prefix_wld_az1_rack_cidr,"22.107"),CONCATENATE(prefix_mgmt_az1_cidr,"22.107"))</f>
        <v>10.13.22.107</v>
      </c>
      <c r="D20" s="347"/>
      <c r="E20" s="132" t="s">
        <v>228</v>
      </c>
    </row>
    <row r="21" spans="2:5" ht="20.05" customHeight="1" x14ac:dyDescent="0.45">
      <c r="B21" s="17" t="s">
        <v>229</v>
      </c>
      <c r="C21" s="80" t="str">
        <f>IF(cluster_wld_domain_chosen&lt;&gt;"MGMT Workload Domain",CONCATENATE(prefix_wld_az1_rack_cidr,"22.108"),CONCATENATE(prefix_mgmt_az1_cidr,"22.108"))</f>
        <v>10.13.22.108</v>
      </c>
      <c r="D21" s="347"/>
      <c r="E21" s="132" t="s">
        <v>230</v>
      </c>
    </row>
    <row r="22" spans="2:5" ht="20.05" customHeight="1" x14ac:dyDescent="0.45">
      <c r="B22" s="17" t="s">
        <v>231</v>
      </c>
      <c r="C22" s="80" t="str">
        <f>IF(cluster_wld_domain_chosen&lt;&gt;"MGMT Workload Domain",CONCATENATE(prefix_wld_az1_rack_cidr,"22.109"),CONCATENATE(prefix_mgmt_az1_cidr,"22.109"))</f>
        <v>10.13.22.109</v>
      </c>
      <c r="D22" s="347"/>
      <c r="E22" s="132" t="s">
        <v>232</v>
      </c>
    </row>
    <row r="23" spans="2:5" ht="20.05" customHeight="1" x14ac:dyDescent="0.45">
      <c r="B23" s="17" t="s">
        <v>233</v>
      </c>
      <c r="C23" s="80" t="str">
        <f>IF(cluster_wld_domain_chosen&lt;&gt;"MGMT Workload Domain",CONCATENATE(prefix_wld_az1_rack_cidr,"22.110"),CONCATENATE(prefix_mgmt_az1_cidr,"22.110"))</f>
        <v>10.13.22.110</v>
      </c>
      <c r="D23" s="347"/>
      <c r="E23" s="132" t="s">
        <v>234</v>
      </c>
    </row>
    <row r="24" spans="2:5" ht="20.05" customHeight="1" x14ac:dyDescent="0.45">
      <c r="B24" s="17" t="s">
        <v>235</v>
      </c>
      <c r="C24" s="80" t="str">
        <f>IF(cluster_wld_domain_chosen&lt;&gt;"MGMT Workload Domain",CONCATENATE(prefix_wld_az1_rack_cidr,"22.111"),CONCATENATE(prefix_mgmt_az1_cidr,"22.111"))</f>
        <v>10.13.22.111</v>
      </c>
      <c r="D24" s="347"/>
      <c r="E24" s="132" t="s">
        <v>236</v>
      </c>
    </row>
    <row r="25" spans="2:5" ht="20.05" customHeight="1" x14ac:dyDescent="0.45">
      <c r="B25" s="17" t="s">
        <v>237</v>
      </c>
      <c r="C25" s="80" t="str">
        <f>IF(cluster_wld_domain_chosen&lt;&gt;"MGMT Workload Domain",CONCATENATE(prefix_wld_az1_rack_cidr,"22.112"),CONCATENATE(prefix_mgmt_az1_cidr,"22.112"))</f>
        <v>10.13.22.112</v>
      </c>
      <c r="D25" s="347"/>
      <c r="E25" s="132" t="s">
        <v>238</v>
      </c>
    </row>
    <row r="26" spans="2:5" ht="20.05" customHeight="1" x14ac:dyDescent="0.45">
      <c r="B26" s="17" t="s">
        <v>239</v>
      </c>
      <c r="C26" s="80" t="str">
        <f>IF(cluster_wld_domain_chosen&lt;&gt;"MGMT Workload Domain",CONCATENATE(prefix_wld_az1_rack_cidr,"22.113"),CONCATENATE(prefix_mgmt_az1_cidr,"22.113"))</f>
        <v>10.13.22.113</v>
      </c>
      <c r="D26" s="347"/>
      <c r="E26" s="132" t="s">
        <v>240</v>
      </c>
    </row>
    <row r="27" spans="2:5" ht="20.05" customHeight="1" x14ac:dyDescent="0.45">
      <c r="B27" s="17" t="s">
        <v>241</v>
      </c>
      <c r="C27" s="80" t="str">
        <f>IF(cluster_wld_domain_chosen&lt;&gt;"MGMT Workload Domain",CONCATENATE(prefix_wld_az1_rack_cidr,"22.114"),CONCATENATE(prefix_mgmt_az1_cidr,"22.114"))</f>
        <v>10.13.22.114</v>
      </c>
      <c r="D27" s="347"/>
      <c r="E27" s="132" t="s">
        <v>242</v>
      </c>
    </row>
    <row r="28" spans="2:5" ht="20.05" customHeight="1" x14ac:dyDescent="0.45">
      <c r="B28" s="17" t="s">
        <v>243</v>
      </c>
      <c r="C28" s="80" t="str">
        <f>IF(cluster_wld_domain_chosen&lt;&gt;"MGMT Workload Domain",CONCATENATE(prefix_wld_az1_rack_cidr,"22.115"),CONCATENATE(prefix_mgmt_az1_cidr,"22.115"))</f>
        <v>10.13.22.115</v>
      </c>
      <c r="D28" s="347"/>
      <c r="E28" s="132" t="s">
        <v>244</v>
      </c>
    </row>
    <row r="29" spans="2:5" ht="20.05" customHeight="1" x14ac:dyDescent="0.45">
      <c r="B29" s="17" t="s">
        <v>245</v>
      </c>
      <c r="C29" s="80" t="str">
        <f>IF(cluster_wld_domain_chosen&lt;&gt;"MGMT Workload Domain",CONCATENATE(prefix_wld_az1_rack_cidr,"22.116"),CONCATENATE(prefix_mgmt_az1_cidr,"22.116"))</f>
        <v>10.13.22.116</v>
      </c>
      <c r="D29" s="347"/>
      <c r="E29" s="132" t="s">
        <v>246</v>
      </c>
    </row>
    <row r="30" spans="2:5" ht="16" customHeight="1" x14ac:dyDescent="0.45">
      <c r="B30" s="8"/>
      <c r="C30" s="8"/>
      <c r="D30" s="8"/>
      <c r="E30" s="8"/>
    </row>
    <row r="31" spans="2:5" ht="34" customHeight="1" x14ac:dyDescent="0.45">
      <c r="B31" s="509" t="s">
        <v>2928</v>
      </c>
      <c r="C31" s="510"/>
      <c r="D31" s="510"/>
      <c r="E31" s="511"/>
    </row>
    <row r="32" spans="2:5" ht="20.05" customHeight="1" x14ac:dyDescent="0.45">
      <c r="B32" s="43" t="s">
        <v>261</v>
      </c>
      <c r="C32" s="43" t="s">
        <v>262</v>
      </c>
      <c r="D32" s="130" t="s">
        <v>19</v>
      </c>
      <c r="E32" s="43" t="s">
        <v>263</v>
      </c>
    </row>
    <row r="33" spans="2:5" ht="20.05" customHeight="1" x14ac:dyDescent="0.45">
      <c r="B33" s="4" t="s">
        <v>2929</v>
      </c>
      <c r="C33" s="362" t="s">
        <v>249</v>
      </c>
      <c r="D33" s="127" t="s">
        <v>249</v>
      </c>
      <c r="E33" s="4" t="str">
        <f>IF(wld_az1_rack2_reuse_vcf_networkpool_chosen="Re-use an existing  VCF Network Pool","An exisiting VCF Network Pool will be reused for Host TEP assignment","A new VCF Network Pool will be created")</f>
        <v>A new VCF Network Pool will be created</v>
      </c>
    </row>
    <row r="34" spans="2:5" ht="20.05" customHeight="1" x14ac:dyDescent="0.45">
      <c r="B34" s="17" t="s">
        <v>250</v>
      </c>
      <c r="C34" s="89" t="str">
        <f>IF(cluster_wld_domain_chosen="VI Workload Domain",CONCATENATE(this_instance,"01-w0",wld_domain_number_chosen,"-r02-network-pool-01"),CONCATENATE(this_instance,"01-m01","-r02-network-pool-01"))</f>
        <v>sfo01-w01-r02-network-pool-01</v>
      </c>
      <c r="D34" s="140"/>
      <c r="E34" s="32"/>
    </row>
    <row r="35" spans="2:5" ht="20.05" customHeight="1" x14ac:dyDescent="0.45">
      <c r="B35" s="496" t="s">
        <v>251</v>
      </c>
      <c r="C35" s="497"/>
      <c r="D35" s="497"/>
      <c r="E35" s="498"/>
    </row>
    <row r="36" spans="2:5" ht="20.05" customHeight="1" x14ac:dyDescent="0.45">
      <c r="B36" s="4" t="s">
        <v>85</v>
      </c>
      <c r="C36" s="80" t="str">
        <f>IF(cluster_wld_domain_chosen&lt;&gt;"MGMT Workload Domain",CONCATENATE(prefix_wld_az1_rack_vlan,"23"),CONCATENATE(prefix_mgmt_az1_vlan,"23"))</f>
        <v>1323</v>
      </c>
      <c r="D36" s="347"/>
      <c r="E36" s="93"/>
    </row>
    <row r="37" spans="2:5" ht="20.05" customHeight="1" x14ac:dyDescent="0.45">
      <c r="B37" s="4" t="s">
        <v>160</v>
      </c>
      <c r="C37" s="80">
        <v>9000</v>
      </c>
      <c r="D37" s="347"/>
      <c r="E37" s="32"/>
    </row>
    <row r="38" spans="2:5" ht="20.05" customHeight="1" x14ac:dyDescent="0.45">
      <c r="B38" s="4" t="s">
        <v>188</v>
      </c>
      <c r="C38" s="80" t="str">
        <f>IF(cluster_wld_domain_chosen&lt;&gt;"MGMT Workload Domain",CONCATENATE(prefix_wld_az1_rack_cidr,"23.0"),CONCATENATE(prefix_mgmt_az1_cidr,"23.0"))</f>
        <v>10.13.23.0</v>
      </c>
      <c r="D38" s="347"/>
      <c r="E38" s="32"/>
    </row>
    <row r="39" spans="2:5" ht="20.05" customHeight="1" x14ac:dyDescent="0.45">
      <c r="B39" s="4" t="s">
        <v>285</v>
      </c>
      <c r="C39" s="80" t="s">
        <v>128</v>
      </c>
      <c r="D39" s="347"/>
      <c r="E39" s="32"/>
    </row>
    <row r="40" spans="2:5" ht="20.05" customHeight="1" x14ac:dyDescent="0.45">
      <c r="B40" s="4" t="s">
        <v>187</v>
      </c>
      <c r="C40" s="80" t="str">
        <f>IF(cluster_wld_domain_chosen&lt;&gt;"MGMT Workload Domain",CONCATENATE(prefix_wld_az1_rack_cidr,"23.1"),CONCATENATE(prefix_mgmt_az1_cidr,"23.1"))</f>
        <v>10.13.23.1</v>
      </c>
      <c r="D40" s="347"/>
      <c r="E40" s="32"/>
    </row>
    <row r="41" spans="2:5" ht="20.05" customHeight="1" x14ac:dyDescent="0.45">
      <c r="B41" s="17" t="s">
        <v>255</v>
      </c>
      <c r="C41" s="80" t="str">
        <f>IF(cluster_wld_domain_chosen&lt;&gt;"MGMT Workload Domain",CONCATENATE(prefix_wld_az1_rack_cidr,"23.101"),CONCATENATE(prefix_mgmt_az1_cidr,"23.101"))</f>
        <v>10.13.23.101</v>
      </c>
      <c r="D41" s="347"/>
      <c r="E41" s="100" t="s">
        <v>2930</v>
      </c>
    </row>
    <row r="42" spans="2:5" ht="20.05" customHeight="1" x14ac:dyDescent="0.45">
      <c r="B42" s="17" t="s">
        <v>256</v>
      </c>
      <c r="C42" s="80" t="str">
        <f>IF(cluster_wld_domain_chosen&lt;&gt;"MGMT Workload Domain",CONCATENATE(prefix_wld_az1_rack_cidr,"23.116"),CONCATENATE(prefix_mgmt_az1_cidr,"23.116"))</f>
        <v>10.13.23.116</v>
      </c>
      <c r="D42" s="347"/>
      <c r="E42" s="100" t="s">
        <v>2931</v>
      </c>
    </row>
    <row r="43" spans="2:5" ht="20.05" customHeight="1" x14ac:dyDescent="0.45">
      <c r="B43" s="496" t="s">
        <v>257</v>
      </c>
      <c r="C43" s="497"/>
      <c r="D43" s="497"/>
      <c r="E43" s="498"/>
    </row>
    <row r="44" spans="2:5" ht="20.05" customHeight="1" x14ac:dyDescent="0.45">
      <c r="B44" s="4" t="s">
        <v>85</v>
      </c>
      <c r="C44" s="80" t="str">
        <f>IF(cluster_wld_domain_chosen&lt;&gt;"MGMT Workload Domain",CONCATENATE(prefix_wld_az1_rack_vlan,"24"),CONCATENATE(prefix_mgmt_az1_vlan,"24"))</f>
        <v>1324</v>
      </c>
      <c r="D44" s="347"/>
      <c r="E44" s="32"/>
    </row>
    <row r="45" spans="2:5" ht="20.05" customHeight="1" x14ac:dyDescent="0.45">
      <c r="B45" s="4" t="s">
        <v>160</v>
      </c>
      <c r="C45" s="80">
        <v>9000</v>
      </c>
      <c r="D45" s="347"/>
      <c r="E45" s="32"/>
    </row>
    <row r="46" spans="2:5" ht="20.05" customHeight="1" x14ac:dyDescent="0.45">
      <c r="B46" s="4" t="s">
        <v>188</v>
      </c>
      <c r="C46" s="80" t="str">
        <f>IF(cluster_wld_domain_chosen&lt;&gt;"MGMT Workload Domain",CONCATENATE(prefix_wld_az1_rack_cidr,"24.0"),CONCATENATE(prefix_mgmt_az1_cidr,"24.0"))</f>
        <v>10.13.24.0</v>
      </c>
      <c r="D46" s="347"/>
      <c r="E46" s="56"/>
    </row>
    <row r="47" spans="2:5" ht="20.05" customHeight="1" x14ac:dyDescent="0.45">
      <c r="B47" s="4" t="s">
        <v>285</v>
      </c>
      <c r="C47" s="80" t="s">
        <v>128</v>
      </c>
      <c r="D47" s="347"/>
      <c r="E47" s="32"/>
    </row>
    <row r="48" spans="2:5" ht="20.05" customHeight="1" x14ac:dyDescent="0.45">
      <c r="B48" s="4" t="s">
        <v>187</v>
      </c>
      <c r="C48" s="80" t="str">
        <f>IF(cluster_wld_domain_chosen&lt;&gt;"MGMT Workload Domain",CONCATENATE(prefix_wld_az1_rack_cidr,"24.1"),CONCATENATE(prefix_mgmt_az1_cidr,"24.1"))</f>
        <v>10.13.24.1</v>
      </c>
      <c r="D48" s="347"/>
      <c r="E48" s="32" t="str">
        <f>IF(AND(mgmt_stretched_cluster_result="Included",mgmt_dpg_reuse_result="Excluded"),"Stretched L2","")</f>
        <v/>
      </c>
    </row>
    <row r="49" spans="2:5" ht="20.05" customHeight="1" x14ac:dyDescent="0.45">
      <c r="B49" s="17" t="s">
        <v>255</v>
      </c>
      <c r="C49" s="80" t="str">
        <f>IF(cluster_wld_domain_chosen&lt;&gt;"MGMT Workload Domain",CONCATENATE(prefix_wld_az1_rack_cidr,"24.101"),CONCATENATE(prefix_mgmt_az1_cidr,"24.101"))</f>
        <v>10.13.24.101</v>
      </c>
      <c r="D49" s="347"/>
      <c r="E49" s="100" t="s">
        <v>2932</v>
      </c>
    </row>
    <row r="50" spans="2:5" ht="20.05" customHeight="1" x14ac:dyDescent="0.45">
      <c r="B50" s="17" t="s">
        <v>256</v>
      </c>
      <c r="C50" s="80" t="str">
        <f>IF(cluster_wld_domain_chosen&lt;&gt;"MGMT Workload Domain",CONCATENATE(prefix_wld_az1_rack_cidr,"24.116"),CONCATENATE(prefix_mgmt_az1_cidr,"24.116"))</f>
        <v>10.13.24.116</v>
      </c>
      <c r="D50" s="347"/>
      <c r="E50" s="100" t="s">
        <v>2933</v>
      </c>
    </row>
    <row r="51" spans="2:5" ht="16" customHeight="1" x14ac:dyDescent="0.45">
      <c r="B51" s="8"/>
      <c r="C51" s="8"/>
      <c r="D51" s="8"/>
      <c r="E51" s="8"/>
    </row>
    <row r="52" spans="2:5" ht="34" customHeight="1" x14ac:dyDescent="0.45">
      <c r="B52" s="509" t="s">
        <v>2934</v>
      </c>
      <c r="C52" s="510"/>
      <c r="D52" s="510"/>
      <c r="E52" s="511"/>
    </row>
    <row r="53" spans="2:5" ht="20.05" customHeight="1" x14ac:dyDescent="0.45">
      <c r="B53" s="43" t="s">
        <v>261</v>
      </c>
      <c r="C53" s="43" t="s">
        <v>262</v>
      </c>
      <c r="D53" s="130" t="s">
        <v>19</v>
      </c>
      <c r="E53" s="43" t="s">
        <v>263</v>
      </c>
    </row>
    <row r="54" spans="2:5" ht="20.05" customHeight="1" x14ac:dyDescent="0.45">
      <c r="B54" s="17" t="s">
        <v>215</v>
      </c>
      <c r="C54" s="78" t="str">
        <f>IF(cluster_wld_domain_chosen&lt;&gt;"MGMT Workload Domain",CONCATENATE(this_instance,"01-w0",wld_domain_number_chosen,"-r02-esx01",".",sample_child_dns_zone),CONCATENATE(this_instance,"01-m01-r02-esx01",".",sample_child_dns_zone))</f>
        <v>sfo01-w01-r02-esx01.sfo.rainpole.io</v>
      </c>
      <c r="D54" s="347"/>
      <c r="E54" s="32"/>
    </row>
    <row r="55" spans="2:5" ht="20.05" customHeight="1" x14ac:dyDescent="0.45">
      <c r="B55" s="17" t="s">
        <v>217</v>
      </c>
      <c r="C55" s="78" t="str">
        <f>IF(cluster_wld_domain_chosen&lt;&gt;"MGMT Workload Domain",CONCATENATE(this_instance,"01-w0",wld_domain_number_chosen,"-r02-esx02",".",sample_child_dns_zone),CONCATENATE(this_instance,"01-m01-r02-esx02",".",sample_child_dns_zone))</f>
        <v>sfo01-w01-r02-esx02.sfo.rainpole.io</v>
      </c>
      <c r="D55" s="347"/>
      <c r="E55" s="32"/>
    </row>
    <row r="56" spans="2:5" ht="20.05" customHeight="1" x14ac:dyDescent="0.45">
      <c r="B56" s="17" t="s">
        <v>219</v>
      </c>
      <c r="C56" s="78" t="str">
        <f>IF(cluster_wld_domain_chosen&lt;&gt;"MGMT Workload Domain",CONCATENATE(this_instance,"01-w0",wld_domain_number_chosen,"-r02-esx03",".",sample_child_dns_zone),CONCATENATE(this_instance,"01-m01-r02-esx03",".",sample_child_dns_zone))</f>
        <v>sfo01-w01-r02-esx03.sfo.rainpole.io</v>
      </c>
      <c r="D56" s="347"/>
      <c r="E56" s="32"/>
    </row>
    <row r="57" spans="2:5" ht="20.05" customHeight="1" x14ac:dyDescent="0.45">
      <c r="B57" s="17" t="s">
        <v>221</v>
      </c>
      <c r="C57" s="78" t="str">
        <f>IF(cluster_wld_domain_chosen&lt;&gt;"MGMT Workload Domain",CONCATENATE(this_instance,"01-w0",wld_domain_number_chosen,"-r02-esx04",".",sample_child_dns_zone),CONCATENATE(this_instance,"01-m01-r02-esx04",".",sample_child_dns_zone))</f>
        <v>sfo01-w01-r02-esx04.sfo.rainpole.io</v>
      </c>
      <c r="D57" s="347"/>
      <c r="E57" s="32"/>
    </row>
    <row r="58" spans="2:5" ht="20.05" customHeight="1" x14ac:dyDescent="0.45">
      <c r="B58" s="17" t="s">
        <v>223</v>
      </c>
      <c r="C58" s="78" t="str">
        <f>IF(cluster_wld_domain_chosen&lt;&gt;"MGMT Workload Domain",CONCATENATE(this_instance,"01-w0",wld_domain_number_chosen,"-r02-esx05",".",sample_child_dns_zone),CONCATENATE(this_instance,"01-m01-r02-esx05",".",sample_child_dns_zone))</f>
        <v>sfo01-w01-r02-esx05.sfo.rainpole.io</v>
      </c>
      <c r="D58" s="347"/>
      <c r="E58" s="32"/>
    </row>
    <row r="59" spans="2:5" ht="20.05" customHeight="1" x14ac:dyDescent="0.45">
      <c r="B59" s="17" t="s">
        <v>225</v>
      </c>
      <c r="C59" s="78" t="str">
        <f>IF(cluster_wld_domain_chosen&lt;&gt;"MGMT Workload Domain",CONCATENATE(this_instance,"01-w0",wld_domain_number_chosen,"-r02-esx06",".",sample_child_dns_zone),CONCATENATE(this_instance,"01-m01-r02-esx06",".",sample_child_dns_zone))</f>
        <v>sfo01-w01-r02-esx06.sfo.rainpole.io</v>
      </c>
      <c r="D59" s="347"/>
      <c r="E59" s="32"/>
    </row>
    <row r="60" spans="2:5" ht="20.05" customHeight="1" x14ac:dyDescent="0.45">
      <c r="B60" s="17" t="s">
        <v>227</v>
      </c>
      <c r="C60" s="78" t="str">
        <f>IF(cluster_wld_domain_chosen&lt;&gt;"MGMT Workload Domain",CONCATENATE(this_instance,"01-w0",wld_domain_number_chosen,"-r02-esx07",".",sample_child_dns_zone),CONCATENATE(this_instance,"01-m01-r02-esx07",".",sample_child_dns_zone))</f>
        <v>sfo01-w01-r02-esx07.sfo.rainpole.io</v>
      </c>
      <c r="D60" s="347"/>
      <c r="E60" s="32"/>
    </row>
    <row r="61" spans="2:5" ht="20.05" customHeight="1" x14ac:dyDescent="0.45">
      <c r="B61" s="17" t="s">
        <v>229</v>
      </c>
      <c r="C61" s="78" t="str">
        <f>IF(cluster_wld_domain_chosen&lt;&gt;"MGMT Workload Domain",CONCATENATE(this_instance,"01-w0",wld_domain_number_chosen,"-r02-esx08",".",sample_child_dns_zone),CONCATENATE(this_instance,"01-m01-r02-esx08",".",sample_child_dns_zone))</f>
        <v>sfo01-w01-r02-esx08.sfo.rainpole.io</v>
      </c>
      <c r="D61" s="347"/>
      <c r="E61" s="32"/>
    </row>
    <row r="62" spans="2:5" ht="20.05" customHeight="1" x14ac:dyDescent="0.45">
      <c r="B62" s="17" t="s">
        <v>231</v>
      </c>
      <c r="C62" s="78" t="str">
        <f>IF(cluster_wld_domain_chosen&lt;&gt;"MGMT Workload Domain",CONCATENATE(this_instance,"01-w0",wld_domain_number_chosen,"-r02-esx09",".",sample_child_dns_zone),CONCATENATE(this_instance,"01-m01-r02-esx09",".",sample_child_dns_zone))</f>
        <v>sfo01-w01-r02-esx09.sfo.rainpole.io</v>
      </c>
      <c r="D62" s="347"/>
      <c r="E62" s="32"/>
    </row>
    <row r="63" spans="2:5" ht="20.05" customHeight="1" x14ac:dyDescent="0.45">
      <c r="B63" s="17" t="s">
        <v>233</v>
      </c>
      <c r="C63" s="78" t="str">
        <f>IF(cluster_wld_domain_chosen&lt;&gt;"MGMT Workload Domain",CONCATENATE(this_instance,"01-w0",wld_domain_number_chosen,"-r02-esx10",".",sample_child_dns_zone),CONCATENATE(this_instance,"01-m01-r02-esx10",".",sample_child_dns_zone))</f>
        <v>sfo01-w01-r02-esx10.sfo.rainpole.io</v>
      </c>
      <c r="D63" s="347"/>
      <c r="E63" s="32"/>
    </row>
    <row r="64" spans="2:5" ht="20.05" customHeight="1" x14ac:dyDescent="0.45">
      <c r="B64" s="17" t="s">
        <v>235</v>
      </c>
      <c r="C64" s="78" t="str">
        <f>IF(cluster_wld_domain_chosen&lt;&gt;"MGMT Workload Domain",CONCATENATE(this_instance,"01-w0",wld_domain_number_chosen,"-r02-esx11",".",sample_child_dns_zone),CONCATENATE(this_instance,"01-m01-r02-esx11",".",sample_child_dns_zone))</f>
        <v>sfo01-w01-r02-esx11.sfo.rainpole.io</v>
      </c>
      <c r="D64" s="347"/>
      <c r="E64" s="32"/>
    </row>
    <row r="65" spans="2:5" ht="20.05" customHeight="1" x14ac:dyDescent="0.45">
      <c r="B65" s="17" t="s">
        <v>237</v>
      </c>
      <c r="C65" s="78" t="str">
        <f>IF(cluster_wld_domain_chosen&lt;&gt;"MGMT Workload Domain",CONCATENATE(this_instance,"01-w0",wld_domain_number_chosen,"-r02-esx12",".",sample_child_dns_zone),CONCATENATE(this_instance,"01-m01-r02-esx12",".",sample_child_dns_zone))</f>
        <v>sfo01-w01-r02-esx12.sfo.rainpole.io</v>
      </c>
      <c r="D65" s="347"/>
      <c r="E65" s="32"/>
    </row>
    <row r="66" spans="2:5" ht="20.05" customHeight="1" x14ac:dyDescent="0.45">
      <c r="B66" s="17" t="s">
        <v>239</v>
      </c>
      <c r="C66" s="78" t="str">
        <f>IF(cluster_wld_domain_chosen&lt;&gt;"MGMT Workload Domain",CONCATENATE(this_instance,"01-w0",wld_domain_number_chosen,"-r02-esx13",".",sample_child_dns_zone),CONCATENATE(this_instance,"01-m01-r02-esx13",".",sample_child_dns_zone))</f>
        <v>sfo01-w01-r02-esx13.sfo.rainpole.io</v>
      </c>
      <c r="D66" s="347"/>
      <c r="E66" s="32"/>
    </row>
    <row r="67" spans="2:5" ht="20.05" customHeight="1" x14ac:dyDescent="0.45">
      <c r="B67" s="17" t="s">
        <v>241</v>
      </c>
      <c r="C67" s="78" t="str">
        <f>IF(cluster_wld_domain_chosen&lt;&gt;"MGMT Workload Domain",CONCATENATE(this_instance,"01-w0",wld_domain_number_chosen,"-r02-esx14",".",sample_child_dns_zone),CONCATENATE(this_instance,"01-m01-r02-esx14",".",sample_child_dns_zone))</f>
        <v>sfo01-w01-r02-esx14.sfo.rainpole.io</v>
      </c>
      <c r="D67" s="347"/>
      <c r="E67" s="32"/>
    </row>
    <row r="68" spans="2:5" ht="20.05" customHeight="1" x14ac:dyDescent="0.45">
      <c r="B68" s="17" t="s">
        <v>243</v>
      </c>
      <c r="C68" s="78" t="str">
        <f>IF(cluster_wld_domain_chosen&lt;&gt;"MGMT Workload Domain",CONCATENATE(this_instance,"01-w0",wld_domain_number_chosen,"-r02-esx14",".",sample_child_dns_zone),CONCATENATE(this_instance,"01-m01-r02-esx15",".",sample_child_dns_zone))</f>
        <v>sfo01-w01-r02-esx14.sfo.rainpole.io</v>
      </c>
      <c r="D68" s="347"/>
      <c r="E68" s="32"/>
    </row>
    <row r="69" spans="2:5" ht="20.05" customHeight="1" x14ac:dyDescent="0.45">
      <c r="B69" s="17" t="s">
        <v>245</v>
      </c>
      <c r="C69" s="78" t="str">
        <f>IF(cluster_wld_domain_chosen&lt;&gt;"MGMT Workload Domain",CONCATENATE(this_instance,"01-w0",wld_domain_number_chosen,"-r02-esx16",".",sample_child_dns_zone),CONCATENATE(this_instance,"01-m01-r02-esx16",".",sample_child_dns_zone))</f>
        <v>sfo01-w01-r02-esx16.sfo.rainpole.io</v>
      </c>
      <c r="D69" s="347"/>
      <c r="E69" s="32"/>
    </row>
    <row r="70" spans="2:5" ht="20.05" customHeight="1" x14ac:dyDescent="0.45">
      <c r="B70" s="17" t="s">
        <v>264</v>
      </c>
      <c r="C70" s="78" t="s">
        <v>265</v>
      </c>
      <c r="D70" s="337" t="s">
        <v>265</v>
      </c>
      <c r="E70" s="32"/>
    </row>
    <row r="71" spans="2:5" ht="20.05" customHeight="1" x14ac:dyDescent="0.45">
      <c r="B71" s="17" t="s">
        <v>266</v>
      </c>
      <c r="C71" s="78" t="s">
        <v>267</v>
      </c>
      <c r="D71"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71" s="4"/>
    </row>
    <row r="72" spans="2:5" ht="20.05" customHeight="1" x14ac:dyDescent="0.45">
      <c r="B72" s="17" t="s">
        <v>268</v>
      </c>
      <c r="C72" s="78" t="s">
        <v>159</v>
      </c>
      <c r="D72" s="337" t="str">
        <f>IF(AND(vcf_granular_option_chosen="Create Cluster",cluster_principal_storage_chosen="vSAN-ESA"),"Selected",
IF(AND(vcf_granular_option_chosen="Create VI Workload Domain",wld_principal_storage_chosen="vSAN-ESA"),"Selected","Unselected"))</f>
        <v>Unselected</v>
      </c>
      <c r="E72" s="32"/>
    </row>
    <row r="73" spans="2:5" ht="20.05" customHeight="1" x14ac:dyDescent="0.45">
      <c r="B73" s="17" t="s">
        <v>250</v>
      </c>
      <c r="C73" s="78" t="str">
        <f>sample_wld_az1_rack2_pool_name</f>
        <v>sfo01-w01-r02-network-pool-01</v>
      </c>
      <c r="D73" s="337" t="str">
        <f>wld_az1_rack2_pool_name</f>
        <v>Value Missing</v>
      </c>
      <c r="E73" s="32"/>
    </row>
    <row r="74" spans="2:5" ht="20.05" customHeight="1" x14ac:dyDescent="0.45">
      <c r="B74" s="17" t="s">
        <v>46</v>
      </c>
      <c r="C74" s="78" t="s">
        <v>269</v>
      </c>
      <c r="D74"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74" s="32"/>
    </row>
    <row r="75" spans="2:5" ht="20.05" customHeight="1" x14ac:dyDescent="0.45">
      <c r="B75" s="17" t="s">
        <v>29</v>
      </c>
      <c r="C75" s="78" t="s">
        <v>30</v>
      </c>
      <c r="D75"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75" s="32"/>
    </row>
    <row r="76" spans="2:5" ht="16" customHeight="1" x14ac:dyDescent="0.45"/>
    <row r="77" spans="2:5" ht="34" customHeight="1" x14ac:dyDescent="0.45">
      <c r="B77" s="509" t="s">
        <v>2935</v>
      </c>
      <c r="C77" s="510"/>
      <c r="D77" s="510"/>
      <c r="E77" s="511"/>
    </row>
    <row r="78" spans="2:5" ht="20.05" customHeight="1" x14ac:dyDescent="0.45">
      <c r="B78" s="4" t="s">
        <v>337</v>
      </c>
      <c r="C78" s="89" t="str">
        <f>IF(vcf_granular_option_chosen="Create Cluster",CONCATENATE(this_instance,"01-",sample_cluster_name,"-r02-network-profile"),
IF(cluster_wld_domain_chosen="VI Workload Domain",CONCATENATE(this_instance,"01-",sample_wld_cl01_cluster,"-r02-network-profile"),
CONCATENATE(this_instance,"01-",sample_mgmt_cl01_cluster,"-r02-network-profile")))</f>
        <v>sfo01-sfo-w01-cl01-r02-network-profile</v>
      </c>
      <c r="D78" s="127"/>
      <c r="E78" s="80"/>
    </row>
    <row r="79" spans="2:5" ht="20.05" customHeight="1" x14ac:dyDescent="0.45">
      <c r="B79" s="4" t="s">
        <v>2936</v>
      </c>
      <c r="C79" s="362" t="s">
        <v>339</v>
      </c>
      <c r="D79" s="127" t="s">
        <v>339</v>
      </c>
      <c r="E79" s="279" t="str">
        <f>IF(wld_az1_rack2_host_overlay_new_pool_chosen="Re-use an existing Pool","An exisitng Pool will be reused for Host TEP assignment","A new Pool will be created for Host TEP assignment")</f>
        <v>A new Pool will be created for Host TEP assignment</v>
      </c>
    </row>
    <row r="80" spans="2:5" ht="20.05" customHeight="1" x14ac:dyDescent="0.45">
      <c r="B80" s="4" t="s">
        <v>340</v>
      </c>
      <c r="C80" s="89" t="str">
        <f>IF(cluster_wld_domain_chosen="VI Workload Domain",CONCATENATE(this_instance,"01-w0",wld_domain_number_chosen,"-r02-ip-pool01-host"),CONCATENATE(this_instance,"01-m01","-r02-ip-pool01-host"))</f>
        <v>sfo01-w01-r02-ip-pool01-host</v>
      </c>
      <c r="D80" s="127"/>
      <c r="E80" s="80"/>
    </row>
    <row r="81" spans="2:5" ht="20.05" customHeight="1" x14ac:dyDescent="0.45">
      <c r="B81" s="4" t="s">
        <v>341</v>
      </c>
      <c r="C81" s="89" t="str">
        <f>IF(cluster_wld_domain_chosen="VI Workload Domain",CONCATENATE(this_instance,"01-w0",wld_domain_number_chosen,"-r02-uplink-profile01"),CONCATENATE(this_instance,"01-m01","-r02-uplink-profile01"))</f>
        <v>sfo01-w01-r02-uplink-profile01</v>
      </c>
      <c r="D81" s="127"/>
      <c r="E81" s="80"/>
    </row>
    <row r="82" spans="2:5" ht="20.05" customHeight="1" x14ac:dyDescent="0.45">
      <c r="B82" s="4" t="s">
        <v>2937</v>
      </c>
      <c r="C82" s="89" t="str">
        <f>IF(cluster_wld_domain_chosen="VI Workload Domain",CONCATENATE(this_instance,"01-w0",wld_domain_number_chosen,"-r02-ip-pool02-edge"),CONCATENATE(this_instance,"01-m01","-r02-ip-pool02-edge"))</f>
        <v>sfo01-w01-r02-ip-pool02-edge</v>
      </c>
      <c r="D82" s="127"/>
      <c r="E82" s="80"/>
    </row>
    <row r="83" spans="2:5" ht="20.05" customHeight="1" x14ac:dyDescent="0.45">
      <c r="B83" s="4" t="s">
        <v>2938</v>
      </c>
      <c r="C83" s="89" t="str">
        <f>IF(cluster_wld_domain_chosen="VI Workload Domain",CONCATENATE(this_instance,"01-w0",wld_domain_number_chosen,"-r02-ip-pool03-rtep"),CONCATENATE(this_instance,"01-m01","-r02-ip-pool03-rtep"))</f>
        <v>sfo01-w01-r02-ip-pool03-rtep</v>
      </c>
      <c r="D83" s="127"/>
      <c r="E83" s="80"/>
    </row>
    <row r="84" spans="2:5" ht="20.05" customHeight="1" x14ac:dyDescent="0.45">
      <c r="B84" s="496" t="s">
        <v>834</v>
      </c>
      <c r="C84" s="497"/>
      <c r="D84" s="497"/>
      <c r="E84" s="498"/>
    </row>
    <row r="85" spans="2:5" ht="20.05" customHeight="1" x14ac:dyDescent="0.45">
      <c r="B85" s="207" t="s">
        <v>261</v>
      </c>
      <c r="C85" s="207" t="s">
        <v>262</v>
      </c>
      <c r="D85" s="239" t="s">
        <v>19</v>
      </c>
      <c r="E85" s="207" t="s">
        <v>20</v>
      </c>
    </row>
    <row r="86" spans="2:5" ht="20.05" customHeight="1" x14ac:dyDescent="0.45">
      <c r="B86" s="4" t="s">
        <v>1448</v>
      </c>
      <c r="C86" s="80" t="str">
        <f>IF(cluster_wld_domain_chosen&lt;&gt;"MGMT Workload Domain",CONCATENATE(this_instance,"-w0",wld_domain_number_chosen,"-r02","-vsan-fault-domain"),CONCATENATE(this_instance,"-m01","-r02","-vsan-fault-domain"))</f>
        <v>sfo-w01-r02-vsan-fault-domain</v>
      </c>
      <c r="D86" s="347"/>
      <c r="E86" s="337"/>
    </row>
    <row r="87" spans="2:5" ht="16" customHeight="1" x14ac:dyDescent="0.45"/>
    <row r="88" spans="2:5" ht="34" customHeight="1" x14ac:dyDescent="0.45">
      <c r="B88" s="509" t="s">
        <v>2939</v>
      </c>
      <c r="C88" s="510"/>
      <c r="D88" s="510"/>
      <c r="E88" s="511"/>
    </row>
    <row r="89" spans="2:5" ht="20.05" customHeight="1" x14ac:dyDescent="0.45">
      <c r="B89" s="43" t="s">
        <v>261</v>
      </c>
      <c r="C89" s="43" t="s">
        <v>262</v>
      </c>
      <c r="D89" s="130" t="s">
        <v>19</v>
      </c>
      <c r="E89" s="43" t="s">
        <v>20</v>
      </c>
    </row>
    <row r="90" spans="2:5" ht="20.05" customHeight="1" x14ac:dyDescent="0.45">
      <c r="B90" s="496" t="s">
        <v>938</v>
      </c>
      <c r="C90" s="497"/>
      <c r="D90" s="497"/>
      <c r="E90" s="498"/>
    </row>
    <row r="91" spans="2:5" ht="20.05" customHeight="1" x14ac:dyDescent="0.45">
      <c r="B91" s="4" t="s">
        <v>85</v>
      </c>
      <c r="C91" s="362" t="str">
        <f>IF(cluster_wld_domain_chosen&lt;&gt;"MGMT Workload Domain",CONCATENATE(prefix_wld_az1_rack_vlan,"25"),CONCATENATE(prefix_mgmt_az1_vlan,"25"))</f>
        <v>1325</v>
      </c>
      <c r="D91" s="347"/>
      <c r="E91" s="93"/>
    </row>
    <row r="92" spans="2:5" ht="20.05" customHeight="1" x14ac:dyDescent="0.45">
      <c r="B92" s="4" t="s">
        <v>160</v>
      </c>
      <c r="C92" s="362">
        <v>9000</v>
      </c>
      <c r="D92" s="347"/>
      <c r="E92" s="32"/>
    </row>
    <row r="93" spans="2:5" ht="20.05" customHeight="1" x14ac:dyDescent="0.45">
      <c r="B93" s="4" t="s">
        <v>188</v>
      </c>
      <c r="C93" s="362" t="str">
        <f>IF(cluster_wld_domain_chosen&lt;&gt;"MGMT Workload Domain",CONCATENATE(prefix_wld_az1_rack_cidr,"25.0"),CONCATENATE(prefix_mgmt_az1_cidr,"25.0"))</f>
        <v>10.13.25.0</v>
      </c>
      <c r="D93" s="347"/>
      <c r="E93" s="32"/>
    </row>
    <row r="94" spans="2:5" ht="20.05" customHeight="1" x14ac:dyDescent="0.45">
      <c r="B94" s="4" t="s">
        <v>285</v>
      </c>
      <c r="C94" s="126" t="s">
        <v>128</v>
      </c>
      <c r="D94" s="347"/>
      <c r="E94" s="32"/>
    </row>
    <row r="95" spans="2:5" ht="20.05" customHeight="1" x14ac:dyDescent="0.45">
      <c r="B95" s="4" t="s">
        <v>187</v>
      </c>
      <c r="C95" s="362" t="str">
        <f>IF(cluster_wld_domain_chosen&lt;&gt;"MGMT Workload Domain",CONCATENATE(prefix_wld_az1_rack_cidr,"25.1"),CONCATENATE(prefix_mgmt_az1_cidr,"25.1"))</f>
        <v>10.13.25.1</v>
      </c>
      <c r="D95" s="347"/>
      <c r="E95" s="32"/>
    </row>
    <row r="96" spans="2:5" ht="20.05" customHeight="1" x14ac:dyDescent="0.45">
      <c r="B96" s="17" t="s">
        <v>255</v>
      </c>
      <c r="C96" s="362" t="str">
        <f>IF(cluster_wld_domain_chosen&lt;&gt;"MGMT Workload Domain",CONCATENATE(prefix_wld_az1_rack_cidr,"25.101"),CONCATENATE(prefix_mgmt_az1_cidr,"25.101"))</f>
        <v>10.13.25.101</v>
      </c>
      <c r="D96" s="347"/>
      <c r="E96" s="100" t="s">
        <v>2940</v>
      </c>
    </row>
    <row r="97" spans="2:5" ht="20.05" customHeight="1" x14ac:dyDescent="0.45">
      <c r="B97" s="17" t="s">
        <v>256</v>
      </c>
      <c r="C97" s="362" t="str">
        <f>IF(cluster_wld_domain_chosen&lt;&gt;"MGMT Workload Domain",CONCATENATE(prefix_wld_az1_rack_cidr,"25.116"),CONCATENATE(prefix_mgmt_az1_cidr,"25.116"))</f>
        <v>10.13.25.116</v>
      </c>
      <c r="D97" s="347"/>
      <c r="E97" s="100" t="s">
        <v>2941</v>
      </c>
    </row>
    <row r="98" spans="2:5" ht="16" customHeight="1" x14ac:dyDescent="0.45">
      <c r="B98" s="6"/>
      <c r="C98" s="7"/>
      <c r="D98" s="1"/>
      <c r="E98" s="2"/>
    </row>
    <row r="99" spans="2:5" ht="34" customHeight="1" x14ac:dyDescent="0.45">
      <c r="B99" s="509" t="s">
        <v>2942</v>
      </c>
      <c r="C99" s="510"/>
      <c r="D99" s="510"/>
      <c r="E99" s="511"/>
    </row>
    <row r="100" spans="2:5" ht="20.05" customHeight="1" x14ac:dyDescent="0.45">
      <c r="B100" s="43" t="s">
        <v>261</v>
      </c>
      <c r="C100" s="43" t="s">
        <v>262</v>
      </c>
      <c r="D100" s="130" t="s">
        <v>19</v>
      </c>
      <c r="E100" s="43" t="s">
        <v>263</v>
      </c>
    </row>
    <row r="101" spans="2:5" ht="20.05" customHeight="1" x14ac:dyDescent="0.45">
      <c r="B101" s="496" t="s">
        <v>213</v>
      </c>
      <c r="C101" s="497"/>
      <c r="D101" s="497"/>
      <c r="E101" s="498"/>
    </row>
    <row r="102" spans="2:5" ht="20.05" customHeight="1" x14ac:dyDescent="0.45">
      <c r="B102" s="4" t="s">
        <v>85</v>
      </c>
      <c r="C102" s="89" t="str">
        <f>IF(cluster_wld_domain_chosen&lt;&gt;"MGMT Workload Domain",CONCATENATE(prefix_wld_az1_rack_vlan,"33"),CONCATENATE(prefix_mgmt_az1_vlan,"33"))</f>
        <v>1333</v>
      </c>
      <c r="D102" s="347"/>
      <c r="E102" s="93"/>
    </row>
    <row r="103" spans="2:5" ht="20.05" customHeight="1" x14ac:dyDescent="0.45">
      <c r="B103" s="4" t="s">
        <v>187</v>
      </c>
      <c r="C103" s="89" t="str">
        <f>IF(cluster_wld_domain_chosen&lt;&gt;"MGMT Workload Domain",CONCATENATE(prefix_wld_az1_rack_cidr,"33.1"),CONCATENATE(prefix_mgmt_az1_cidr,"33.1"))</f>
        <v>10.13.33.1</v>
      </c>
      <c r="D103" s="347"/>
      <c r="E103" s="32"/>
    </row>
    <row r="104" spans="2:5" ht="20.05" customHeight="1" x14ac:dyDescent="0.45">
      <c r="B104" s="4" t="s">
        <v>188</v>
      </c>
      <c r="C104" s="89" t="str">
        <f>IF(cluster_wld_domain_chosen&lt;&gt;"MGMT Workload Domain",CONCATENATE(prefix_wld_az1_rack_cidr,"33.0/24"),CONCATENATE(prefix_mgmt_az1_cidr,"33.0/24"))</f>
        <v>10.13.33.0/24</v>
      </c>
      <c r="D104" s="347"/>
      <c r="E104" s="32"/>
    </row>
    <row r="105" spans="2:5" ht="20.05" customHeight="1" x14ac:dyDescent="0.45">
      <c r="B105" s="4" t="s">
        <v>160</v>
      </c>
      <c r="C105" s="89">
        <v>1500</v>
      </c>
      <c r="D105" s="347"/>
      <c r="E105" s="32"/>
    </row>
    <row r="106" spans="2:5" ht="20.05" customHeight="1" x14ac:dyDescent="0.45">
      <c r="B106" s="512" t="s">
        <v>214</v>
      </c>
      <c r="C106" s="513"/>
      <c r="D106" s="513"/>
      <c r="E106" s="514"/>
    </row>
    <row r="107" spans="2:5" ht="20.05" customHeight="1" x14ac:dyDescent="0.45">
      <c r="B107" s="17" t="s">
        <v>215</v>
      </c>
      <c r="C107" s="89" t="str">
        <f>IF(cluster_wld_domain_chosen&lt;&gt;"MGMT Workload Domain",CONCATENATE(prefix_wld_az1_rack_cidr,"33.101"),CONCATENATE(prefix_mgmt_az1_cidr,"33.101"))</f>
        <v>10.13.33.101</v>
      </c>
      <c r="D107" s="347"/>
      <c r="E107" s="100" t="s">
        <v>216</v>
      </c>
    </row>
    <row r="108" spans="2:5" ht="20.05" customHeight="1" x14ac:dyDescent="0.45">
      <c r="B108" s="17" t="s">
        <v>217</v>
      </c>
      <c r="C108" s="89" t="str">
        <f>IF(cluster_wld_domain_chosen&lt;&gt;"MGMT Workload Domain",CONCATENATE(prefix_wld_az1_rack_cidr,"33.102"),CONCATENATE(prefix_mgmt_az1_cidr,"33.102"))</f>
        <v>10.13.33.102</v>
      </c>
      <c r="D108" s="347"/>
      <c r="E108" s="100" t="s">
        <v>218</v>
      </c>
    </row>
    <row r="109" spans="2:5" ht="20.05" customHeight="1" x14ac:dyDescent="0.45">
      <c r="B109" s="17" t="s">
        <v>219</v>
      </c>
      <c r="C109" s="89" t="str">
        <f>IF(cluster_wld_domain_chosen&lt;&gt;"MGMT Workload Domain",CONCATENATE(prefix_wld_az1_rack_cidr,"33.103"),CONCATENATE(prefix_mgmt_az1_cidr,"33.103"))</f>
        <v>10.13.33.103</v>
      </c>
      <c r="D109" s="347"/>
      <c r="E109" s="100" t="s">
        <v>220</v>
      </c>
    </row>
    <row r="110" spans="2:5" ht="20.05" customHeight="1" x14ac:dyDescent="0.45">
      <c r="B110" s="17" t="s">
        <v>221</v>
      </c>
      <c r="C110" s="89" t="str">
        <f>IF(cluster_wld_domain_chosen&lt;&gt;"MGMT Workload Domain",CONCATENATE(prefix_wld_az1_rack_cidr,"33.104"),CONCATENATE(prefix_mgmt_az1_cidr,"33.104"))</f>
        <v>10.13.33.104</v>
      </c>
      <c r="D110" s="347"/>
      <c r="E110" s="100" t="s">
        <v>222</v>
      </c>
    </row>
    <row r="111" spans="2:5" ht="20.05" customHeight="1" x14ac:dyDescent="0.45">
      <c r="B111" s="17" t="s">
        <v>223</v>
      </c>
      <c r="C111" s="89" t="str">
        <f>IF(cluster_wld_domain_chosen&lt;&gt;"MGMT Workload Domain",CONCATENATE(prefix_wld_az1_rack_cidr,"33.105"),CONCATENATE(prefix_mgmt_az1_cidr,"33.105"))</f>
        <v>10.13.33.105</v>
      </c>
      <c r="D111" s="347"/>
      <c r="E111" s="100" t="s">
        <v>224</v>
      </c>
    </row>
    <row r="112" spans="2:5" ht="20.05" customHeight="1" x14ac:dyDescent="0.45">
      <c r="B112" s="17" t="s">
        <v>225</v>
      </c>
      <c r="C112" s="89" t="str">
        <f>IF(cluster_wld_domain_chosen&lt;&gt;"MGMT Workload Domain",CONCATENATE(prefix_wld_az1_rack_cidr,"33.106"),CONCATENATE(prefix_mgmt_az1_cidr,"33.106"))</f>
        <v>10.13.33.106</v>
      </c>
      <c r="D112" s="347"/>
      <c r="E112" s="100" t="s">
        <v>226</v>
      </c>
    </row>
    <row r="113" spans="2:5" ht="20.05" customHeight="1" x14ac:dyDescent="0.45">
      <c r="B113" s="17" t="s">
        <v>227</v>
      </c>
      <c r="C113" s="89" t="str">
        <f>IF(cluster_wld_domain_chosen&lt;&gt;"MGMT Workload Domain",CONCATENATE(prefix_wld_az1_rack_cidr,"33.107"),CONCATENATE(prefix_mgmt_az1_cidr,"33.107"))</f>
        <v>10.13.33.107</v>
      </c>
      <c r="D113" s="347"/>
      <c r="E113" s="100" t="s">
        <v>228</v>
      </c>
    </row>
    <row r="114" spans="2:5" ht="20.05" customHeight="1" x14ac:dyDescent="0.45">
      <c r="B114" s="17" t="s">
        <v>229</v>
      </c>
      <c r="C114" s="89" t="str">
        <f>IF(cluster_wld_domain_chosen&lt;&gt;"MGMT Workload Domain",CONCATENATE(prefix_wld_az1_rack_cidr,"33.108"),CONCATENATE(prefix_mgmt_az1_cidr,"33.108"))</f>
        <v>10.13.33.108</v>
      </c>
      <c r="D114" s="347"/>
      <c r="E114" s="100" t="s">
        <v>230</v>
      </c>
    </row>
    <row r="115" spans="2:5" ht="20.05" customHeight="1" x14ac:dyDescent="0.45">
      <c r="B115" s="17" t="s">
        <v>231</v>
      </c>
      <c r="C115" s="89" t="str">
        <f>IF(cluster_wld_domain_chosen&lt;&gt;"MGMT Workload Domain",CONCATENATE(prefix_wld_az1_rack_cidr,"33.109"),CONCATENATE(prefix_mgmt_az1_cidr,"33.109"))</f>
        <v>10.13.33.109</v>
      </c>
      <c r="D115" s="347"/>
      <c r="E115" s="100" t="s">
        <v>232</v>
      </c>
    </row>
    <row r="116" spans="2:5" ht="20.05" customHeight="1" x14ac:dyDescent="0.45">
      <c r="B116" s="17" t="s">
        <v>233</v>
      </c>
      <c r="C116" s="89" t="str">
        <f>IF(cluster_wld_domain_chosen&lt;&gt;"MGMT Workload Domain",CONCATENATE(prefix_wld_az1_rack_cidr,"33.110"),CONCATENATE(prefix_mgmt_az1_cidr,"33.110"))</f>
        <v>10.13.33.110</v>
      </c>
      <c r="D116" s="347"/>
      <c r="E116" s="100" t="s">
        <v>234</v>
      </c>
    </row>
    <row r="117" spans="2:5" ht="20.05" customHeight="1" x14ac:dyDescent="0.45">
      <c r="B117" s="17" t="s">
        <v>235</v>
      </c>
      <c r="C117" s="89" t="str">
        <f>IF(cluster_wld_domain_chosen&lt;&gt;"MGMT Workload Domain",CONCATENATE(prefix_wld_az1_rack_cidr,"33.111"),CONCATENATE(prefix_mgmt_az1_cidr,"33.111"))</f>
        <v>10.13.33.111</v>
      </c>
      <c r="D117" s="347"/>
      <c r="E117" s="100" t="s">
        <v>236</v>
      </c>
    </row>
    <row r="118" spans="2:5" ht="20.05" customHeight="1" x14ac:dyDescent="0.45">
      <c r="B118" s="17" t="s">
        <v>237</v>
      </c>
      <c r="C118" s="89" t="str">
        <f>IF(cluster_wld_domain_chosen&lt;&gt;"MGMT Workload Domain",CONCATENATE(prefix_wld_az1_rack_cidr,"33.112"),CONCATENATE(prefix_mgmt_az1_cidr,"33.112"))</f>
        <v>10.13.33.112</v>
      </c>
      <c r="D118" s="347"/>
      <c r="E118" s="100" t="s">
        <v>238</v>
      </c>
    </row>
    <row r="119" spans="2:5" ht="20.05" customHeight="1" x14ac:dyDescent="0.45">
      <c r="B119" s="17" t="s">
        <v>239</v>
      </c>
      <c r="C119" s="89" t="str">
        <f>IF(cluster_wld_domain_chosen&lt;&gt;"MGMT Workload Domain",CONCATENATE(prefix_wld_az1_rack_cidr,"33.113"),CONCATENATE(prefix_mgmt_az1_cidr,"33.113"))</f>
        <v>10.13.33.113</v>
      </c>
      <c r="D119" s="347"/>
      <c r="E119" s="100" t="s">
        <v>240</v>
      </c>
    </row>
    <row r="120" spans="2:5" ht="20.05" customHeight="1" x14ac:dyDescent="0.45">
      <c r="B120" s="17" t="s">
        <v>241</v>
      </c>
      <c r="C120" s="89" t="str">
        <f>IF(cluster_wld_domain_chosen&lt;&gt;"MGMT Workload Domain",CONCATENATE(prefix_wld_az1_rack_cidr,"33.114"),CONCATENATE(prefix_mgmt_az1_cidr,"33.114"))</f>
        <v>10.13.33.114</v>
      </c>
      <c r="D120" s="347"/>
      <c r="E120" s="100" t="s">
        <v>242</v>
      </c>
    </row>
    <row r="121" spans="2:5" ht="20.05" customHeight="1" x14ac:dyDescent="0.45">
      <c r="B121" s="17" t="s">
        <v>243</v>
      </c>
      <c r="C121" s="89" t="str">
        <f>IF(cluster_wld_domain_chosen&lt;&gt;"MGMT Workload Domain",CONCATENATE(prefix_wld_az1_rack_cidr,"33.115"),CONCATENATE(prefix_mgmt_az1_cidr,"33.115"))</f>
        <v>10.13.33.115</v>
      </c>
      <c r="D121" s="347"/>
      <c r="E121" s="100" t="s">
        <v>244</v>
      </c>
    </row>
    <row r="122" spans="2:5" ht="20.05" customHeight="1" x14ac:dyDescent="0.45">
      <c r="B122" s="17" t="s">
        <v>245</v>
      </c>
      <c r="C122" s="89" t="str">
        <f>IF(cluster_wld_domain_chosen&lt;&gt;"MGMT Workload Domain",CONCATENATE(prefix_wld_az1_rack_cidr,"33.116"),CONCATENATE(prefix_mgmt_az1_cidr,"33.116"))</f>
        <v>10.13.33.116</v>
      </c>
      <c r="D122" s="347"/>
      <c r="E122" s="100" t="s">
        <v>246</v>
      </c>
    </row>
    <row r="123" spans="2:5" ht="16" customHeight="1" x14ac:dyDescent="0.45">
      <c r="B123" s="8"/>
      <c r="C123" s="8"/>
      <c r="D123" s="8"/>
      <c r="E123" s="8"/>
    </row>
    <row r="124" spans="2:5" ht="34" customHeight="1" x14ac:dyDescent="0.45">
      <c r="B124" s="509" t="s">
        <v>2943</v>
      </c>
      <c r="C124" s="510"/>
      <c r="D124" s="510"/>
      <c r="E124" s="511"/>
    </row>
    <row r="125" spans="2:5" ht="20.05" customHeight="1" x14ac:dyDescent="0.45">
      <c r="B125" s="43" t="s">
        <v>261</v>
      </c>
      <c r="C125" s="43" t="s">
        <v>262</v>
      </c>
      <c r="D125" s="130" t="s">
        <v>19</v>
      </c>
      <c r="E125" s="43" t="s">
        <v>263</v>
      </c>
    </row>
    <row r="126" spans="2:5" ht="20.05" customHeight="1" x14ac:dyDescent="0.45">
      <c r="B126" s="4" t="s">
        <v>2929</v>
      </c>
      <c r="C126" s="362" t="s">
        <v>249</v>
      </c>
      <c r="D126" s="127" t="s">
        <v>249</v>
      </c>
      <c r="E126" s="4" t="str">
        <f>IF(wld_az1_rack3_reuse_vcf_networkpool_chosen="Re-use an existing  VCF Network Pool","An exisiting VCF Network Pool will be reused for Host TEP assignment","A new VCF Network Pool will be created")</f>
        <v>A new VCF Network Pool will be created</v>
      </c>
    </row>
    <row r="127" spans="2:5" ht="20.05" customHeight="1" x14ac:dyDescent="0.45">
      <c r="B127" s="17" t="s">
        <v>250</v>
      </c>
      <c r="C127" s="89" t="str">
        <f>IF(cluster_wld_domain_chosen="VI Workload Domain",CONCATENATE(this_instance,"01-w0",wld_domain_number_chosen,"-r03-network-pool-01"),CONCATENATE(this_instance,"01-m01","-r03-network-pool-01"))</f>
        <v>sfo01-w01-r03-network-pool-01</v>
      </c>
      <c r="D127" s="347"/>
      <c r="E127" s="32"/>
    </row>
    <row r="128" spans="2:5" ht="20.05" customHeight="1" x14ac:dyDescent="0.45">
      <c r="B128" s="496" t="s">
        <v>251</v>
      </c>
      <c r="C128" s="497"/>
      <c r="D128" s="497"/>
      <c r="E128" s="498"/>
    </row>
    <row r="129" spans="2:5" ht="20.05" customHeight="1" x14ac:dyDescent="0.45">
      <c r="B129" s="4" t="s">
        <v>85</v>
      </c>
      <c r="C129" s="89" t="str">
        <f>IF(cluster_wld_domain_chosen&lt;&gt;"MGMT Workload Domain",CONCATENATE(prefix_wld_az1_rack_vlan,"34"),CONCATENATE(prefix_mgmt_az1_vlan,"34"))</f>
        <v>1334</v>
      </c>
      <c r="D129" s="347"/>
      <c r="E129" s="93"/>
    </row>
    <row r="130" spans="2:5" ht="20.05" customHeight="1" x14ac:dyDescent="0.45">
      <c r="B130" s="4" t="s">
        <v>160</v>
      </c>
      <c r="C130" s="89">
        <v>9000</v>
      </c>
      <c r="D130" s="347"/>
      <c r="E130" s="32"/>
    </row>
    <row r="131" spans="2:5" ht="20.05" customHeight="1" x14ac:dyDescent="0.45">
      <c r="B131" s="4" t="s">
        <v>188</v>
      </c>
      <c r="C131" s="89" t="str">
        <f>IF(cluster_wld_domain_chosen&lt;&gt;"MGMT Workload Domain",CONCATENATE(prefix_wld_az1_rack_cidr,"34.0"),CONCATENATE(prefix_mgmt_az1_cidr,"34.0"))</f>
        <v>10.13.34.0</v>
      </c>
      <c r="D131" s="347"/>
      <c r="E131" s="32"/>
    </row>
    <row r="132" spans="2:5" ht="20.05" customHeight="1" x14ac:dyDescent="0.45">
      <c r="B132" s="4" t="s">
        <v>285</v>
      </c>
      <c r="C132" s="89" t="s">
        <v>128</v>
      </c>
      <c r="D132" s="347"/>
      <c r="E132" s="32"/>
    </row>
    <row r="133" spans="2:5" ht="20.05" customHeight="1" x14ac:dyDescent="0.45">
      <c r="B133" s="4" t="s">
        <v>187</v>
      </c>
      <c r="C133" s="89" t="str">
        <f>IF(cluster_wld_domain_chosen&lt;&gt;"MGMT Workload Domain",CONCATENATE(prefix_wld_az1_rack_cidr,"34.1"),CONCATENATE(prefix_mgmt_az1_cidr,"34.1"))</f>
        <v>10.13.34.1</v>
      </c>
      <c r="D133" s="347"/>
      <c r="E133" s="32"/>
    </row>
    <row r="134" spans="2:5" ht="20.05" customHeight="1" x14ac:dyDescent="0.45">
      <c r="B134" s="17" t="s">
        <v>255</v>
      </c>
      <c r="C134" s="89" t="str">
        <f>IF(cluster_wld_domain_chosen&lt;&gt;"MGMT Workload Domain",CONCATENATE(prefix_wld_az1_rack_cidr,"34.101"),CONCATENATE(prefix_mgmt_az1_cidr,"34.101"))</f>
        <v>10.13.34.101</v>
      </c>
      <c r="D134" s="347"/>
      <c r="E134" s="100" t="s">
        <v>2930</v>
      </c>
    </row>
    <row r="135" spans="2:5" ht="20.05" customHeight="1" x14ac:dyDescent="0.45">
      <c r="B135" s="17" t="s">
        <v>256</v>
      </c>
      <c r="C135" s="89" t="str">
        <f>IF(cluster_wld_domain_chosen&lt;&gt;"MGMT Workload Domain",CONCATENATE(prefix_wld_az1_rack_cidr,"34.116"),CONCATENATE(prefix_mgmt_az1_cidr,"34.116"))</f>
        <v>10.13.34.116</v>
      </c>
      <c r="D135" s="347"/>
      <c r="E135" s="100" t="s">
        <v>2931</v>
      </c>
    </row>
    <row r="136" spans="2:5" ht="20.05" customHeight="1" x14ac:dyDescent="0.45">
      <c r="B136" s="496" t="s">
        <v>257</v>
      </c>
      <c r="C136" s="497"/>
      <c r="D136" s="497"/>
      <c r="E136" s="498"/>
    </row>
    <row r="137" spans="2:5" ht="20.05" customHeight="1" x14ac:dyDescent="0.45">
      <c r="B137" s="4" t="s">
        <v>85</v>
      </c>
      <c r="C137" s="89" t="str">
        <f>IF(cluster_wld_domain_chosen&lt;&gt;"MGMT Workload Domain",CONCATENATE(prefix_wld_az1_rack_vlan,"35"),CONCATENATE(prefix_mgmt_az1_vlan,"35"))</f>
        <v>1335</v>
      </c>
      <c r="D137" s="347"/>
      <c r="E137" s="32"/>
    </row>
    <row r="138" spans="2:5" ht="20.05" customHeight="1" x14ac:dyDescent="0.45">
      <c r="B138" s="4" t="s">
        <v>160</v>
      </c>
      <c r="C138" s="89">
        <v>9000</v>
      </c>
      <c r="D138" s="347"/>
      <c r="E138" s="32"/>
    </row>
    <row r="139" spans="2:5" ht="20.05" customHeight="1" x14ac:dyDescent="0.45">
      <c r="B139" s="4" t="s">
        <v>188</v>
      </c>
      <c r="C139" s="89" t="str">
        <f>IF(cluster_wld_domain_chosen&lt;&gt;"MGMT Workload Domain",CONCATENATE(prefix_wld_az1_rack_cidr,"35.0"),CONCATENATE(prefix_mgmt_az1_cidr,"35.0"))</f>
        <v>10.13.35.0</v>
      </c>
      <c r="D139" s="347"/>
      <c r="E139" s="56"/>
    </row>
    <row r="140" spans="2:5" ht="20.05" customHeight="1" x14ac:dyDescent="0.45">
      <c r="B140" s="4" t="s">
        <v>285</v>
      </c>
      <c r="C140" s="89" t="s">
        <v>128</v>
      </c>
      <c r="D140" s="347"/>
      <c r="E140" s="32"/>
    </row>
    <row r="141" spans="2:5" ht="20.05" customHeight="1" x14ac:dyDescent="0.45">
      <c r="B141" s="4" t="s">
        <v>187</v>
      </c>
      <c r="C141" s="89" t="str">
        <f>IF(cluster_wld_domain_chosen&lt;&gt;"MGMT Workload Domain",CONCATENATE(prefix_wld_az1_rack_cidr,"35.1"),CONCATENATE(prefix_mgmt_az1_cidr,"35.1"))</f>
        <v>10.13.35.1</v>
      </c>
      <c r="D141" s="347"/>
      <c r="E141" s="32" t="str">
        <f>IF(AND(mgmt_stretched_cluster_result="Included",mgmt_dpg_reuse_result="Excluded"),"Stretched L2","")</f>
        <v/>
      </c>
    </row>
    <row r="142" spans="2:5" ht="20.05" customHeight="1" x14ac:dyDescent="0.45">
      <c r="B142" s="17" t="s">
        <v>255</v>
      </c>
      <c r="C142" s="89" t="str">
        <f>IF(cluster_wld_domain_chosen&lt;&gt;"MGMT Workload Domain",CONCATENATE(prefix_wld_az1_rack_cidr,"35.101"),CONCATENATE(prefix_mgmt_az1_cidr,"35.101"))</f>
        <v>10.13.35.101</v>
      </c>
      <c r="D142" s="347"/>
      <c r="E142" s="100" t="s">
        <v>2932</v>
      </c>
    </row>
    <row r="143" spans="2:5" ht="20.05" customHeight="1" x14ac:dyDescent="0.45">
      <c r="B143" s="17" t="s">
        <v>256</v>
      </c>
      <c r="C143" s="89" t="str">
        <f>IF(cluster_wld_domain_chosen&lt;&gt;"MGMT Workload Domain",CONCATENATE(prefix_wld_az1_rack_cidr,"35.116"),CONCATENATE(prefix_mgmt_az1_cidr,"35.116"))</f>
        <v>10.13.35.116</v>
      </c>
      <c r="D143" s="347"/>
      <c r="E143" s="100" t="s">
        <v>2933</v>
      </c>
    </row>
    <row r="144" spans="2:5" ht="16" customHeight="1" x14ac:dyDescent="0.45">
      <c r="B144" s="8"/>
      <c r="C144" s="8"/>
      <c r="D144" s="8"/>
      <c r="E144" s="8"/>
    </row>
    <row r="145" spans="2:5" ht="34" customHeight="1" x14ac:dyDescent="0.45">
      <c r="B145" s="509" t="s">
        <v>2944</v>
      </c>
      <c r="C145" s="510"/>
      <c r="D145" s="510"/>
      <c r="E145" s="511"/>
    </row>
    <row r="146" spans="2:5" ht="20.05" customHeight="1" x14ac:dyDescent="0.45">
      <c r="B146" s="43" t="s">
        <v>261</v>
      </c>
      <c r="C146" s="43" t="s">
        <v>262</v>
      </c>
      <c r="D146" s="130" t="s">
        <v>19</v>
      </c>
      <c r="E146" s="43" t="s">
        <v>263</v>
      </c>
    </row>
    <row r="147" spans="2:5" ht="20.05" customHeight="1" x14ac:dyDescent="0.45">
      <c r="B147" s="17" t="s">
        <v>215</v>
      </c>
      <c r="C147" s="89" t="str">
        <f>IF(cluster_wld_domain_chosen&lt;&gt;"MGMT Workload Domain",CONCATENATE(this_instance,"01-w0",wld_domain_number_chosen,"-r03-esx01",".",sample_child_dns_zone),CONCATENATE(this_instance,"01-m01-r03-esx01",".",sample_child_dns_zone))</f>
        <v>sfo01-w01-r03-esx01.sfo.rainpole.io</v>
      </c>
      <c r="D147" s="347"/>
      <c r="E147" s="32"/>
    </row>
    <row r="148" spans="2:5" ht="20.05" customHeight="1" x14ac:dyDescent="0.45">
      <c r="B148" s="17" t="s">
        <v>217</v>
      </c>
      <c r="C148" s="89" t="str">
        <f>IF(cluster_wld_domain_chosen&lt;&gt;"MGMT Workload Domain",CONCATENATE(this_instance,"01-w0",wld_domain_number_chosen,"-r03-esx02",".",sample_child_dns_zone),CONCATENATE(this_instance,"01-m01-r03-esx02",".",sample_child_dns_zone))</f>
        <v>sfo01-w01-r03-esx02.sfo.rainpole.io</v>
      </c>
      <c r="D148" s="347"/>
      <c r="E148" s="32"/>
    </row>
    <row r="149" spans="2:5" ht="20.05" customHeight="1" x14ac:dyDescent="0.45">
      <c r="B149" s="17" t="s">
        <v>219</v>
      </c>
      <c r="C149" s="89" t="str">
        <f>IF(cluster_wld_domain_chosen&lt;&gt;"MGMT Workload Domain",CONCATENATE(this_instance,"01-w0",wld_domain_number_chosen,"-r03-esx03",".",sample_child_dns_zone),CONCATENATE(this_instance,"01-m01-r03-esx03",".",sample_child_dns_zone))</f>
        <v>sfo01-w01-r03-esx03.sfo.rainpole.io</v>
      </c>
      <c r="D149" s="347"/>
      <c r="E149" s="32"/>
    </row>
    <row r="150" spans="2:5" ht="20.05" customHeight="1" x14ac:dyDescent="0.45">
      <c r="B150" s="17" t="s">
        <v>221</v>
      </c>
      <c r="C150" s="89" t="str">
        <f>IF(cluster_wld_domain_chosen&lt;&gt;"MGMT Workload Domain",CONCATENATE(this_instance,"01-w0",wld_domain_number_chosen,"-r03-esx04",".",sample_child_dns_zone),CONCATENATE(this_instance,"01-m01-r03-esx04",".",sample_child_dns_zone))</f>
        <v>sfo01-w01-r03-esx04.sfo.rainpole.io</v>
      </c>
      <c r="D150" s="347"/>
      <c r="E150" s="32"/>
    </row>
    <row r="151" spans="2:5" ht="20.05" customHeight="1" x14ac:dyDescent="0.45">
      <c r="B151" s="17" t="s">
        <v>223</v>
      </c>
      <c r="C151" s="89" t="str">
        <f>IF(cluster_wld_domain_chosen&lt;&gt;"MGMT Workload Domain",CONCATENATE(this_instance,"01-w0",wld_domain_number_chosen,"-r03-esx05",".",sample_child_dns_zone),CONCATENATE(this_instance,"01-m01-r03-esx05",".",sample_child_dns_zone))</f>
        <v>sfo01-w01-r03-esx05.sfo.rainpole.io</v>
      </c>
      <c r="D151" s="347"/>
      <c r="E151" s="32"/>
    </row>
    <row r="152" spans="2:5" ht="20.05" customHeight="1" x14ac:dyDescent="0.45">
      <c r="B152" s="17" t="s">
        <v>225</v>
      </c>
      <c r="C152" s="89" t="str">
        <f>IF(cluster_wld_domain_chosen&lt;&gt;"MGMT Workload Domain",CONCATENATE(this_instance,"01-w0",wld_domain_number_chosen,"-r03-esx06",".",sample_child_dns_zone),CONCATENATE(this_instance,"01-m01-r03-esx06",".",sample_child_dns_zone))</f>
        <v>sfo01-w01-r03-esx06.sfo.rainpole.io</v>
      </c>
      <c r="D152" s="347"/>
      <c r="E152" s="32"/>
    </row>
    <row r="153" spans="2:5" ht="20.05" customHeight="1" x14ac:dyDescent="0.45">
      <c r="B153" s="17" t="s">
        <v>227</v>
      </c>
      <c r="C153" s="89" t="str">
        <f>IF(cluster_wld_domain_chosen&lt;&gt;"MGMT Workload Domain",CONCATENATE(this_instance,"01-w0",wld_domain_number_chosen,"-r03-esx07",".",sample_child_dns_zone),CONCATENATE(this_instance,"01-m01-r03-esx07",".",sample_child_dns_zone))</f>
        <v>sfo01-w01-r03-esx07.sfo.rainpole.io</v>
      </c>
      <c r="D153" s="347"/>
      <c r="E153" s="32"/>
    </row>
    <row r="154" spans="2:5" ht="20.05" customHeight="1" x14ac:dyDescent="0.45">
      <c r="B154" s="17" t="s">
        <v>229</v>
      </c>
      <c r="C154" s="89" t="str">
        <f>IF(cluster_wld_domain_chosen&lt;&gt;"MGMT Workload Domain",CONCATENATE(this_instance,"01-w0",wld_domain_number_chosen,"-r03-esx08",".",sample_child_dns_zone),CONCATENATE(this_instance,"01-m01-r03-esx08",".",sample_child_dns_zone))</f>
        <v>sfo01-w01-r03-esx08.sfo.rainpole.io</v>
      </c>
      <c r="D154" s="347"/>
      <c r="E154" s="32"/>
    </row>
    <row r="155" spans="2:5" ht="20.05" customHeight="1" x14ac:dyDescent="0.45">
      <c r="B155" s="17" t="s">
        <v>231</v>
      </c>
      <c r="C155" s="89" t="str">
        <f>IF(cluster_wld_domain_chosen&lt;&gt;"MGMT Workload Domain",CONCATENATE(this_instance,"01-w0",wld_domain_number_chosen,"-r03-esx09",".",sample_child_dns_zone),CONCATENATE(this_instance,"01-m01-r03-esx09",".",sample_child_dns_zone))</f>
        <v>sfo01-w01-r03-esx09.sfo.rainpole.io</v>
      </c>
      <c r="D155" s="347"/>
      <c r="E155" s="32"/>
    </row>
    <row r="156" spans="2:5" ht="20.05" customHeight="1" x14ac:dyDescent="0.45">
      <c r="B156" s="17" t="s">
        <v>233</v>
      </c>
      <c r="C156" s="89" t="str">
        <f>IF(cluster_wld_domain_chosen&lt;&gt;"MGMT Workload Domain",CONCATENATE(this_instance,"01-w0",wld_domain_number_chosen,"-r03-esx10",".",sample_child_dns_zone),CONCATENATE(this_instance,"01-m01-r03-esx10",".",sample_child_dns_zone))</f>
        <v>sfo01-w01-r03-esx10.sfo.rainpole.io</v>
      </c>
      <c r="D156" s="347"/>
      <c r="E156" s="32"/>
    </row>
    <row r="157" spans="2:5" ht="20.05" customHeight="1" x14ac:dyDescent="0.45">
      <c r="B157" s="17" t="s">
        <v>235</v>
      </c>
      <c r="C157" s="89" t="str">
        <f>IF(cluster_wld_domain_chosen&lt;&gt;"MGMT Workload Domain",CONCATENATE(this_instance,"01-w0",wld_domain_number_chosen,"-r03-esx11",".",sample_child_dns_zone),CONCATENATE(this_instance,"01-m01-r03-esx11",".",sample_child_dns_zone))</f>
        <v>sfo01-w01-r03-esx11.sfo.rainpole.io</v>
      </c>
      <c r="D157" s="347"/>
      <c r="E157" s="32"/>
    </row>
    <row r="158" spans="2:5" ht="20.05" customHeight="1" x14ac:dyDescent="0.45">
      <c r="B158" s="17" t="s">
        <v>237</v>
      </c>
      <c r="C158" s="89" t="str">
        <f>IF(cluster_wld_domain_chosen&lt;&gt;"MGMT Workload Domain",CONCATENATE(this_instance,"01-w0",wld_domain_number_chosen,"-r03-esx12",".",sample_child_dns_zone),CONCATENATE(this_instance,"01-m01-r03-esx12",".",sample_child_dns_zone))</f>
        <v>sfo01-w01-r03-esx12.sfo.rainpole.io</v>
      </c>
      <c r="D158" s="347"/>
      <c r="E158" s="32"/>
    </row>
    <row r="159" spans="2:5" ht="20.05" customHeight="1" x14ac:dyDescent="0.45">
      <c r="B159" s="17" t="s">
        <v>239</v>
      </c>
      <c r="C159" s="89" t="str">
        <f>IF(cluster_wld_domain_chosen&lt;&gt;"MGMT Workload Domain",CONCATENATE(this_instance,"01-w0",wld_domain_number_chosen,"-r03-esx13",".",sample_child_dns_zone),CONCATENATE(this_instance,"01-m01-r03-esx13",".",sample_child_dns_zone))</f>
        <v>sfo01-w01-r03-esx13.sfo.rainpole.io</v>
      </c>
      <c r="D159" s="347"/>
      <c r="E159" s="32"/>
    </row>
    <row r="160" spans="2:5" ht="20.05" customHeight="1" x14ac:dyDescent="0.45">
      <c r="B160" s="17" t="s">
        <v>241</v>
      </c>
      <c r="C160" s="89" t="str">
        <f>IF(cluster_wld_domain_chosen&lt;&gt;"MGMT Workload Domain",CONCATENATE(this_instance,"01-w0",wld_domain_number_chosen,"-r03-esx14",".",sample_child_dns_zone),CONCATENATE(this_instance,"01-m01-r03-esx14",".",sample_child_dns_zone))</f>
        <v>sfo01-w01-r03-esx14.sfo.rainpole.io</v>
      </c>
      <c r="D160" s="347"/>
      <c r="E160" s="32"/>
    </row>
    <row r="161" spans="2:5" ht="20.05" customHeight="1" x14ac:dyDescent="0.45">
      <c r="B161" s="17" t="s">
        <v>243</v>
      </c>
      <c r="C161" s="89" t="str">
        <f>IF(cluster_wld_domain_chosen&lt;&gt;"MGMT Workload Domain",CONCATENATE(this_instance,"01-w0",wld_domain_number_chosen,"-r03-esx14",".",sample_child_dns_zone),CONCATENATE(this_instance,"01-m01-r03-esx15",".",sample_child_dns_zone))</f>
        <v>sfo01-w01-r03-esx14.sfo.rainpole.io</v>
      </c>
      <c r="D161" s="347"/>
      <c r="E161" s="32"/>
    </row>
    <row r="162" spans="2:5" ht="20.05" customHeight="1" x14ac:dyDescent="0.45">
      <c r="B162" s="17" t="s">
        <v>245</v>
      </c>
      <c r="C162" s="89" t="str">
        <f>IF(cluster_wld_domain_chosen&lt;&gt;"MGMT Workload Domain",CONCATENATE(this_instance,"01-w0",wld_domain_number_chosen,"-r03-esx16",".",sample_child_dns_zone),CONCATENATE(this_instance,"01-m01-r03-esx16",".",sample_child_dns_zone))</f>
        <v>sfo01-w01-r03-esx16.sfo.rainpole.io</v>
      </c>
      <c r="D162" s="347"/>
      <c r="E162" s="32"/>
    </row>
    <row r="163" spans="2:5" ht="20.05" customHeight="1" x14ac:dyDescent="0.45">
      <c r="B163" s="17" t="s">
        <v>264</v>
      </c>
      <c r="C163" s="89" t="s">
        <v>762</v>
      </c>
      <c r="D163" s="337" t="s">
        <v>265</v>
      </c>
      <c r="E163" s="32"/>
    </row>
    <row r="164" spans="2:5" ht="20.05" customHeight="1" x14ac:dyDescent="0.45">
      <c r="B164" s="17" t="s">
        <v>266</v>
      </c>
      <c r="C164" s="89" t="s">
        <v>267</v>
      </c>
      <c r="D164"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164" s="4"/>
    </row>
    <row r="165" spans="2:5" ht="20.05" customHeight="1" x14ac:dyDescent="0.45">
      <c r="B165" s="17" t="s">
        <v>268</v>
      </c>
      <c r="C165" s="89" t="s">
        <v>159</v>
      </c>
      <c r="D165" s="337" t="str">
        <f>IF(AND(vcf_granular_option_chosen="Create Cluster",cluster_principal_storage_chosen="vSAN-ESA"),"Selected",
IF(AND(vcf_granular_option_chosen="Create VI Workload Domain",wld_principal_storage_chosen="vSAN-ESA"),"Selected","Unselected"))</f>
        <v>Unselected</v>
      </c>
      <c r="E165" s="32"/>
    </row>
    <row r="166" spans="2:5" ht="20.05" customHeight="1" x14ac:dyDescent="0.45">
      <c r="B166" s="17" t="s">
        <v>250</v>
      </c>
      <c r="C166" s="89" t="str">
        <f>sample_wld_az1_rack3_pool_name</f>
        <v>sfo01-w01-r03-network-pool-01</v>
      </c>
      <c r="D166" s="337" t="str">
        <f>wld_az1_rack3_pool_name</f>
        <v>Value Missing</v>
      </c>
      <c r="E166" s="32"/>
    </row>
    <row r="167" spans="2:5" ht="20.05" customHeight="1" x14ac:dyDescent="0.45">
      <c r="B167" s="17" t="s">
        <v>46</v>
      </c>
      <c r="C167" s="89" t="s">
        <v>269</v>
      </c>
      <c r="D167"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167" s="32"/>
    </row>
    <row r="168" spans="2:5" ht="20.05" customHeight="1" x14ac:dyDescent="0.45">
      <c r="B168" s="17" t="s">
        <v>29</v>
      </c>
      <c r="C168" s="89" t="s">
        <v>30</v>
      </c>
      <c r="D168"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168" s="32"/>
    </row>
    <row r="169" spans="2:5" ht="16" customHeight="1" x14ac:dyDescent="0.45"/>
    <row r="170" spans="2:5" ht="34" customHeight="1" x14ac:dyDescent="0.45">
      <c r="B170" s="509" t="s">
        <v>2945</v>
      </c>
      <c r="C170" s="510"/>
      <c r="D170" s="510"/>
      <c r="E170" s="511"/>
    </row>
    <row r="171" spans="2:5" ht="20.05" customHeight="1" x14ac:dyDescent="0.45">
      <c r="B171" s="4" t="s">
        <v>337</v>
      </c>
      <c r="C171" s="89" t="str">
        <f>IF(vcf_granular_option_chosen="Create Cluster",CONCATENATE(this_instance,"01-",sample_cluster_name,"-r03-network-profile"),
IF(cluster_wld_domain_chosen="VI Workload Domain",CONCATENATE(this_instance,"01-",sample_wld_cl01_cluster,"-r03-network-profile"),
CONCATENATE(this_instance,"01-",sample_mgmt_cl01_cluster,"-r03-network-profile")))</f>
        <v>sfo01-sfo-w01-cl01-r03-network-profile</v>
      </c>
      <c r="D171" s="240"/>
      <c r="E171" s="80"/>
    </row>
    <row r="172" spans="2:5" ht="20.05" customHeight="1" x14ac:dyDescent="0.45">
      <c r="B172" s="4" t="s">
        <v>2936</v>
      </c>
      <c r="C172" s="362" t="s">
        <v>339</v>
      </c>
      <c r="D172" s="127" t="s">
        <v>339</v>
      </c>
      <c r="E172" s="280" t="str">
        <f>IF(wld_az1_rack3_host_overlay_new_pool_chosen="Re-use an existing Pool","An exisitng Pool will be reused for Host TEP assignment","A new Pool will be created for Host TEP assignment")</f>
        <v>A new Pool will be created for Host TEP assignment</v>
      </c>
    </row>
    <row r="173" spans="2:5" ht="20.05" customHeight="1" x14ac:dyDescent="0.45">
      <c r="B173" s="4" t="s">
        <v>340</v>
      </c>
      <c r="C173" s="89" t="str">
        <f>IF(cluster_wld_domain_chosen="VI Workload Domain",CONCATENATE(this_instance,"01-w0",wld_domain_number_chosen,"-r03-ip-pool01-host"),CONCATENATE(this_instance,"01-m01","-r03-ip-pool01-host"))</f>
        <v>sfo01-w01-r03-ip-pool01-host</v>
      </c>
      <c r="D173" s="240"/>
      <c r="E173" s="80"/>
    </row>
    <row r="174" spans="2:5" ht="20.05" customHeight="1" x14ac:dyDescent="0.45">
      <c r="B174" s="4" t="s">
        <v>341</v>
      </c>
      <c r="C174" s="89" t="str">
        <f>IF(cluster_wld_domain_chosen="VI Workload Domain",CONCATENATE(this_instance,"01-w0",wld_domain_number_chosen,"-r03-uplink-profile01"),CONCATENATE(this_instance,"01-m01","-r03-uplink-profile01"))</f>
        <v>sfo01-w01-r03-uplink-profile01</v>
      </c>
      <c r="D174" s="240"/>
      <c r="E174" s="80"/>
    </row>
    <row r="175" spans="2:5" ht="20.05" customHeight="1" x14ac:dyDescent="0.45">
      <c r="B175" s="4" t="s">
        <v>2937</v>
      </c>
      <c r="C175" s="89" t="str">
        <f>IF(cluster_wld_domain_chosen="VI Workload Domain",CONCATENATE(this_instance,"01-w0",wld_domain_number_chosen,"-r03-ip-pool02-edge"),CONCATENATE(this_instance,"01-m01","-r03-ip-pool02-edge"))</f>
        <v>sfo01-w01-r03-ip-pool02-edge</v>
      </c>
      <c r="D175" s="240"/>
      <c r="E175" s="80"/>
    </row>
    <row r="176" spans="2:5" ht="20.05" customHeight="1" x14ac:dyDescent="0.45">
      <c r="B176" s="4" t="s">
        <v>2938</v>
      </c>
      <c r="C176" s="89" t="str">
        <f>IF(cluster_wld_domain_chosen="VI Workload Domain",CONCATENATE(this_instance,"01-w0",wld_domain_number_chosen,"-r03-ip-pool03-rtep"),CONCATENATE(this_instance,"01-m01","-r03-ip-pool03-rtep"))</f>
        <v>sfo01-w01-r03-ip-pool03-rtep</v>
      </c>
      <c r="D176" s="347"/>
      <c r="E176" s="80"/>
    </row>
    <row r="177" spans="2:5" ht="20.05" customHeight="1" x14ac:dyDescent="0.45">
      <c r="B177" s="496" t="s">
        <v>834</v>
      </c>
      <c r="C177" s="497"/>
      <c r="D177" s="497"/>
      <c r="E177" s="498"/>
    </row>
    <row r="178" spans="2:5" ht="20.05" customHeight="1" x14ac:dyDescent="0.45">
      <c r="B178" s="207" t="s">
        <v>261</v>
      </c>
      <c r="C178" s="207" t="s">
        <v>262</v>
      </c>
      <c r="D178" s="239" t="s">
        <v>19</v>
      </c>
      <c r="E178" s="207" t="s">
        <v>20</v>
      </c>
    </row>
    <row r="179" spans="2:5" ht="20.05" customHeight="1" x14ac:dyDescent="0.45">
      <c r="B179" s="4" t="s">
        <v>1448</v>
      </c>
      <c r="C179" s="80" t="str">
        <f>IF(cluster_wld_domain_chosen&lt;&gt;"MGMT Workload Domain",CONCATENATE(this_instance,"-w0",wld_domain_number_chosen,"-r03","-vsan-fault-domain"),CONCATENATE(this_instance,"-m01","-r03","-vsan-fault-domain"))</f>
        <v>sfo-w01-r03-vsan-fault-domain</v>
      </c>
      <c r="D179" s="347"/>
      <c r="E179" s="337"/>
    </row>
    <row r="180" spans="2:5" ht="16" customHeight="1" x14ac:dyDescent="0.45"/>
    <row r="181" spans="2:5" ht="34" customHeight="1" x14ac:dyDescent="0.45">
      <c r="B181" s="509" t="s">
        <v>2946</v>
      </c>
      <c r="C181" s="510"/>
      <c r="D181" s="510"/>
      <c r="E181" s="511"/>
    </row>
    <row r="182" spans="2:5" ht="20.05" customHeight="1" x14ac:dyDescent="0.45">
      <c r="B182" s="43" t="s">
        <v>261</v>
      </c>
      <c r="C182" s="43" t="s">
        <v>262</v>
      </c>
      <c r="D182" s="130" t="s">
        <v>19</v>
      </c>
      <c r="E182" s="43" t="s">
        <v>20</v>
      </c>
    </row>
    <row r="183" spans="2:5" ht="20.05" customHeight="1" x14ac:dyDescent="0.45">
      <c r="B183" s="496" t="s">
        <v>938</v>
      </c>
      <c r="C183" s="497"/>
      <c r="D183" s="497"/>
      <c r="E183" s="498"/>
    </row>
    <row r="184" spans="2:5" ht="20.05" customHeight="1" x14ac:dyDescent="0.45">
      <c r="B184" s="4" t="s">
        <v>85</v>
      </c>
      <c r="C184" s="362" t="str">
        <f>IF(cluster_wld_domain_chosen&lt;&gt;"MGMT Workload Domain",CONCATENATE(prefix_wld_az1_rack_vlan,"36"),CONCATENATE(prefix_mgmt_az1_vlan,"36"))</f>
        <v>1336</v>
      </c>
      <c r="D184" s="347"/>
      <c r="E184" s="93"/>
    </row>
    <row r="185" spans="2:5" ht="20.05" customHeight="1" x14ac:dyDescent="0.45">
      <c r="B185" s="4" t="s">
        <v>160</v>
      </c>
      <c r="C185" s="362">
        <v>9000</v>
      </c>
      <c r="D185" s="347"/>
      <c r="E185" s="32"/>
    </row>
    <row r="186" spans="2:5" ht="20.05" customHeight="1" x14ac:dyDescent="0.45">
      <c r="B186" s="4" t="s">
        <v>188</v>
      </c>
      <c r="C186" s="362" t="str">
        <f>IF(cluster_wld_domain_chosen&lt;&gt;"MGMT Workload Domain",CONCATENATE(prefix_wld_az1_rack_cidr,"36.0"),CONCATENATE(prefix_mgmt_az1_cidr,"36.0"))</f>
        <v>10.13.36.0</v>
      </c>
      <c r="D186" s="347"/>
      <c r="E186" s="32"/>
    </row>
    <row r="187" spans="2:5" ht="20.05" customHeight="1" x14ac:dyDescent="0.45">
      <c r="B187" s="4" t="s">
        <v>285</v>
      </c>
      <c r="C187" s="126" t="s">
        <v>128</v>
      </c>
      <c r="D187" s="347"/>
      <c r="E187" s="32"/>
    </row>
    <row r="188" spans="2:5" ht="20.05" customHeight="1" x14ac:dyDescent="0.45">
      <c r="B188" s="4" t="s">
        <v>187</v>
      </c>
      <c r="C188" s="362" t="str">
        <f>IF(cluster_wld_domain_chosen&lt;&gt;"MGMT Workload Domain",CONCATENATE(prefix_wld_az1_rack_cidr,"36.1"),CONCATENATE(prefix_mgmt_az1_cidr,"36.1"))</f>
        <v>10.13.36.1</v>
      </c>
      <c r="D188" s="347"/>
      <c r="E188" s="32"/>
    </row>
    <row r="189" spans="2:5" ht="20.05" customHeight="1" x14ac:dyDescent="0.45">
      <c r="B189" s="17" t="s">
        <v>255</v>
      </c>
      <c r="C189" s="362" t="str">
        <f>IF(cluster_wld_domain_chosen&lt;&gt;"MGMT Workload Domain",CONCATENATE(prefix_wld_az1_rack_cidr,"36.101"),CONCATENATE(prefix_mgmt_az1_cidr,"36.101"))</f>
        <v>10.13.36.101</v>
      </c>
      <c r="D189" s="347"/>
      <c r="E189" s="100" t="s">
        <v>2940</v>
      </c>
    </row>
    <row r="190" spans="2:5" ht="20.05" customHeight="1" x14ac:dyDescent="0.45">
      <c r="B190" s="17" t="s">
        <v>256</v>
      </c>
      <c r="C190" s="362" t="str">
        <f>IF(cluster_wld_domain_chosen&lt;&gt;"MGMT Workload Domain",CONCATENATE(prefix_wld_az1_rack_cidr,"36.116"),CONCATENATE(prefix_mgmt_az1_cidr,"36.116"))</f>
        <v>10.13.36.116</v>
      </c>
      <c r="D190" s="347"/>
      <c r="E190" s="100" t="s">
        <v>2941</v>
      </c>
    </row>
    <row r="191" spans="2:5" ht="16" customHeight="1" x14ac:dyDescent="0.45"/>
    <row r="192" spans="2:5" ht="34" customHeight="1" x14ac:dyDescent="0.45">
      <c r="B192" s="509" t="s">
        <v>2947</v>
      </c>
      <c r="C192" s="510"/>
      <c r="D192" s="510"/>
      <c r="E192" s="511"/>
    </row>
    <row r="193" spans="2:5" ht="20.05" customHeight="1" x14ac:dyDescent="0.45">
      <c r="B193" s="43" t="s">
        <v>261</v>
      </c>
      <c r="C193" s="43" t="s">
        <v>262</v>
      </c>
      <c r="D193" s="130" t="s">
        <v>19</v>
      </c>
      <c r="E193" s="43" t="s">
        <v>263</v>
      </c>
    </row>
    <row r="194" spans="2:5" ht="20.05" customHeight="1" x14ac:dyDescent="0.45">
      <c r="B194" s="496" t="s">
        <v>213</v>
      </c>
      <c r="C194" s="497"/>
      <c r="D194" s="497"/>
      <c r="E194" s="498"/>
    </row>
    <row r="195" spans="2:5" ht="20.05" customHeight="1" x14ac:dyDescent="0.45">
      <c r="B195" s="4" t="s">
        <v>85</v>
      </c>
      <c r="C195" s="362" t="str">
        <f>IF(cluster_wld_domain_chosen&lt;&gt;"MGMT Workload Domain",CONCATENATE(prefix_wld_az1_rack_vlan,"44"),CONCATENATE(prefix_mgmt_az1_vlan,"44"))</f>
        <v>1344</v>
      </c>
      <c r="D195" s="347"/>
      <c r="E195" s="93"/>
    </row>
    <row r="196" spans="2:5" ht="20.05" customHeight="1" x14ac:dyDescent="0.45">
      <c r="B196" s="4" t="s">
        <v>187</v>
      </c>
      <c r="C196" s="362" t="str">
        <f>IF(cluster_wld_domain_chosen&lt;&gt;"MGMT Workload Domain",CONCATENATE(prefix_wld_az1_rack_cidr,"44.1"),CONCATENATE(prefix_mgmt_az1_cidr,"44.1"))</f>
        <v>10.13.44.1</v>
      </c>
      <c r="D196" s="347"/>
      <c r="E196" s="32"/>
    </row>
    <row r="197" spans="2:5" ht="20.05" customHeight="1" x14ac:dyDescent="0.45">
      <c r="B197" s="4" t="s">
        <v>188</v>
      </c>
      <c r="C197" s="362" t="str">
        <f>IF(cluster_wld_domain_chosen&lt;&gt;"MGMT Workload Domain",CONCATENATE(prefix_wld_az1_rack_cidr,"44.0/24"),CONCATENATE(prefix_mgmt_az1_cidr,"44.0/24"))</f>
        <v>10.13.44.0/24</v>
      </c>
      <c r="D197" s="347"/>
      <c r="E197" s="32"/>
    </row>
    <row r="198" spans="2:5" ht="20.05" customHeight="1" x14ac:dyDescent="0.45">
      <c r="B198" s="4" t="s">
        <v>160</v>
      </c>
      <c r="C198" s="362">
        <v>1500</v>
      </c>
      <c r="D198" s="347"/>
      <c r="E198" s="32"/>
    </row>
    <row r="199" spans="2:5" ht="20.05" customHeight="1" x14ac:dyDescent="0.45">
      <c r="B199" s="512" t="s">
        <v>214</v>
      </c>
      <c r="C199" s="513"/>
      <c r="D199" s="513"/>
      <c r="E199" s="514"/>
    </row>
    <row r="200" spans="2:5" ht="20.05" customHeight="1" x14ac:dyDescent="0.45">
      <c r="B200" s="17" t="s">
        <v>215</v>
      </c>
      <c r="C200" s="126" t="str">
        <f>IF(cluster_wld_domain_chosen&lt;&gt;"MGMT Workload Domain",CONCATENATE(prefix_wld_az1_rack_cidr,"44.101"),CONCATENATE(prefix_mgmt_az1_cidr,"44.101"))</f>
        <v>10.13.44.101</v>
      </c>
      <c r="D200" s="347"/>
      <c r="E200" s="100" t="s">
        <v>216</v>
      </c>
    </row>
    <row r="201" spans="2:5" ht="20.05" customHeight="1" x14ac:dyDescent="0.45">
      <c r="B201" s="17" t="s">
        <v>217</v>
      </c>
      <c r="C201" s="126" t="str">
        <f>IF(cluster_wld_domain_chosen&lt;&gt;"MGMT Workload Domain",CONCATENATE(prefix_wld_az1_rack_cidr,"44.102"),CONCATENATE(prefix_mgmt_az1_cidr,"44.102"))</f>
        <v>10.13.44.102</v>
      </c>
      <c r="D201" s="347"/>
      <c r="E201" s="100" t="s">
        <v>218</v>
      </c>
    </row>
    <row r="202" spans="2:5" ht="20.05" customHeight="1" x14ac:dyDescent="0.45">
      <c r="B202" s="17" t="s">
        <v>219</v>
      </c>
      <c r="C202" s="126" t="str">
        <f>IF(cluster_wld_domain_chosen&lt;&gt;"MGMT Workload Domain",CONCATENATE(prefix_wld_az1_rack_cidr,"44.103"),CONCATENATE(prefix_mgmt_az1_cidr,"44.103"))</f>
        <v>10.13.44.103</v>
      </c>
      <c r="D202" s="347"/>
      <c r="E202" s="100" t="s">
        <v>220</v>
      </c>
    </row>
    <row r="203" spans="2:5" ht="20.05" customHeight="1" x14ac:dyDescent="0.45">
      <c r="B203" s="17" t="s">
        <v>221</v>
      </c>
      <c r="C203" s="126" t="str">
        <f>IF(cluster_wld_domain_chosen&lt;&gt;"MGMT Workload Domain",CONCATENATE(prefix_wld_az1_rack_cidr,"44.104"),CONCATENATE(prefix_mgmt_az1_cidr,"44.104"))</f>
        <v>10.13.44.104</v>
      </c>
      <c r="D203" s="347"/>
      <c r="E203" s="100" t="s">
        <v>222</v>
      </c>
    </row>
    <row r="204" spans="2:5" ht="20.05" customHeight="1" x14ac:dyDescent="0.45">
      <c r="B204" s="17" t="s">
        <v>223</v>
      </c>
      <c r="C204" s="126" t="str">
        <f>IF(cluster_wld_domain_chosen&lt;&gt;"MGMT Workload Domain",CONCATENATE(prefix_wld_az1_rack_cidr,"44.105"),CONCATENATE(prefix_mgmt_az1_cidr,"44.105"))</f>
        <v>10.13.44.105</v>
      </c>
      <c r="D204" s="347"/>
      <c r="E204" s="100" t="s">
        <v>224</v>
      </c>
    </row>
    <row r="205" spans="2:5" ht="20.05" customHeight="1" x14ac:dyDescent="0.45">
      <c r="B205" s="17" t="s">
        <v>225</v>
      </c>
      <c r="C205" s="126" t="str">
        <f>IF(cluster_wld_domain_chosen&lt;&gt;"MGMT Workload Domain",CONCATENATE(prefix_wld_az1_rack_cidr,"44.106"),CONCATENATE(prefix_mgmt_az1_cidr,"44.106"))</f>
        <v>10.13.44.106</v>
      </c>
      <c r="D205" s="347"/>
      <c r="E205" s="100" t="s">
        <v>226</v>
      </c>
    </row>
    <row r="206" spans="2:5" ht="20.05" customHeight="1" x14ac:dyDescent="0.45">
      <c r="B206" s="17" t="s">
        <v>227</v>
      </c>
      <c r="C206" s="126" t="str">
        <f>IF(cluster_wld_domain_chosen&lt;&gt;"MGMT Workload Domain",CONCATENATE(prefix_wld_az1_rack_cidr,"44.107"),CONCATENATE(prefix_mgmt_az1_cidr,"44.107"))</f>
        <v>10.13.44.107</v>
      </c>
      <c r="D206" s="347"/>
      <c r="E206" s="100" t="s">
        <v>228</v>
      </c>
    </row>
    <row r="207" spans="2:5" ht="20.05" customHeight="1" x14ac:dyDescent="0.45">
      <c r="B207" s="17" t="s">
        <v>229</v>
      </c>
      <c r="C207" s="126" t="str">
        <f>IF(cluster_wld_domain_chosen&lt;&gt;"MGMT Workload Domain",CONCATENATE(prefix_wld_az1_rack_cidr,"44.108"),CONCATENATE(prefix_mgmt_az1_cidr,"44.108"))</f>
        <v>10.13.44.108</v>
      </c>
      <c r="D207" s="347"/>
      <c r="E207" s="100" t="s">
        <v>230</v>
      </c>
    </row>
    <row r="208" spans="2:5" ht="20.05" customHeight="1" x14ac:dyDescent="0.45">
      <c r="B208" s="17" t="s">
        <v>231</v>
      </c>
      <c r="C208" s="126" t="str">
        <f>IF(cluster_wld_domain_chosen&lt;&gt;"MGMT Workload Domain",CONCATENATE(prefix_wld_az1_rack_cidr,"44.109"),CONCATENATE(prefix_mgmt_az1_cidr,"44.109"))</f>
        <v>10.13.44.109</v>
      </c>
      <c r="D208" s="347"/>
      <c r="E208" s="100" t="s">
        <v>232</v>
      </c>
    </row>
    <row r="209" spans="2:5" ht="20.05" customHeight="1" x14ac:dyDescent="0.45">
      <c r="B209" s="17" t="s">
        <v>233</v>
      </c>
      <c r="C209" s="126" t="str">
        <f>IF(cluster_wld_domain_chosen&lt;&gt;"MGMT Workload Domain",CONCATENATE(prefix_wld_az1_rack_cidr,"44.110"),CONCATENATE(prefix_mgmt_az1_cidr,"44.110"))</f>
        <v>10.13.44.110</v>
      </c>
      <c r="D209" s="347"/>
      <c r="E209" s="100" t="s">
        <v>234</v>
      </c>
    </row>
    <row r="210" spans="2:5" ht="20.05" customHeight="1" x14ac:dyDescent="0.45">
      <c r="B210" s="17" t="s">
        <v>235</v>
      </c>
      <c r="C210" s="126" t="str">
        <f>IF(cluster_wld_domain_chosen&lt;&gt;"MGMT Workload Domain",CONCATENATE(prefix_wld_az1_rack_cidr,"44.111"),CONCATENATE(prefix_mgmt_az1_cidr,"44.111"))</f>
        <v>10.13.44.111</v>
      </c>
      <c r="D210" s="347"/>
      <c r="E210" s="100" t="s">
        <v>236</v>
      </c>
    </row>
    <row r="211" spans="2:5" ht="20.05" customHeight="1" x14ac:dyDescent="0.45">
      <c r="B211" s="17" t="s">
        <v>237</v>
      </c>
      <c r="C211" s="126" t="str">
        <f>IF(cluster_wld_domain_chosen&lt;&gt;"MGMT Workload Domain",CONCATENATE(prefix_wld_az1_rack_cidr,"44.112"),CONCATENATE(prefix_mgmt_az1_cidr,"44.112"))</f>
        <v>10.13.44.112</v>
      </c>
      <c r="D211" s="347"/>
      <c r="E211" s="100" t="s">
        <v>238</v>
      </c>
    </row>
    <row r="212" spans="2:5" ht="20.05" customHeight="1" x14ac:dyDescent="0.45">
      <c r="B212" s="17" t="s">
        <v>239</v>
      </c>
      <c r="C212" s="126" t="str">
        <f>IF(cluster_wld_domain_chosen&lt;&gt;"MGMT Workload Domain",CONCATENATE(prefix_wld_az1_rack_cidr,"44.113"),CONCATENATE(prefix_mgmt_az1_cidr,"44.113"))</f>
        <v>10.13.44.113</v>
      </c>
      <c r="D212" s="347"/>
      <c r="E212" s="100" t="s">
        <v>240</v>
      </c>
    </row>
    <row r="213" spans="2:5" ht="20.05" customHeight="1" x14ac:dyDescent="0.45">
      <c r="B213" s="17" t="s">
        <v>241</v>
      </c>
      <c r="C213" s="126" t="str">
        <f>IF(cluster_wld_domain_chosen&lt;&gt;"MGMT Workload Domain",CONCATENATE(prefix_wld_az1_rack_cidr,"44.114"),CONCATENATE(prefix_mgmt_az1_cidr,"44.114"))</f>
        <v>10.13.44.114</v>
      </c>
      <c r="D213" s="347"/>
      <c r="E213" s="100" t="s">
        <v>242</v>
      </c>
    </row>
    <row r="214" spans="2:5" ht="20.05" customHeight="1" x14ac:dyDescent="0.45">
      <c r="B214" s="17" t="s">
        <v>243</v>
      </c>
      <c r="C214" s="126" t="str">
        <f>IF(cluster_wld_domain_chosen&lt;&gt;"MGMT Workload Domain",CONCATENATE(prefix_wld_az1_rack_cidr,"44.115"),CONCATENATE(prefix_mgmt_az1_cidr,"44.115"))</f>
        <v>10.13.44.115</v>
      </c>
      <c r="D214" s="347"/>
      <c r="E214" s="100" t="s">
        <v>244</v>
      </c>
    </row>
    <row r="215" spans="2:5" ht="20.05" customHeight="1" x14ac:dyDescent="0.45">
      <c r="B215" s="17" t="s">
        <v>245</v>
      </c>
      <c r="C215" s="126" t="str">
        <f>IF(cluster_wld_domain_chosen&lt;&gt;"MGMT Workload Domain",CONCATENATE(prefix_wld_az1_rack_cidr,"44.116"),CONCATENATE(prefix_mgmt_az1_cidr,"44.116"))</f>
        <v>10.13.44.116</v>
      </c>
      <c r="D215" s="347"/>
      <c r="E215" s="100" t="s">
        <v>246</v>
      </c>
    </row>
    <row r="216" spans="2:5" ht="16" customHeight="1" x14ac:dyDescent="0.45">
      <c r="B216" s="8"/>
      <c r="C216" s="8"/>
      <c r="D216" s="8"/>
      <c r="E216" s="8"/>
    </row>
    <row r="217" spans="2:5" ht="34" customHeight="1" x14ac:dyDescent="0.45">
      <c r="B217" s="509" t="s">
        <v>2948</v>
      </c>
      <c r="C217" s="510"/>
      <c r="D217" s="510"/>
      <c r="E217" s="511"/>
    </row>
    <row r="218" spans="2:5" ht="20.05" customHeight="1" x14ac:dyDescent="0.45">
      <c r="B218" s="43" t="s">
        <v>261</v>
      </c>
      <c r="C218" s="43" t="s">
        <v>262</v>
      </c>
      <c r="D218" s="130" t="s">
        <v>19</v>
      </c>
      <c r="E218" s="43" t="s">
        <v>263</v>
      </c>
    </row>
    <row r="219" spans="2:5" ht="20.05" customHeight="1" x14ac:dyDescent="0.45">
      <c r="B219" s="4" t="s">
        <v>2929</v>
      </c>
      <c r="C219" s="362" t="s">
        <v>249</v>
      </c>
      <c r="D219" s="127" t="s">
        <v>249</v>
      </c>
      <c r="E219" s="4" t="str">
        <f>IF(wld_az1_rack4_reuse_vcf_networkpool_chosen="Re-use an existing  VCF Network Pool","An exisiting VCF Network Pool will be reused for Host TEP assignment","A new VCF Network Pool will be created")</f>
        <v>A new VCF Network Pool will be created</v>
      </c>
    </row>
    <row r="220" spans="2:5" ht="20.05" customHeight="1" x14ac:dyDescent="0.45">
      <c r="B220" s="17" t="s">
        <v>250</v>
      </c>
      <c r="C220" s="89" t="str">
        <f>IF(cluster_wld_domain_chosen="VI Workload Domain",CONCATENATE(this_instance,"01-w0",wld_domain_number_chosen,"-r04-network-pool-01"),CONCATENATE(this_instance,"01-m01","-r04-network-pool-01"))</f>
        <v>sfo01-w01-r04-network-pool-01</v>
      </c>
      <c r="D220" s="347"/>
      <c r="E220" s="32"/>
    </row>
    <row r="221" spans="2:5" ht="20.05" customHeight="1" x14ac:dyDescent="0.45">
      <c r="B221" s="496" t="s">
        <v>251</v>
      </c>
      <c r="C221" s="497"/>
      <c r="D221" s="497"/>
      <c r="E221" s="498"/>
    </row>
    <row r="222" spans="2:5" ht="20.05" customHeight="1" x14ac:dyDescent="0.45">
      <c r="B222" s="4" t="s">
        <v>85</v>
      </c>
      <c r="C222" s="362" t="str">
        <f>IF(cluster_wld_domain_chosen&lt;&gt;"MGMT Workload Domain",CONCATENATE(prefix_wld_az1_rack_vlan,"45"),CONCATENATE(prefix_mgmt_az1_vlan,"45"))</f>
        <v>1345</v>
      </c>
      <c r="D222" s="347"/>
      <c r="E222" s="93"/>
    </row>
    <row r="223" spans="2:5" ht="20.05" customHeight="1" x14ac:dyDescent="0.45">
      <c r="B223" s="4" t="s">
        <v>160</v>
      </c>
      <c r="C223" s="362">
        <v>9000</v>
      </c>
      <c r="D223" s="347"/>
      <c r="E223" s="32"/>
    </row>
    <row r="224" spans="2:5" ht="20.05" customHeight="1" x14ac:dyDescent="0.45">
      <c r="B224" s="4" t="s">
        <v>188</v>
      </c>
      <c r="C224" s="126" t="str">
        <f>IF(cluster_wld_domain_chosen&lt;&gt;"MGMT Workload Domain",CONCATENATE(prefix_wld_az1_rack_cidr,"45.0"),CONCATENATE(prefix_mgmt_az1_cidr,"45.0"))</f>
        <v>10.13.45.0</v>
      </c>
      <c r="D224" s="347"/>
      <c r="E224" s="32"/>
    </row>
    <row r="225" spans="2:5" ht="20.05" customHeight="1" x14ac:dyDescent="0.45">
      <c r="B225" s="4" t="s">
        <v>285</v>
      </c>
      <c r="C225" s="126" t="s">
        <v>128</v>
      </c>
      <c r="D225" s="347"/>
      <c r="E225" s="32"/>
    </row>
    <row r="226" spans="2:5" ht="20.05" customHeight="1" x14ac:dyDescent="0.45">
      <c r="B226" s="4" t="s">
        <v>187</v>
      </c>
      <c r="C226" s="362" t="str">
        <f>IF(cluster_wld_domain_chosen&lt;&gt;"MGMT Workload Domain",CONCATENATE(prefix_wld_az1_rack_cidr,"45.1"),CONCATENATE(prefix_mgmt_az1_cidr,"45.1"))</f>
        <v>10.13.45.1</v>
      </c>
      <c r="D226" s="347"/>
      <c r="E226" s="32"/>
    </row>
    <row r="227" spans="2:5" ht="20.05" customHeight="1" x14ac:dyDescent="0.45">
      <c r="B227" s="17" t="s">
        <v>255</v>
      </c>
      <c r="C227" s="362" t="str">
        <f>IF(cluster_wld_domain_chosen&lt;&gt;"MGMT Workload Domain",CONCATENATE(prefix_wld_az1_rack_cidr,"45.101"),CONCATENATE(prefix_mgmt_az1_cidr,"45.101"))</f>
        <v>10.13.45.101</v>
      </c>
      <c r="D227" s="347"/>
      <c r="E227" s="100" t="s">
        <v>2949</v>
      </c>
    </row>
    <row r="228" spans="2:5" ht="20.05" customHeight="1" x14ac:dyDescent="0.45">
      <c r="B228" s="17" t="s">
        <v>256</v>
      </c>
      <c r="C228" s="362" t="str">
        <f>IF(cluster_wld_domain_chosen&lt;&gt;"MGMT Workload Domain",CONCATENATE(prefix_wld_az1_rack_cidr,"45.116"),CONCATENATE(prefix_mgmt_az1_cidr,"45.116"))</f>
        <v>10.13.45.116</v>
      </c>
      <c r="D228" s="347"/>
      <c r="E228" s="100" t="s">
        <v>2950</v>
      </c>
    </row>
    <row r="229" spans="2:5" ht="20.05" customHeight="1" x14ac:dyDescent="0.45">
      <c r="B229" s="496" t="s">
        <v>257</v>
      </c>
      <c r="C229" s="497"/>
      <c r="D229" s="497"/>
      <c r="E229" s="498"/>
    </row>
    <row r="230" spans="2:5" ht="20.05" customHeight="1" x14ac:dyDescent="0.45">
      <c r="B230" s="4" t="s">
        <v>85</v>
      </c>
      <c r="C230" s="362" t="str">
        <f>IF(cluster_wld_domain_chosen&lt;&gt;"MGMT Workload Domain",CONCATENATE(prefix_wld_az1_rack_vlan,"46"),CONCATENATE(prefix_mgmt_az1_vlan,"46"))</f>
        <v>1346</v>
      </c>
      <c r="D230" s="347"/>
      <c r="E230" s="32"/>
    </row>
    <row r="231" spans="2:5" ht="20.05" customHeight="1" x14ac:dyDescent="0.45">
      <c r="B231" s="4" t="s">
        <v>160</v>
      </c>
      <c r="C231" s="362">
        <v>9000</v>
      </c>
      <c r="D231" s="347"/>
      <c r="E231" s="32"/>
    </row>
    <row r="232" spans="2:5" ht="20.05" customHeight="1" x14ac:dyDescent="0.45">
      <c r="B232" s="4" t="s">
        <v>188</v>
      </c>
      <c r="C232" s="126" t="str">
        <f>IF(cluster_wld_domain_chosen&lt;&gt;"MGMT Workload Domain",CONCATENATE(prefix_wld_az1_rack_cidr,"46.0"),CONCATENATE(prefix_mgmt_az1_cidr,"46.0"))</f>
        <v>10.13.46.0</v>
      </c>
      <c r="D232" s="347"/>
      <c r="E232" s="56"/>
    </row>
    <row r="233" spans="2:5" ht="20.05" customHeight="1" x14ac:dyDescent="0.45">
      <c r="B233" s="4" t="s">
        <v>285</v>
      </c>
      <c r="C233" s="126" t="s">
        <v>128</v>
      </c>
      <c r="D233" s="347"/>
      <c r="E233" s="32"/>
    </row>
    <row r="234" spans="2:5" ht="20.05" customHeight="1" x14ac:dyDescent="0.45">
      <c r="B234" s="4" t="s">
        <v>187</v>
      </c>
      <c r="C234" s="362" t="str">
        <f>IF(cluster_wld_domain_chosen&lt;&gt;"MGMT Workload Domain",CONCATENATE(prefix_wld_az1_rack_cidr,"46.1"),CONCATENATE(prefix_mgmt_az1_cidr,"46.1"))</f>
        <v>10.13.46.1</v>
      </c>
      <c r="D234" s="347"/>
      <c r="E234" s="32" t="str">
        <f>IF(AND(mgmt_stretched_cluster_result="Included",mgmt_dpg_reuse_result="Excluded"),"Stretched L2","")</f>
        <v/>
      </c>
    </row>
    <row r="235" spans="2:5" ht="20.05" customHeight="1" x14ac:dyDescent="0.45">
      <c r="B235" s="17" t="s">
        <v>255</v>
      </c>
      <c r="C235" s="362" t="str">
        <f>IF(cluster_wld_domain_chosen&lt;&gt;"MGMT Workload Domain",CONCATENATE(prefix_wld_az1_rack_cidr,"46.101"),CONCATENATE(prefix_mgmt_az1_cidr,"46.101"))</f>
        <v>10.13.46.101</v>
      </c>
      <c r="D235" s="347"/>
      <c r="E235" s="100" t="s">
        <v>2932</v>
      </c>
    </row>
    <row r="236" spans="2:5" ht="20.05" customHeight="1" x14ac:dyDescent="0.45">
      <c r="B236" s="17" t="s">
        <v>256</v>
      </c>
      <c r="C236" s="362" t="str">
        <f>IF(cluster_wld_domain_chosen&lt;&gt;"MGMT Workload Domain",CONCATENATE(prefix_wld_az1_rack_cidr,"46.116"),CONCATENATE(prefix_mgmt_az1_cidr,"46.116"))</f>
        <v>10.13.46.116</v>
      </c>
      <c r="D236" s="347"/>
      <c r="E236" s="100" t="s">
        <v>2933</v>
      </c>
    </row>
    <row r="237" spans="2:5" ht="16" customHeight="1" x14ac:dyDescent="0.45">
      <c r="B237" s="8"/>
      <c r="C237" s="8"/>
      <c r="D237" s="8"/>
      <c r="E237" s="8"/>
    </row>
    <row r="238" spans="2:5" ht="34" customHeight="1" x14ac:dyDescent="0.45">
      <c r="B238" s="509" t="s">
        <v>2951</v>
      </c>
      <c r="C238" s="510"/>
      <c r="D238" s="510"/>
      <c r="E238" s="511"/>
    </row>
    <row r="239" spans="2:5" ht="20.05" customHeight="1" x14ac:dyDescent="0.45">
      <c r="B239" s="43" t="s">
        <v>261</v>
      </c>
      <c r="C239" s="43" t="s">
        <v>262</v>
      </c>
      <c r="D239" s="130" t="s">
        <v>19</v>
      </c>
      <c r="E239" s="43" t="s">
        <v>263</v>
      </c>
    </row>
    <row r="240" spans="2:5" ht="20.05" customHeight="1" x14ac:dyDescent="0.45">
      <c r="B240" s="17" t="s">
        <v>215</v>
      </c>
      <c r="C240" s="126" t="str">
        <f>IF(cluster_wld_domain_chosen&lt;&gt;"MGMT Workload Domain",CONCATENATE(this_instance,"01-w0",wld_domain_number_chosen,"-r04-esx01",".",sample_child_dns_zone),CONCATENATE(this_instance,"01-m01-r04-esx01",".",sample_child_dns_zone))</f>
        <v>sfo01-w01-r04-esx01.sfo.rainpole.io</v>
      </c>
      <c r="D240" s="347"/>
      <c r="E240" s="32"/>
    </row>
    <row r="241" spans="2:5" ht="20.05" customHeight="1" x14ac:dyDescent="0.45">
      <c r="B241" s="17" t="s">
        <v>217</v>
      </c>
      <c r="C241" s="126" t="str">
        <f>IF(cluster_wld_domain_chosen&lt;&gt;"MGMT Workload Domain",CONCATENATE(this_instance,"01-w0",wld_domain_number_chosen,"-r04-esx02",".",sample_child_dns_zone),CONCATENATE(this_instance,"01-m01-r04-esx02",".",sample_child_dns_zone))</f>
        <v>sfo01-w01-r04-esx02.sfo.rainpole.io</v>
      </c>
      <c r="D241" s="347"/>
      <c r="E241" s="32"/>
    </row>
    <row r="242" spans="2:5" ht="20.05" customHeight="1" x14ac:dyDescent="0.45">
      <c r="B242" s="17" t="s">
        <v>219</v>
      </c>
      <c r="C242" s="126" t="str">
        <f>IF(cluster_wld_domain_chosen&lt;&gt;"MGMT Workload Domain",CONCATENATE(this_instance,"01-w0",wld_domain_number_chosen,"-r04-esx03",".",sample_child_dns_zone),CONCATENATE(this_instance,"01-m01-r04-esx03",".",sample_child_dns_zone))</f>
        <v>sfo01-w01-r04-esx03.sfo.rainpole.io</v>
      </c>
      <c r="D242" s="347"/>
      <c r="E242" s="32"/>
    </row>
    <row r="243" spans="2:5" ht="20.05" customHeight="1" x14ac:dyDescent="0.45">
      <c r="B243" s="17" t="s">
        <v>221</v>
      </c>
      <c r="C243" s="126" t="str">
        <f>IF(cluster_wld_domain_chosen&lt;&gt;"MGMT Workload Domain",CONCATENATE(this_instance,"01-w0",wld_domain_number_chosen,"-r04-esx04",".",sample_child_dns_zone),CONCATENATE(this_instance,"01-m01-r04-esx04",".",sample_child_dns_zone))</f>
        <v>sfo01-w01-r04-esx04.sfo.rainpole.io</v>
      </c>
      <c r="D243" s="347"/>
      <c r="E243" s="32"/>
    </row>
    <row r="244" spans="2:5" ht="20.05" customHeight="1" x14ac:dyDescent="0.45">
      <c r="B244" s="17" t="s">
        <v>223</v>
      </c>
      <c r="C244" s="126" t="str">
        <f>IF(cluster_wld_domain_chosen&lt;&gt;"MGMT Workload Domain",CONCATENATE(this_instance,"01-w0",wld_domain_number_chosen,"-r04-esx05",".",sample_child_dns_zone),CONCATENATE(this_instance,"01-m01-r04-esx05",".",sample_child_dns_zone))</f>
        <v>sfo01-w01-r04-esx05.sfo.rainpole.io</v>
      </c>
      <c r="D244" s="347"/>
      <c r="E244" s="32"/>
    </row>
    <row r="245" spans="2:5" ht="20.05" customHeight="1" x14ac:dyDescent="0.45">
      <c r="B245" s="17" t="s">
        <v>225</v>
      </c>
      <c r="C245" s="126" t="str">
        <f>IF(cluster_wld_domain_chosen&lt;&gt;"MGMT Workload Domain",CONCATENATE(this_instance,"01-w0",wld_domain_number_chosen,"-r04-esx06",".",sample_child_dns_zone),CONCATENATE(this_instance,"01-m01-r04-esx06",".",sample_child_dns_zone))</f>
        <v>sfo01-w01-r04-esx06.sfo.rainpole.io</v>
      </c>
      <c r="D245" s="347"/>
      <c r="E245" s="32"/>
    </row>
    <row r="246" spans="2:5" ht="20.05" customHeight="1" x14ac:dyDescent="0.45">
      <c r="B246" s="17" t="s">
        <v>227</v>
      </c>
      <c r="C246" s="126" t="str">
        <f>IF(cluster_wld_domain_chosen&lt;&gt;"MGMT Workload Domain",CONCATENATE(this_instance,"01-w0",wld_domain_number_chosen,"-r04-esx07",".",sample_child_dns_zone),CONCATENATE(this_instance,"01-m01-r04-esx07",".",sample_child_dns_zone))</f>
        <v>sfo01-w01-r04-esx07.sfo.rainpole.io</v>
      </c>
      <c r="D246" s="347"/>
      <c r="E246" s="32"/>
    </row>
    <row r="247" spans="2:5" ht="20.05" customHeight="1" x14ac:dyDescent="0.45">
      <c r="B247" s="17" t="s">
        <v>229</v>
      </c>
      <c r="C247" s="126" t="str">
        <f>IF(cluster_wld_domain_chosen&lt;&gt;"MGMT Workload Domain",CONCATENATE(this_instance,"01-w0",wld_domain_number_chosen,"-r04-esx08",".",sample_child_dns_zone),CONCATENATE(this_instance,"01-m01-r04-esx08",".",sample_child_dns_zone))</f>
        <v>sfo01-w01-r04-esx08.sfo.rainpole.io</v>
      </c>
      <c r="D247" s="347"/>
      <c r="E247" s="32"/>
    </row>
    <row r="248" spans="2:5" ht="20.05" customHeight="1" x14ac:dyDescent="0.45">
      <c r="B248" s="17" t="s">
        <v>231</v>
      </c>
      <c r="C248" s="126" t="str">
        <f>IF(cluster_wld_domain_chosen&lt;&gt;"MGMT Workload Domain",CONCATENATE(this_instance,"01-w0",wld_domain_number_chosen,"-r04-esx09",".",sample_child_dns_zone),CONCATENATE(this_instance,"01-m01-r04-esx09",".",sample_child_dns_zone))</f>
        <v>sfo01-w01-r04-esx09.sfo.rainpole.io</v>
      </c>
      <c r="D248" s="347"/>
      <c r="E248" s="32"/>
    </row>
    <row r="249" spans="2:5" ht="20.05" customHeight="1" x14ac:dyDescent="0.45">
      <c r="B249" s="17" t="s">
        <v>233</v>
      </c>
      <c r="C249" s="126" t="str">
        <f>IF(cluster_wld_domain_chosen&lt;&gt;"MGMT Workload Domain",CONCATENATE(this_instance,"01-w0",wld_domain_number_chosen,"-r04-esx10",".",sample_child_dns_zone),CONCATENATE(this_instance,"01-m01-r04-esx10",".",sample_child_dns_zone))</f>
        <v>sfo01-w01-r04-esx10.sfo.rainpole.io</v>
      </c>
      <c r="D249" s="347"/>
      <c r="E249" s="32"/>
    </row>
    <row r="250" spans="2:5" ht="20.05" customHeight="1" x14ac:dyDescent="0.45">
      <c r="B250" s="17" t="s">
        <v>235</v>
      </c>
      <c r="C250" s="126" t="str">
        <f>IF(cluster_wld_domain_chosen&lt;&gt;"MGMT Workload Domain",CONCATENATE(this_instance,"01-w0",wld_domain_number_chosen,"-r04-esx11",".",sample_child_dns_zone),CONCATENATE(this_instance,"01-m01-r04-esx11",".",sample_child_dns_zone))</f>
        <v>sfo01-w01-r04-esx11.sfo.rainpole.io</v>
      </c>
      <c r="D250" s="347"/>
      <c r="E250" s="32"/>
    </row>
    <row r="251" spans="2:5" ht="20.05" customHeight="1" x14ac:dyDescent="0.45">
      <c r="B251" s="17" t="s">
        <v>237</v>
      </c>
      <c r="C251" s="126" t="str">
        <f>IF(cluster_wld_domain_chosen&lt;&gt;"MGMT Workload Domain",CONCATENATE(this_instance,"01-w0",wld_domain_number_chosen,"-r04-esx12",".",sample_child_dns_zone),CONCATENATE(this_instance,"01-m01-r04-esx12",".",sample_child_dns_zone))</f>
        <v>sfo01-w01-r04-esx12.sfo.rainpole.io</v>
      </c>
      <c r="D251" s="347"/>
      <c r="E251" s="32"/>
    </row>
    <row r="252" spans="2:5" ht="20.05" customHeight="1" x14ac:dyDescent="0.45">
      <c r="B252" s="17" t="s">
        <v>239</v>
      </c>
      <c r="C252" s="126" t="str">
        <f>IF(cluster_wld_domain_chosen&lt;&gt;"MGMT Workload Domain",CONCATENATE(this_instance,"01-w0",wld_domain_number_chosen,"-r04-esx13",".",sample_child_dns_zone),CONCATENATE(this_instance,"01-m01-r04-esx13",".",sample_child_dns_zone))</f>
        <v>sfo01-w01-r04-esx13.sfo.rainpole.io</v>
      </c>
      <c r="D252" s="347"/>
      <c r="E252" s="32"/>
    </row>
    <row r="253" spans="2:5" ht="20.05" customHeight="1" x14ac:dyDescent="0.45">
      <c r="B253" s="17" t="s">
        <v>241</v>
      </c>
      <c r="C253" s="126" t="str">
        <f>IF(cluster_wld_domain_chosen&lt;&gt;"MGMT Workload Domain",CONCATENATE(this_instance,"01-w0",wld_domain_number_chosen,"-r04-esx14",".",sample_child_dns_zone),CONCATENATE(this_instance,"01-m01-r04-esx14",".",sample_child_dns_zone))</f>
        <v>sfo01-w01-r04-esx14.sfo.rainpole.io</v>
      </c>
      <c r="D253" s="347"/>
      <c r="E253" s="32"/>
    </row>
    <row r="254" spans="2:5" ht="20.05" customHeight="1" x14ac:dyDescent="0.45">
      <c r="B254" s="17" t="s">
        <v>243</v>
      </c>
      <c r="C254" s="126" t="str">
        <f>IF(cluster_wld_domain_chosen&lt;&gt;"MGMT Workload Domain",CONCATENATE(this_instance,"01-w0",wld_domain_number_chosen,"-r04-esx14",".",sample_child_dns_zone),CONCATENATE(this_instance,"01-m01-r04-esx15",".",sample_child_dns_zone))</f>
        <v>sfo01-w01-r04-esx14.sfo.rainpole.io</v>
      </c>
      <c r="D254" s="347"/>
      <c r="E254" s="32"/>
    </row>
    <row r="255" spans="2:5" ht="20.05" customHeight="1" x14ac:dyDescent="0.45">
      <c r="B255" s="17" t="s">
        <v>245</v>
      </c>
      <c r="C255" s="126" t="str">
        <f>IF(cluster_wld_domain_chosen&lt;&gt;"MGMT Workload Domain",CONCATENATE(this_instance,"01-w0",wld_domain_number_chosen,"-r04-esx16",".",sample_child_dns_zone),CONCATENATE(this_instance,"01-m01-r04-esx16",".",sample_child_dns_zone))</f>
        <v>sfo01-w01-r04-esx16.sfo.rainpole.io</v>
      </c>
      <c r="D255" s="347"/>
      <c r="E255" s="32"/>
    </row>
    <row r="256" spans="2:5" ht="20.05" customHeight="1" x14ac:dyDescent="0.45">
      <c r="B256" s="17" t="s">
        <v>264</v>
      </c>
      <c r="C256" s="126" t="s">
        <v>762</v>
      </c>
      <c r="D256" s="337" t="s">
        <v>265</v>
      </c>
      <c r="E256" s="32"/>
    </row>
    <row r="257" spans="2:5" ht="20.05" customHeight="1" x14ac:dyDescent="0.45">
      <c r="B257" s="17" t="s">
        <v>266</v>
      </c>
      <c r="C257" s="126" t="s">
        <v>267</v>
      </c>
      <c r="D257"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257" s="4"/>
    </row>
    <row r="258" spans="2:5" ht="20.05" customHeight="1" x14ac:dyDescent="0.45">
      <c r="B258" s="17" t="s">
        <v>268</v>
      </c>
      <c r="C258" s="126" t="s">
        <v>159</v>
      </c>
      <c r="D258" s="337" t="str">
        <f>IF(AND(vcf_granular_option_chosen="Create Cluster",cluster_principal_storage_chosen="vSAN-ESA"),"Selected",
IF(AND(vcf_granular_option_chosen="Create VI Workload Domain",wld_principal_storage_chosen="vSAN-ESA"),"Selected","Unselected"))</f>
        <v>Unselected</v>
      </c>
      <c r="E258" s="32"/>
    </row>
    <row r="259" spans="2:5" ht="20.05" customHeight="1" x14ac:dyDescent="0.45">
      <c r="B259" s="17" t="s">
        <v>250</v>
      </c>
      <c r="C259" s="126" t="str">
        <f>sample_wld_az1_rack4_pool_name</f>
        <v>sfo01-w01-r04-network-pool-01</v>
      </c>
      <c r="D259" s="337" t="str">
        <f>wld_az1_rack4_pool_name</f>
        <v>Value Missing</v>
      </c>
      <c r="E259" s="32"/>
    </row>
    <row r="260" spans="2:5" ht="20.05" customHeight="1" x14ac:dyDescent="0.45">
      <c r="B260" s="17" t="s">
        <v>46</v>
      </c>
      <c r="C260" s="126" t="s">
        <v>269</v>
      </c>
      <c r="D260"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260" s="32"/>
    </row>
    <row r="261" spans="2:5" ht="20.05" customHeight="1" x14ac:dyDescent="0.45">
      <c r="B261" s="17" t="s">
        <v>29</v>
      </c>
      <c r="C261" s="126" t="s">
        <v>30</v>
      </c>
      <c r="D261"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261" s="32"/>
    </row>
    <row r="262" spans="2:5" ht="16" customHeight="1" x14ac:dyDescent="0.45"/>
    <row r="263" spans="2:5" ht="34" customHeight="1" x14ac:dyDescent="0.45">
      <c r="B263" s="509" t="s">
        <v>2952</v>
      </c>
      <c r="C263" s="510"/>
      <c r="D263" s="510"/>
      <c r="E263" s="511"/>
    </row>
    <row r="264" spans="2:5" ht="20.05" customHeight="1" x14ac:dyDescent="0.45">
      <c r="B264" s="4" t="s">
        <v>337</v>
      </c>
      <c r="C264" s="89" t="str">
        <f>IF(vcf_granular_option_chosen="Create Cluster",CONCATENATE(this_instance,"01-",sample_cluster_name,"-r04-network-profile"),
IF(cluster_wld_domain_chosen="VI Workload Domain",CONCATENATE(this_instance,"01-",sample_wld_cl01_cluster,"-r04-network-profile"),
CONCATENATE(this_instance,"01-",sample_mgmt_cl01_cluster,"-r04-network-profile")))</f>
        <v>sfo01-sfo-w01-cl01-r04-network-profile</v>
      </c>
      <c r="D264" s="347"/>
      <c r="E264" s="80"/>
    </row>
    <row r="265" spans="2:5" ht="20.05" customHeight="1" x14ac:dyDescent="0.45">
      <c r="B265" s="4" t="s">
        <v>2936</v>
      </c>
      <c r="C265" s="362" t="s">
        <v>339</v>
      </c>
      <c r="D265" s="127" t="s">
        <v>339</v>
      </c>
      <c r="E265" s="4" t="str">
        <f>IF(wld_az1_rack4_host_overlay_new_pool_chosen="Re-use an existing Pool","An exisitng Pool will be reused for Host TEP assignment","A new Pool will be created for Host TEP assignment")</f>
        <v>A new Pool will be created for Host TEP assignment</v>
      </c>
    </row>
    <row r="266" spans="2:5" ht="20.05" customHeight="1" x14ac:dyDescent="0.45">
      <c r="B266" s="4" t="s">
        <v>340</v>
      </c>
      <c r="C266" s="89" t="str">
        <f>IF(cluster_wld_domain_chosen="VI Workload Domain",CONCATENATE(this_instance,"01-w0",wld_domain_number_chosen,"-r04-ip-pool01-host"),CONCATENATE(this_instance,"01-m01","-r04-ip-pool01-host"))</f>
        <v>sfo01-w01-r04-ip-pool01-host</v>
      </c>
      <c r="D266" s="347"/>
      <c r="E266" s="80"/>
    </row>
    <row r="267" spans="2:5" ht="20.05" customHeight="1" x14ac:dyDescent="0.45">
      <c r="B267" s="4" t="s">
        <v>341</v>
      </c>
      <c r="C267" s="89" t="str">
        <f>IF(cluster_wld_domain_chosen="VI Workload Domain",CONCATENATE(this_instance,"01-w0",wld_domain_number_chosen,"-r04-uplink-profile01"),CONCATENATE(this_instance,"01-m01","-r04-uplink-profile01"))</f>
        <v>sfo01-w01-r04-uplink-profile01</v>
      </c>
      <c r="D267" s="347"/>
      <c r="E267" s="80"/>
    </row>
    <row r="268" spans="2:5" ht="20.05" customHeight="1" x14ac:dyDescent="0.45">
      <c r="B268" s="4" t="s">
        <v>2937</v>
      </c>
      <c r="C268" s="89" t="str">
        <f>IF(cluster_wld_domain_chosen="VI Workload Domain",CONCATENATE(this_instance,"01-w0",wld_domain_number_chosen,"-r04-ip-pool02-edge"),CONCATENATE(this_instance,"01-m01","-r04-ip-pool02-edge"))</f>
        <v>sfo01-w01-r04-ip-pool02-edge</v>
      </c>
      <c r="D268" s="347"/>
      <c r="E268" s="80"/>
    </row>
    <row r="269" spans="2:5" ht="20.05" customHeight="1" x14ac:dyDescent="0.45">
      <c r="B269" s="4" t="s">
        <v>2938</v>
      </c>
      <c r="C269" s="89" t="str">
        <f>IF(cluster_wld_domain_chosen="VI Workload Domain",CONCATENATE(this_instance,"01-w0",wld_domain_number_chosen,"-r02-ip-pool04-rtep"),CONCATENATE(this_instance,"01-m01","-r04-ip-pool03-rtep"))</f>
        <v>sfo01-w01-r02-ip-pool04-rtep</v>
      </c>
      <c r="D269" s="347"/>
      <c r="E269" s="80"/>
    </row>
    <row r="270" spans="2:5" ht="20.05" customHeight="1" x14ac:dyDescent="0.45">
      <c r="B270" s="496" t="s">
        <v>834</v>
      </c>
      <c r="C270" s="497"/>
      <c r="D270" s="497"/>
      <c r="E270" s="498"/>
    </row>
    <row r="271" spans="2:5" ht="20.05" customHeight="1" x14ac:dyDescent="0.45">
      <c r="B271" s="207" t="s">
        <v>261</v>
      </c>
      <c r="C271" s="207" t="s">
        <v>262</v>
      </c>
      <c r="D271" s="239" t="s">
        <v>19</v>
      </c>
      <c r="E271" s="207" t="s">
        <v>20</v>
      </c>
    </row>
    <row r="272" spans="2:5" ht="20.05" customHeight="1" x14ac:dyDescent="0.45">
      <c r="B272" s="4" t="s">
        <v>1448</v>
      </c>
      <c r="C272" s="80" t="str">
        <f>IF(cluster_wld_domain_chosen&lt;&gt;"MGMT Workload Domain",CONCATENATE(this_instance,"-w0",wld_domain_number_chosen,"-r04","-vsan-fault-domain"),CONCATENATE(this_instance,"-m01","-r04","-vsan-fault-domain"))</f>
        <v>sfo-w01-r04-vsan-fault-domain</v>
      </c>
      <c r="D272" s="347"/>
      <c r="E272" s="337"/>
    </row>
    <row r="273" spans="2:5" ht="16" customHeight="1" x14ac:dyDescent="0.45"/>
    <row r="274" spans="2:5" ht="34" customHeight="1" x14ac:dyDescent="0.45">
      <c r="B274" s="509" t="s">
        <v>2953</v>
      </c>
      <c r="C274" s="510"/>
      <c r="D274" s="510"/>
      <c r="E274" s="511"/>
    </row>
    <row r="275" spans="2:5" ht="20.05" customHeight="1" x14ac:dyDescent="0.45">
      <c r="B275" s="43" t="s">
        <v>261</v>
      </c>
      <c r="C275" s="43" t="s">
        <v>262</v>
      </c>
      <c r="D275" s="130" t="s">
        <v>19</v>
      </c>
      <c r="E275" s="43" t="s">
        <v>20</v>
      </c>
    </row>
    <row r="276" spans="2:5" ht="20.05" customHeight="1" x14ac:dyDescent="0.45">
      <c r="B276" s="496" t="s">
        <v>938</v>
      </c>
      <c r="C276" s="497"/>
      <c r="D276" s="497"/>
      <c r="E276" s="498"/>
    </row>
    <row r="277" spans="2:5" ht="20.05" customHeight="1" x14ac:dyDescent="0.45">
      <c r="B277" s="4" t="s">
        <v>85</v>
      </c>
      <c r="C277" s="362" t="str">
        <f>IF(cluster_wld_domain_chosen&lt;&gt;"MGMT Workload Domain",CONCATENATE(prefix_wld_az1_rack_vlan,"47"),CONCATENATE(prefix_mgmt_az1_vlan,"47"))</f>
        <v>1347</v>
      </c>
      <c r="D277" s="347"/>
      <c r="E277" s="93"/>
    </row>
    <row r="278" spans="2:5" ht="20.05" customHeight="1" x14ac:dyDescent="0.45">
      <c r="B278" s="4" t="s">
        <v>160</v>
      </c>
      <c r="C278" s="362">
        <v>9000</v>
      </c>
      <c r="D278" s="347"/>
      <c r="E278" s="32"/>
    </row>
    <row r="279" spans="2:5" ht="20.05" customHeight="1" x14ac:dyDescent="0.45">
      <c r="B279" s="4" t="s">
        <v>188</v>
      </c>
      <c r="C279" s="362" t="str">
        <f>IF(cluster_wld_domain_chosen&lt;&gt;"MGMT Workload Domain",CONCATENATE(prefix_wld_az1_rack_cidr,"47.0"),CONCATENATE(prefix_mgmt_az1_cidr,"47.0"))</f>
        <v>10.13.47.0</v>
      </c>
      <c r="D279" s="347"/>
      <c r="E279" s="32"/>
    </row>
    <row r="280" spans="2:5" ht="20.05" customHeight="1" x14ac:dyDescent="0.45">
      <c r="B280" s="4" t="s">
        <v>285</v>
      </c>
      <c r="C280" s="126" t="s">
        <v>128</v>
      </c>
      <c r="D280" s="347"/>
      <c r="E280" s="32"/>
    </row>
    <row r="281" spans="2:5" ht="20.05" customHeight="1" x14ac:dyDescent="0.45">
      <c r="B281" s="4" t="s">
        <v>187</v>
      </c>
      <c r="C281" s="362" t="str">
        <f>IF(cluster_wld_domain_chosen&lt;&gt;"MGMT Workload Domain",CONCATENATE(prefix_wld_az1_rack_cidr,"47.1"),CONCATENATE(prefix_mgmt_az1_cidr,"47.1"))</f>
        <v>10.13.47.1</v>
      </c>
      <c r="D281" s="347"/>
      <c r="E281" s="32"/>
    </row>
    <row r="282" spans="2:5" ht="20.05" customHeight="1" x14ac:dyDescent="0.45">
      <c r="B282" s="17" t="s">
        <v>255</v>
      </c>
      <c r="C282" s="362" t="str">
        <f>IF(cluster_wld_domain_chosen&lt;&gt;"MGMT Workload Domain",CONCATENATE(prefix_wld_az1_rack_cidr,"47.101"),CONCATENATE(prefix_mgmt_az1_cidr,"47.101"))</f>
        <v>10.13.47.101</v>
      </c>
      <c r="D282" s="347"/>
      <c r="E282" s="100" t="s">
        <v>2940</v>
      </c>
    </row>
    <row r="283" spans="2:5" ht="20.05" customHeight="1" x14ac:dyDescent="0.45">
      <c r="B283" s="17" t="s">
        <v>256</v>
      </c>
      <c r="C283" s="362" t="str">
        <f>IF(cluster_wld_domain_chosen&lt;&gt;"MGMT Workload Domain",CONCATENATE(prefix_wld_az1_rack_cidr,"47.132"),CONCATENATE(prefix_mgmt_az1_cidr,"47.132"))</f>
        <v>10.13.47.132</v>
      </c>
      <c r="D283" s="347"/>
      <c r="E283" s="100" t="s">
        <v>2954</v>
      </c>
    </row>
    <row r="284" spans="2:5" ht="16" customHeight="1" x14ac:dyDescent="0.45"/>
    <row r="285" spans="2:5" ht="34" customHeight="1" x14ac:dyDescent="0.45">
      <c r="B285" s="509" t="s">
        <v>2955</v>
      </c>
      <c r="C285" s="510"/>
      <c r="D285" s="510"/>
      <c r="E285" s="511"/>
    </row>
    <row r="286" spans="2:5" ht="20.05" customHeight="1" x14ac:dyDescent="0.45">
      <c r="B286" s="43" t="s">
        <v>261</v>
      </c>
      <c r="C286" s="43" t="s">
        <v>262</v>
      </c>
      <c r="D286" s="130" t="s">
        <v>19</v>
      </c>
      <c r="E286" s="43" t="s">
        <v>263</v>
      </c>
    </row>
    <row r="287" spans="2:5" ht="20.05" customHeight="1" x14ac:dyDescent="0.45">
      <c r="B287" s="496" t="s">
        <v>213</v>
      </c>
      <c r="C287" s="497"/>
      <c r="D287" s="497"/>
      <c r="E287" s="498"/>
    </row>
    <row r="288" spans="2:5" ht="20.05" customHeight="1" x14ac:dyDescent="0.45">
      <c r="B288" s="4" t="s">
        <v>85</v>
      </c>
      <c r="C288" s="362" t="str">
        <f>IF(cluster_wld_domain_chosen&lt;&gt;"MGMT Workload Domain",CONCATENATE(prefix_wld_az1_rack_vlan,"55"),CONCATENATE(prefix_mgmt_az1_vlan,"55"))</f>
        <v>1355</v>
      </c>
      <c r="D288" s="347"/>
      <c r="E288" s="93"/>
    </row>
    <row r="289" spans="2:5" ht="20.05" customHeight="1" x14ac:dyDescent="0.45">
      <c r="B289" s="4" t="s">
        <v>187</v>
      </c>
      <c r="C289" s="362" t="str">
        <f>IF(cluster_wld_domain_chosen&lt;&gt;"MGMT Workload Domain",CONCATENATE(prefix_wld_az1_rack_cidr,"55.1"),CONCATENATE(prefix_mgmt_az1_cidr,"55.1"))</f>
        <v>10.13.55.1</v>
      </c>
      <c r="D289" s="347"/>
      <c r="E289" s="32"/>
    </row>
    <row r="290" spans="2:5" ht="20.05" customHeight="1" x14ac:dyDescent="0.45">
      <c r="B290" s="4" t="s">
        <v>188</v>
      </c>
      <c r="C290" s="362" t="str">
        <f>IF(cluster_wld_domain_chosen&lt;&gt;"MGMT Workload Domain",CONCATENATE(prefix_wld_az1_rack_cidr,"55.0/24"),CONCATENATE(prefix_mgmt_az1_cidr,"55.0/24"))</f>
        <v>10.13.55.0/24</v>
      </c>
      <c r="D290" s="347"/>
      <c r="E290" s="32"/>
    </row>
    <row r="291" spans="2:5" ht="20.05" customHeight="1" x14ac:dyDescent="0.45">
      <c r="B291" s="4" t="s">
        <v>160</v>
      </c>
      <c r="C291" s="362">
        <v>1500</v>
      </c>
      <c r="D291" s="347"/>
      <c r="E291" s="32"/>
    </row>
    <row r="292" spans="2:5" ht="20.05" customHeight="1" x14ac:dyDescent="0.45">
      <c r="B292" s="512" t="s">
        <v>214</v>
      </c>
      <c r="C292" s="513"/>
      <c r="D292" s="513"/>
      <c r="E292" s="514"/>
    </row>
    <row r="293" spans="2:5" ht="20.05" customHeight="1" x14ac:dyDescent="0.45">
      <c r="B293" s="17" t="s">
        <v>215</v>
      </c>
      <c r="C293" s="126" t="str">
        <f>IF(cluster_wld_domain_chosen&lt;&gt;"MGMT Workload Domain",CONCATENATE(prefix_wld_az1_rack_cidr,"55.101"),CONCATENATE(prefix_mgmt_az1_cidr,"55.101"))</f>
        <v>10.13.55.101</v>
      </c>
      <c r="D293" s="347"/>
      <c r="E293" s="100" t="s">
        <v>216</v>
      </c>
    </row>
    <row r="294" spans="2:5" ht="20.05" customHeight="1" x14ac:dyDescent="0.45">
      <c r="B294" s="17" t="s">
        <v>217</v>
      </c>
      <c r="C294" s="126" t="str">
        <f>IF(cluster_wld_domain_chosen&lt;&gt;"MGMT Workload Domain",CONCATENATE(prefix_wld_az1_rack_cidr,"55.102"),CONCATENATE(prefix_mgmt_az1_cidr,"55.102"))</f>
        <v>10.13.55.102</v>
      </c>
      <c r="D294" s="347"/>
      <c r="E294" s="100" t="s">
        <v>218</v>
      </c>
    </row>
    <row r="295" spans="2:5" ht="20.05" customHeight="1" x14ac:dyDescent="0.45">
      <c r="B295" s="17" t="s">
        <v>219</v>
      </c>
      <c r="C295" s="126" t="str">
        <f>IF(cluster_wld_domain_chosen&lt;&gt;"MGMT Workload Domain",CONCATENATE(prefix_wld_az1_rack_cidr,"55.103"),CONCATENATE(prefix_mgmt_az1_cidr,"55.103"))</f>
        <v>10.13.55.103</v>
      </c>
      <c r="D295" s="347"/>
      <c r="E295" s="100" t="s">
        <v>220</v>
      </c>
    </row>
    <row r="296" spans="2:5" ht="20.05" customHeight="1" x14ac:dyDescent="0.45">
      <c r="B296" s="17" t="s">
        <v>221</v>
      </c>
      <c r="C296" s="126" t="str">
        <f>IF(cluster_wld_domain_chosen&lt;&gt;"MGMT Workload Domain",CONCATENATE(prefix_wld_az1_rack_cidr,"55.104"),CONCATENATE(prefix_mgmt_az1_cidr,"55.104"))</f>
        <v>10.13.55.104</v>
      </c>
      <c r="D296" s="347"/>
      <c r="E296" s="100" t="s">
        <v>222</v>
      </c>
    </row>
    <row r="297" spans="2:5" ht="20.05" customHeight="1" x14ac:dyDescent="0.45">
      <c r="B297" s="17" t="s">
        <v>223</v>
      </c>
      <c r="C297" s="126" t="str">
        <f>IF(cluster_wld_domain_chosen&lt;&gt;"MGMT Workload Domain",CONCATENATE(prefix_wld_az1_rack_cidr,"55.105"),CONCATENATE(prefix_mgmt_az1_cidr,"55.105"))</f>
        <v>10.13.55.105</v>
      </c>
      <c r="D297" s="347"/>
      <c r="E297" s="100" t="s">
        <v>224</v>
      </c>
    </row>
    <row r="298" spans="2:5" ht="20.05" customHeight="1" x14ac:dyDescent="0.45">
      <c r="B298" s="17" t="s">
        <v>225</v>
      </c>
      <c r="C298" s="126" t="str">
        <f>IF(cluster_wld_domain_chosen&lt;&gt;"MGMT Workload Domain",CONCATENATE(prefix_wld_az1_rack_cidr,"55.106"),CONCATENATE(prefix_mgmt_az1_cidr,"55.106"))</f>
        <v>10.13.55.106</v>
      </c>
      <c r="D298" s="347"/>
      <c r="E298" s="100" t="s">
        <v>226</v>
      </c>
    </row>
    <row r="299" spans="2:5" ht="20.05" customHeight="1" x14ac:dyDescent="0.45">
      <c r="B299" s="17" t="s">
        <v>227</v>
      </c>
      <c r="C299" s="126" t="str">
        <f>IF(cluster_wld_domain_chosen&lt;&gt;"MGMT Workload Domain",CONCATENATE(prefix_wld_az1_rack_cidr,"55.107"),CONCATENATE(prefix_mgmt_az1_cidr,"55.107"))</f>
        <v>10.13.55.107</v>
      </c>
      <c r="D299" s="347"/>
      <c r="E299" s="100" t="s">
        <v>228</v>
      </c>
    </row>
    <row r="300" spans="2:5" ht="20.05" customHeight="1" x14ac:dyDescent="0.45">
      <c r="B300" s="17" t="s">
        <v>229</v>
      </c>
      <c r="C300" s="126" t="str">
        <f>IF(cluster_wld_domain_chosen&lt;&gt;"MGMT Workload Domain",CONCATENATE(prefix_wld_az1_rack_cidr,"55.108"),CONCATENATE(prefix_mgmt_az1_cidr,"55.108"))</f>
        <v>10.13.55.108</v>
      </c>
      <c r="D300" s="347"/>
      <c r="E300" s="100" t="s">
        <v>230</v>
      </c>
    </row>
    <row r="301" spans="2:5" ht="20.05" customHeight="1" x14ac:dyDescent="0.45">
      <c r="B301" s="17" t="s">
        <v>231</v>
      </c>
      <c r="C301" s="126" t="str">
        <f>IF(cluster_wld_domain_chosen&lt;&gt;"MGMT Workload Domain",CONCATENATE(prefix_wld_az1_rack_cidr,"55.109"),CONCATENATE(prefix_mgmt_az1_cidr,"55.109"))</f>
        <v>10.13.55.109</v>
      </c>
      <c r="D301" s="347"/>
      <c r="E301" s="100" t="s">
        <v>232</v>
      </c>
    </row>
    <row r="302" spans="2:5" ht="20.05" customHeight="1" x14ac:dyDescent="0.45">
      <c r="B302" s="17" t="s">
        <v>233</v>
      </c>
      <c r="C302" s="126" t="str">
        <f>IF(cluster_wld_domain_chosen&lt;&gt;"MGMT Workload Domain",CONCATENATE(prefix_wld_az1_rack_cidr,"55.110"),CONCATENATE(prefix_mgmt_az1_cidr,"55.110"))</f>
        <v>10.13.55.110</v>
      </c>
      <c r="D302" s="347"/>
      <c r="E302" s="100" t="s">
        <v>234</v>
      </c>
    </row>
    <row r="303" spans="2:5" ht="20.05" customHeight="1" x14ac:dyDescent="0.45">
      <c r="B303" s="17" t="s">
        <v>235</v>
      </c>
      <c r="C303" s="126" t="str">
        <f>IF(cluster_wld_domain_chosen&lt;&gt;"MGMT Workload Domain",CONCATENATE(prefix_wld_az1_rack_cidr,"55.111"),CONCATENATE(prefix_mgmt_az1_cidr,"55.111"))</f>
        <v>10.13.55.111</v>
      </c>
      <c r="D303" s="347"/>
      <c r="E303" s="100" t="s">
        <v>236</v>
      </c>
    </row>
    <row r="304" spans="2:5" ht="20.05" customHeight="1" x14ac:dyDescent="0.45">
      <c r="B304" s="17" t="s">
        <v>237</v>
      </c>
      <c r="C304" s="126" t="str">
        <f>IF(cluster_wld_domain_chosen&lt;&gt;"MGMT Workload Domain",CONCATENATE(prefix_wld_az1_rack_cidr,"55.112"),CONCATENATE(prefix_mgmt_az1_cidr,"55.112"))</f>
        <v>10.13.55.112</v>
      </c>
      <c r="D304" s="347"/>
      <c r="E304" s="100" t="s">
        <v>238</v>
      </c>
    </row>
    <row r="305" spans="2:5" ht="20.05" customHeight="1" x14ac:dyDescent="0.45">
      <c r="B305" s="17" t="s">
        <v>239</v>
      </c>
      <c r="C305" s="126" t="str">
        <f>IF(cluster_wld_domain_chosen&lt;&gt;"MGMT Workload Domain",CONCATENATE(prefix_wld_az1_rack_cidr,"55.113"),CONCATENATE(prefix_mgmt_az1_cidr,"55.113"))</f>
        <v>10.13.55.113</v>
      </c>
      <c r="D305" s="347"/>
      <c r="E305" s="100" t="s">
        <v>240</v>
      </c>
    </row>
    <row r="306" spans="2:5" ht="20.05" customHeight="1" x14ac:dyDescent="0.45">
      <c r="B306" s="17" t="s">
        <v>241</v>
      </c>
      <c r="C306" s="126" t="str">
        <f>IF(cluster_wld_domain_chosen&lt;&gt;"MGMT Workload Domain",CONCATENATE(prefix_wld_az1_rack_cidr,"55.114"),CONCATENATE(prefix_mgmt_az1_cidr,"55.114"))</f>
        <v>10.13.55.114</v>
      </c>
      <c r="D306" s="347"/>
      <c r="E306" s="100" t="s">
        <v>242</v>
      </c>
    </row>
    <row r="307" spans="2:5" ht="20.05" customHeight="1" x14ac:dyDescent="0.45">
      <c r="B307" s="17" t="s">
        <v>243</v>
      </c>
      <c r="C307" s="126" t="str">
        <f>IF(cluster_wld_domain_chosen&lt;&gt;"MGMT Workload Domain",CONCATENATE(prefix_wld_az1_rack_cidr,"55.115"),CONCATENATE(prefix_mgmt_az1_cidr,"55.115"))</f>
        <v>10.13.55.115</v>
      </c>
      <c r="D307" s="347"/>
      <c r="E307" s="100" t="s">
        <v>244</v>
      </c>
    </row>
    <row r="308" spans="2:5" ht="20.05" customHeight="1" x14ac:dyDescent="0.45">
      <c r="B308" s="17" t="s">
        <v>245</v>
      </c>
      <c r="C308" s="126" t="str">
        <f>IF(cluster_wld_domain_chosen&lt;&gt;"MGMT Workload Domain",CONCATENATE(prefix_wld_az1_rack_cidr,"55.116"),CONCATENATE(prefix_mgmt_az1_cidr,"55.116"))</f>
        <v>10.13.55.116</v>
      </c>
      <c r="D308" s="347"/>
      <c r="E308" s="100" t="s">
        <v>246</v>
      </c>
    </row>
    <row r="309" spans="2:5" ht="16" customHeight="1" x14ac:dyDescent="0.45">
      <c r="B309" s="8"/>
      <c r="C309" s="8"/>
      <c r="D309" s="8"/>
      <c r="E309" s="8"/>
    </row>
    <row r="310" spans="2:5" ht="34" customHeight="1" x14ac:dyDescent="0.45">
      <c r="B310" s="509" t="s">
        <v>2956</v>
      </c>
      <c r="C310" s="510"/>
      <c r="D310" s="510"/>
      <c r="E310" s="511"/>
    </row>
    <row r="311" spans="2:5" ht="20.05" customHeight="1" x14ac:dyDescent="0.45">
      <c r="B311" s="43" t="s">
        <v>261</v>
      </c>
      <c r="C311" s="43" t="s">
        <v>262</v>
      </c>
      <c r="D311" s="130" t="s">
        <v>19</v>
      </c>
      <c r="E311" s="43" t="s">
        <v>263</v>
      </c>
    </row>
    <row r="312" spans="2:5" ht="20.05" customHeight="1" x14ac:dyDescent="0.45">
      <c r="B312" s="4" t="s">
        <v>2929</v>
      </c>
      <c r="C312" s="362" t="s">
        <v>249</v>
      </c>
      <c r="D312" s="127" t="s">
        <v>249</v>
      </c>
      <c r="E312" s="4" t="str">
        <f>IF(wld_az1_rack5_reuse_vcf_networkpool_chosen="Re-use an existing  VCF Network Pool","An exisiting VCF Network Pool will be reused for Host TEP assignment","A new VCF Network Pool will be created")</f>
        <v>A new VCF Network Pool will be created</v>
      </c>
    </row>
    <row r="313" spans="2:5" ht="20.05" customHeight="1" x14ac:dyDescent="0.45">
      <c r="B313" s="17" t="s">
        <v>250</v>
      </c>
      <c r="C313" s="89" t="str">
        <f>IF(cluster_wld_domain_chosen="VI Workload Domain",CONCATENATE(this_instance,"01-w0",wld_domain_number_chosen,"-r05-network-pool-01"),CONCATENATE(this_instance,"01-m01","-r05-network-pool-01"))</f>
        <v>sfo01-w01-r05-network-pool-01</v>
      </c>
      <c r="D313" s="347"/>
      <c r="E313" s="32"/>
    </row>
    <row r="314" spans="2:5" ht="20.05" customHeight="1" x14ac:dyDescent="0.45">
      <c r="B314" s="496" t="s">
        <v>251</v>
      </c>
      <c r="C314" s="497"/>
      <c r="D314" s="497"/>
      <c r="E314" s="498"/>
    </row>
    <row r="315" spans="2:5" ht="20.05" customHeight="1" x14ac:dyDescent="0.45">
      <c r="B315" s="4" t="s">
        <v>85</v>
      </c>
      <c r="C315" s="362" t="str">
        <f>IF(cluster_wld_domain_chosen&lt;&gt;"MGMT Workload Domain",CONCATENATE(prefix_wld_az1_rack_vlan,"56"),CONCATENATE(prefix_mgmt_az1_vlan,"56"))</f>
        <v>1356</v>
      </c>
      <c r="D315" s="347"/>
      <c r="E315" s="93"/>
    </row>
    <row r="316" spans="2:5" ht="20.05" customHeight="1" x14ac:dyDescent="0.45">
      <c r="B316" s="4" t="s">
        <v>160</v>
      </c>
      <c r="C316" s="362">
        <v>9000</v>
      </c>
      <c r="D316" s="347"/>
      <c r="E316" s="32"/>
    </row>
    <row r="317" spans="2:5" ht="20.05" customHeight="1" x14ac:dyDescent="0.45">
      <c r="B317" s="4" t="s">
        <v>188</v>
      </c>
      <c r="C317" s="126" t="str">
        <f>IF(cluster_wld_domain_chosen&lt;&gt;"MGMT Workload Domain",CONCATENATE(prefix_wld_az1_rack_cidr,"56.0"),CONCATENATE(prefix_mgmt_az1_cidr,"56.0"))</f>
        <v>10.13.56.0</v>
      </c>
      <c r="D317" s="347"/>
      <c r="E317" s="32"/>
    </row>
    <row r="318" spans="2:5" ht="20.05" customHeight="1" x14ac:dyDescent="0.45">
      <c r="B318" s="4" t="s">
        <v>285</v>
      </c>
      <c r="C318" s="126" t="s">
        <v>128</v>
      </c>
      <c r="D318" s="347"/>
      <c r="E318" s="32"/>
    </row>
    <row r="319" spans="2:5" ht="20.05" customHeight="1" x14ac:dyDescent="0.45">
      <c r="B319" s="4" t="s">
        <v>187</v>
      </c>
      <c r="C319" s="362" t="str">
        <f>IF(cluster_wld_domain_chosen&lt;&gt;"MGMT Workload Domain",CONCATENATE(prefix_wld_az1_rack_cidr,"56.1"),CONCATENATE(prefix_mgmt_az1_cidr,"56.1"))</f>
        <v>10.13.56.1</v>
      </c>
      <c r="D319" s="347"/>
      <c r="E319" s="32"/>
    </row>
    <row r="320" spans="2:5" ht="20.05" customHeight="1" x14ac:dyDescent="0.45">
      <c r="B320" s="17" t="s">
        <v>255</v>
      </c>
      <c r="C320" s="362" t="str">
        <f>IF(cluster_wld_domain_chosen&lt;&gt;"MGMT Workload Domain",CONCATENATE(prefix_wld_az1_rack_cidr,"56.101"),CONCATENATE(prefix_mgmt_az1_cidr,"56.101"))</f>
        <v>10.13.56.101</v>
      </c>
      <c r="D320" s="347"/>
      <c r="E320" s="100" t="s">
        <v>2949</v>
      </c>
    </row>
    <row r="321" spans="2:5" ht="20.05" customHeight="1" x14ac:dyDescent="0.45">
      <c r="B321" s="17" t="s">
        <v>256</v>
      </c>
      <c r="C321" s="362" t="str">
        <f>IF(cluster_wld_domain_chosen&lt;&gt;"MGMT Workload Domain",CONCATENATE(prefix_wld_az1_rack_cidr,"56.116"),CONCATENATE(prefix_mgmt_az1_cidr,"56.116"))</f>
        <v>10.13.56.116</v>
      </c>
      <c r="D321" s="347"/>
      <c r="E321" s="100" t="s">
        <v>2950</v>
      </c>
    </row>
    <row r="322" spans="2:5" ht="20.05" customHeight="1" x14ac:dyDescent="0.45">
      <c r="B322" s="496" t="s">
        <v>257</v>
      </c>
      <c r="C322" s="497"/>
      <c r="D322" s="497"/>
      <c r="E322" s="498"/>
    </row>
    <row r="323" spans="2:5" ht="20.05" customHeight="1" x14ac:dyDescent="0.45">
      <c r="B323" s="4" t="s">
        <v>85</v>
      </c>
      <c r="C323" s="362" t="str">
        <f>IF(cluster_wld_domain_chosen&lt;&gt;"MGMT Workload Domain",CONCATENATE(prefix_wld_az1_rack_vlan,"57"),CONCATENATE(prefix_mgmt_az1_vlan,"57"))</f>
        <v>1357</v>
      </c>
      <c r="D323" s="347"/>
      <c r="E323" s="32"/>
    </row>
    <row r="324" spans="2:5" ht="20.05" customHeight="1" x14ac:dyDescent="0.45">
      <c r="B324" s="4" t="s">
        <v>160</v>
      </c>
      <c r="C324" s="362">
        <v>9000</v>
      </c>
      <c r="D324" s="347"/>
      <c r="E324" s="32"/>
    </row>
    <row r="325" spans="2:5" ht="20.05" customHeight="1" x14ac:dyDescent="0.45">
      <c r="B325" s="4" t="s">
        <v>188</v>
      </c>
      <c r="C325" s="126" t="str">
        <f>IF(cluster_wld_domain_chosen&lt;&gt;"MGMT Workload Domain",CONCATENATE(prefix_wld_az1_rack_cidr,"57.0"),CONCATENATE(prefix_mgmt_az1_cidr,"57.0"))</f>
        <v>10.13.57.0</v>
      </c>
      <c r="D325" s="347"/>
      <c r="E325" s="56"/>
    </row>
    <row r="326" spans="2:5" ht="20.05" customHeight="1" x14ac:dyDescent="0.45">
      <c r="B326" s="4" t="s">
        <v>285</v>
      </c>
      <c r="C326" s="126" t="s">
        <v>128</v>
      </c>
      <c r="D326" s="347"/>
      <c r="E326" s="32"/>
    </row>
    <row r="327" spans="2:5" ht="20.05" customHeight="1" x14ac:dyDescent="0.45">
      <c r="B327" s="4" t="s">
        <v>187</v>
      </c>
      <c r="C327" s="362" t="str">
        <f>IF(cluster_wld_domain_chosen&lt;&gt;"MGMT Workload Domain",CONCATENATE(prefix_wld_az1_rack_cidr,"57.1"),CONCATENATE(prefix_mgmt_az1_cidr,"57.1"))</f>
        <v>10.13.57.1</v>
      </c>
      <c r="D327" s="347"/>
      <c r="E327" s="32" t="str">
        <f>IF(AND(mgmt_stretched_cluster_result="Included",mgmt_dpg_reuse_result="Excluded"),"Stretched L2","")</f>
        <v/>
      </c>
    </row>
    <row r="328" spans="2:5" ht="20.05" customHeight="1" x14ac:dyDescent="0.45">
      <c r="B328" s="17" t="s">
        <v>255</v>
      </c>
      <c r="C328" s="362" t="str">
        <f>IF(cluster_wld_domain_chosen&lt;&gt;"MGMT Workload Domain",CONCATENATE(prefix_wld_az1_rack_cidr,"57.101"),CONCATENATE(prefix_mgmt_az1_cidr,"57.101"))</f>
        <v>10.13.57.101</v>
      </c>
      <c r="D328" s="347"/>
      <c r="E328" s="100" t="s">
        <v>2932</v>
      </c>
    </row>
    <row r="329" spans="2:5" ht="20.05" customHeight="1" x14ac:dyDescent="0.45">
      <c r="B329" s="17" t="s">
        <v>256</v>
      </c>
      <c r="C329" s="362" t="str">
        <f>IF(cluster_wld_domain_chosen&lt;&gt;"MGMT Workload Domain",CONCATENATE(prefix_wld_az1_rack_cidr,"57.116"),CONCATENATE(prefix_mgmt_az1_cidr,"57.116"))</f>
        <v>10.13.57.116</v>
      </c>
      <c r="D329" s="347"/>
      <c r="E329" s="100" t="s">
        <v>2933</v>
      </c>
    </row>
    <row r="330" spans="2:5" ht="16" customHeight="1" x14ac:dyDescent="0.45">
      <c r="B330" s="8"/>
      <c r="C330" s="8"/>
      <c r="D330" s="8"/>
      <c r="E330" s="8"/>
    </row>
    <row r="331" spans="2:5" ht="34" customHeight="1" x14ac:dyDescent="0.45">
      <c r="B331" s="509" t="s">
        <v>2957</v>
      </c>
      <c r="C331" s="510"/>
      <c r="D331" s="510"/>
      <c r="E331" s="511"/>
    </row>
    <row r="332" spans="2:5" ht="20.05" customHeight="1" x14ac:dyDescent="0.45">
      <c r="B332" s="43" t="s">
        <v>261</v>
      </c>
      <c r="C332" s="43" t="s">
        <v>262</v>
      </c>
      <c r="D332" s="130" t="s">
        <v>19</v>
      </c>
      <c r="E332" s="43" t="s">
        <v>263</v>
      </c>
    </row>
    <row r="333" spans="2:5" ht="20.05" customHeight="1" x14ac:dyDescent="0.45">
      <c r="B333" s="17" t="s">
        <v>215</v>
      </c>
      <c r="C333" s="126" t="str">
        <f>IF(cluster_wld_domain_chosen&lt;&gt;"MGMT Workload Domain",CONCATENATE(this_instance,"01-w0",wld_domain_number_chosen,"-r05-esx01",".",sample_child_dns_zone),CONCATENATE(this_instance,"01-m01-r05-esx01",".",sample_child_dns_zone))</f>
        <v>sfo01-w01-r05-esx01.sfo.rainpole.io</v>
      </c>
      <c r="D333" s="347"/>
      <c r="E333" s="32"/>
    </row>
    <row r="334" spans="2:5" ht="20.05" customHeight="1" x14ac:dyDescent="0.45">
      <c r="B334" s="17" t="s">
        <v>217</v>
      </c>
      <c r="C334" s="126" t="str">
        <f>IF(cluster_wld_domain_chosen&lt;&gt;"MGMT Workload Domain",CONCATENATE(this_instance,"01-w0",wld_domain_number_chosen,"-r05-esx02",".",sample_child_dns_zone),CONCATENATE(this_instance,"01-m01-r05-esx02",".",sample_child_dns_zone))</f>
        <v>sfo01-w01-r05-esx02.sfo.rainpole.io</v>
      </c>
      <c r="D334" s="347"/>
      <c r="E334" s="32"/>
    </row>
    <row r="335" spans="2:5" ht="20.05" customHeight="1" x14ac:dyDescent="0.45">
      <c r="B335" s="17" t="s">
        <v>219</v>
      </c>
      <c r="C335" s="126" t="str">
        <f>IF(cluster_wld_domain_chosen&lt;&gt;"MGMT Workload Domain",CONCATENATE(this_instance,"01-w0",wld_domain_number_chosen,"-r05-esx03",".",sample_child_dns_zone),CONCATENATE(this_instance,"01-m01-r05-esx03",".",sample_child_dns_zone))</f>
        <v>sfo01-w01-r05-esx03.sfo.rainpole.io</v>
      </c>
      <c r="D335" s="347"/>
      <c r="E335" s="32"/>
    </row>
    <row r="336" spans="2:5" ht="20.05" customHeight="1" x14ac:dyDescent="0.45">
      <c r="B336" s="17" t="s">
        <v>221</v>
      </c>
      <c r="C336" s="126" t="str">
        <f>IF(cluster_wld_domain_chosen&lt;&gt;"MGMT Workload Domain",CONCATENATE(this_instance,"01-w0",wld_domain_number_chosen,"-r05-esx04",".",sample_child_dns_zone),CONCATENATE(this_instance,"01-m01-r05-esx04",".",sample_child_dns_zone))</f>
        <v>sfo01-w01-r05-esx04.sfo.rainpole.io</v>
      </c>
      <c r="D336" s="347"/>
      <c r="E336" s="32"/>
    </row>
    <row r="337" spans="2:5" ht="20.05" customHeight="1" x14ac:dyDescent="0.45">
      <c r="B337" s="17" t="s">
        <v>223</v>
      </c>
      <c r="C337" s="126" t="str">
        <f>IF(cluster_wld_domain_chosen&lt;&gt;"MGMT Workload Domain",CONCATENATE(this_instance,"01-w0",wld_domain_number_chosen,"-r05-esx05",".",sample_child_dns_zone),CONCATENATE(this_instance,"01-m01-r05-esx05",".",sample_child_dns_zone))</f>
        <v>sfo01-w01-r05-esx05.sfo.rainpole.io</v>
      </c>
      <c r="D337" s="347"/>
      <c r="E337" s="32"/>
    </row>
    <row r="338" spans="2:5" ht="20.05" customHeight="1" x14ac:dyDescent="0.45">
      <c r="B338" s="17" t="s">
        <v>225</v>
      </c>
      <c r="C338" s="126" t="str">
        <f>IF(cluster_wld_domain_chosen&lt;&gt;"MGMT Workload Domain",CONCATENATE(this_instance,"01-w0",wld_domain_number_chosen,"-r05-esx06",".",sample_child_dns_zone),CONCATENATE(this_instance,"01-m01-r05-esx06",".",sample_child_dns_zone))</f>
        <v>sfo01-w01-r05-esx06.sfo.rainpole.io</v>
      </c>
      <c r="D338" s="347"/>
      <c r="E338" s="32"/>
    </row>
    <row r="339" spans="2:5" ht="20.05" customHeight="1" x14ac:dyDescent="0.45">
      <c r="B339" s="17" t="s">
        <v>227</v>
      </c>
      <c r="C339" s="126" t="str">
        <f>IF(cluster_wld_domain_chosen&lt;&gt;"MGMT Workload Domain",CONCATENATE(this_instance,"01-w0",wld_domain_number_chosen,"-r05-esx07",".",sample_child_dns_zone),CONCATENATE(this_instance,"01-m01-r05-esx07",".",sample_child_dns_zone))</f>
        <v>sfo01-w01-r05-esx07.sfo.rainpole.io</v>
      </c>
      <c r="D339" s="347"/>
      <c r="E339" s="32"/>
    </row>
    <row r="340" spans="2:5" ht="20.05" customHeight="1" x14ac:dyDescent="0.45">
      <c r="B340" s="17" t="s">
        <v>229</v>
      </c>
      <c r="C340" s="126" t="str">
        <f>IF(cluster_wld_domain_chosen&lt;&gt;"MGMT Workload Domain",CONCATENATE(this_instance,"01-w0",wld_domain_number_chosen,"-r05-esx08",".",sample_child_dns_zone),CONCATENATE(this_instance,"01-m01-r05-esx08",".",sample_child_dns_zone))</f>
        <v>sfo01-w01-r05-esx08.sfo.rainpole.io</v>
      </c>
      <c r="D340" s="347"/>
      <c r="E340" s="32"/>
    </row>
    <row r="341" spans="2:5" ht="20.05" customHeight="1" x14ac:dyDescent="0.45">
      <c r="B341" s="17" t="s">
        <v>231</v>
      </c>
      <c r="C341" s="126" t="str">
        <f>IF(cluster_wld_domain_chosen&lt;&gt;"MGMT Workload Domain",CONCATENATE(this_instance,"01-w0",wld_domain_number_chosen,"-r05-esx09",".",sample_child_dns_zone),CONCATENATE(this_instance,"01-m01-r05-esx09",".",sample_child_dns_zone))</f>
        <v>sfo01-w01-r05-esx09.sfo.rainpole.io</v>
      </c>
      <c r="D341" s="347"/>
      <c r="E341" s="32"/>
    </row>
    <row r="342" spans="2:5" ht="20.05" customHeight="1" x14ac:dyDescent="0.45">
      <c r="B342" s="17" t="s">
        <v>233</v>
      </c>
      <c r="C342" s="126" t="str">
        <f>IF(cluster_wld_domain_chosen&lt;&gt;"MGMT Workload Domain",CONCATENATE(this_instance,"01-w0",wld_domain_number_chosen,"-r05-esx10",".",sample_child_dns_zone),CONCATENATE(this_instance,"01-m01-r05-esx10",".",sample_child_dns_zone))</f>
        <v>sfo01-w01-r05-esx10.sfo.rainpole.io</v>
      </c>
      <c r="D342" s="347"/>
      <c r="E342" s="32"/>
    </row>
    <row r="343" spans="2:5" ht="20.05" customHeight="1" x14ac:dyDescent="0.45">
      <c r="B343" s="17" t="s">
        <v>235</v>
      </c>
      <c r="C343" s="126" t="str">
        <f>IF(cluster_wld_domain_chosen&lt;&gt;"MGMT Workload Domain",CONCATENATE(this_instance,"01-w0",wld_domain_number_chosen,"-r05-esx11",".",sample_child_dns_zone),CONCATENATE(this_instance,"01-m01-r05-esx11",".",sample_child_dns_zone))</f>
        <v>sfo01-w01-r05-esx11.sfo.rainpole.io</v>
      </c>
      <c r="D343" s="347"/>
      <c r="E343" s="32"/>
    </row>
    <row r="344" spans="2:5" ht="20.05" customHeight="1" x14ac:dyDescent="0.45">
      <c r="B344" s="17" t="s">
        <v>237</v>
      </c>
      <c r="C344" s="126" t="str">
        <f>IF(cluster_wld_domain_chosen&lt;&gt;"MGMT Workload Domain",CONCATENATE(this_instance,"01-w0",wld_domain_number_chosen,"-r05-esx12",".",sample_child_dns_zone),CONCATENATE(this_instance,"01-m01-r05-esx12",".",sample_child_dns_zone))</f>
        <v>sfo01-w01-r05-esx12.sfo.rainpole.io</v>
      </c>
      <c r="D344" s="347"/>
      <c r="E344" s="32"/>
    </row>
    <row r="345" spans="2:5" ht="20.05" customHeight="1" x14ac:dyDescent="0.45">
      <c r="B345" s="17" t="s">
        <v>239</v>
      </c>
      <c r="C345" s="126" t="str">
        <f>IF(cluster_wld_domain_chosen&lt;&gt;"MGMT Workload Domain",CONCATENATE(this_instance,"01-w0",wld_domain_number_chosen,"-r05-esx13",".",sample_child_dns_zone),CONCATENATE(this_instance,"01-m01-r05-esx13",".",sample_child_dns_zone))</f>
        <v>sfo01-w01-r05-esx13.sfo.rainpole.io</v>
      </c>
      <c r="D345" s="347"/>
      <c r="E345" s="32"/>
    </row>
    <row r="346" spans="2:5" ht="20.05" customHeight="1" x14ac:dyDescent="0.45">
      <c r="B346" s="17" t="s">
        <v>241</v>
      </c>
      <c r="C346" s="126" t="str">
        <f>IF(cluster_wld_domain_chosen&lt;&gt;"MGMT Workload Domain",CONCATENATE(this_instance,"01-w0",wld_domain_number_chosen,"-r05-esx14",".",sample_child_dns_zone),CONCATENATE(this_instance,"01-m01-r05-esx14",".",sample_child_dns_zone))</f>
        <v>sfo01-w01-r05-esx14.sfo.rainpole.io</v>
      </c>
      <c r="D346" s="347"/>
      <c r="E346" s="32"/>
    </row>
    <row r="347" spans="2:5" ht="20.05" customHeight="1" x14ac:dyDescent="0.45">
      <c r="B347" s="17" t="s">
        <v>243</v>
      </c>
      <c r="C347" s="126" t="str">
        <f>IF(cluster_wld_domain_chosen&lt;&gt;"MGMT Workload Domain",CONCATENATE(this_instance,"01-w0",wld_domain_number_chosen,"-r05-esx14",".",sample_child_dns_zone),CONCATENATE(this_instance,"01-m01-r05-esx15",".",sample_child_dns_zone))</f>
        <v>sfo01-w01-r05-esx14.sfo.rainpole.io</v>
      </c>
      <c r="D347" s="347"/>
      <c r="E347" s="32"/>
    </row>
    <row r="348" spans="2:5" ht="20.05" customHeight="1" x14ac:dyDescent="0.45">
      <c r="B348" s="17" t="s">
        <v>245</v>
      </c>
      <c r="C348" s="126" t="str">
        <f>IF(cluster_wld_domain_chosen&lt;&gt;"MGMT Workload Domain",CONCATENATE(this_instance,"01-w0",wld_domain_number_chosen,"-r05-esx16",".",sample_child_dns_zone),CONCATENATE(this_instance,"01-m01-r05-esx16",".",sample_child_dns_zone))</f>
        <v>sfo01-w01-r05-esx16.sfo.rainpole.io</v>
      </c>
      <c r="D348" s="347"/>
      <c r="E348" s="32"/>
    </row>
    <row r="349" spans="2:5" ht="20.05" customHeight="1" x14ac:dyDescent="0.45">
      <c r="B349" s="17" t="s">
        <v>264</v>
      </c>
      <c r="C349" s="126" t="s">
        <v>762</v>
      </c>
      <c r="D349" s="337" t="s">
        <v>265</v>
      </c>
      <c r="E349" s="32"/>
    </row>
    <row r="350" spans="2:5" ht="20.05" customHeight="1" x14ac:dyDescent="0.45">
      <c r="B350" s="17" t="s">
        <v>266</v>
      </c>
      <c r="C350" s="126" t="s">
        <v>267</v>
      </c>
      <c r="D350"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350" s="4"/>
    </row>
    <row r="351" spans="2:5" ht="20.05" customHeight="1" x14ac:dyDescent="0.45">
      <c r="B351" s="17" t="s">
        <v>268</v>
      </c>
      <c r="C351" s="126" t="s">
        <v>159</v>
      </c>
      <c r="D351" s="337" t="str">
        <f>IF(AND(vcf_granular_option_chosen="Create Cluster",cluster_principal_storage_chosen="vSAN-ESA"),"Selected",
IF(AND(vcf_granular_option_chosen="Create VI Workload Domain",wld_principal_storage_chosen="vSAN-ESA"),"Selected","Unselected"))</f>
        <v>Unselected</v>
      </c>
      <c r="E351" s="32"/>
    </row>
    <row r="352" spans="2:5" ht="20.05" customHeight="1" x14ac:dyDescent="0.45">
      <c r="B352" s="17" t="s">
        <v>250</v>
      </c>
      <c r="C352" s="126" t="str">
        <f>sample_wld_az1_rack5_pool_name</f>
        <v>sfo01-w01-r05-network-pool-01</v>
      </c>
      <c r="D352" s="337" t="str">
        <f>wld_az1_rack5_pool_name</f>
        <v>Value Missing</v>
      </c>
      <c r="E352" s="32"/>
    </row>
    <row r="353" spans="2:5" ht="20.05" customHeight="1" x14ac:dyDescent="0.45">
      <c r="B353" s="17" t="s">
        <v>46</v>
      </c>
      <c r="C353" s="126" t="s">
        <v>269</v>
      </c>
      <c r="D353"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353" s="32"/>
    </row>
    <row r="354" spans="2:5" ht="20.05" customHeight="1" x14ac:dyDescent="0.45">
      <c r="B354" s="17" t="s">
        <v>29</v>
      </c>
      <c r="C354" s="126" t="s">
        <v>30</v>
      </c>
      <c r="D354"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354" s="32"/>
    </row>
    <row r="355" spans="2:5" ht="16" customHeight="1" x14ac:dyDescent="0.45"/>
    <row r="356" spans="2:5" ht="34" customHeight="1" x14ac:dyDescent="0.45">
      <c r="B356" s="509" t="s">
        <v>2958</v>
      </c>
      <c r="C356" s="510"/>
      <c r="D356" s="510"/>
      <c r="E356" s="511"/>
    </row>
    <row r="357" spans="2:5" ht="20.05" customHeight="1" x14ac:dyDescent="0.45">
      <c r="B357" s="4" t="s">
        <v>337</v>
      </c>
      <c r="C357" s="89" t="str">
        <f>IF(vcf_granular_option_chosen="Create Cluster",CONCATENATE(this_instance,"01-",sample_cluster_name,"-r05-network-profile"),
IF(cluster_wld_domain_chosen="VI Workload Domain",CONCATENATE(this_instance,"01-",sample_wld_cl01_cluster,"-r05-network-profile"),
CONCATENATE(this_instance,"01-",sample_mgmt_cl01_cluster,"-r05-network-profile")))</f>
        <v>sfo01-sfo-w01-cl01-r05-network-profile</v>
      </c>
      <c r="D357" s="347"/>
      <c r="E357" s="80"/>
    </row>
    <row r="358" spans="2:5" ht="20.05" customHeight="1" x14ac:dyDescent="0.45">
      <c r="B358" s="4" t="s">
        <v>2936</v>
      </c>
      <c r="C358" s="362" t="s">
        <v>339</v>
      </c>
      <c r="D358" s="127" t="s">
        <v>339</v>
      </c>
      <c r="E358" s="4" t="str">
        <f>IF(wld_az1_rack5_host_overlay_new_pool_chosen="Re-use an existing Pool","An exisitng Pool will be reused for Host TEP assignment","A new Pool will be created for Host TEP assignment")</f>
        <v>A new Pool will be created for Host TEP assignment</v>
      </c>
    </row>
    <row r="359" spans="2:5" ht="20.05" customHeight="1" x14ac:dyDescent="0.45">
      <c r="B359" s="4" t="s">
        <v>340</v>
      </c>
      <c r="C359" s="89" t="str">
        <f>IF(cluster_wld_domain_chosen="VI Workload Domain",CONCATENATE(this_instance,"01-w0",wld_domain_number_chosen,"-r05-ip-pool01-host"),CONCATENATE(this_instance,"01-m01","-r05-ip-pool01-host"))</f>
        <v>sfo01-w01-r05-ip-pool01-host</v>
      </c>
      <c r="D359" s="347"/>
      <c r="E359" s="80"/>
    </row>
    <row r="360" spans="2:5" ht="20.05" customHeight="1" x14ac:dyDescent="0.45">
      <c r="B360" s="4" t="s">
        <v>341</v>
      </c>
      <c r="C360" s="89" t="str">
        <f>IF(cluster_wld_domain_chosen="VI Workload Domain",CONCATENATE(this_instance,"01-w0",wld_domain_number_chosen,"-r05-uplink-profile01"),CONCATENATE(this_instance,"01-m01","-r05-uplink-profile01"))</f>
        <v>sfo01-w01-r05-uplink-profile01</v>
      </c>
      <c r="D360" s="347"/>
      <c r="E360" s="80"/>
    </row>
    <row r="361" spans="2:5" ht="20.05" customHeight="1" x14ac:dyDescent="0.45">
      <c r="B361" s="4" t="s">
        <v>2937</v>
      </c>
      <c r="C361" s="89" t="str">
        <f>IF(cluster_wld_domain_chosen="VI Workload Domain",CONCATENATE(this_instance,"01-w0",wld_domain_number_chosen,"-r05-ip-pool02-edge"),CONCATENATE(this_instance,"01-m01","-r05-ip-pool02-edge"))</f>
        <v>sfo01-w01-r05-ip-pool02-edge</v>
      </c>
      <c r="D361" s="347"/>
      <c r="E361" s="80"/>
    </row>
    <row r="362" spans="2:5" ht="20.05" customHeight="1" x14ac:dyDescent="0.45">
      <c r="B362" s="4" t="s">
        <v>2938</v>
      </c>
      <c r="C362" s="89" t="str">
        <f>IF(cluster_wld_domain_chosen="VI Workload Domain",CONCATENATE(this_instance,"01-w0",wld_domain_number_chosen,"-r05-ip-pool03-rtep"),CONCATENATE(this_instance,"01-m01","-r05-ip-pool03-rtep"))</f>
        <v>sfo01-w01-r05-ip-pool03-rtep</v>
      </c>
      <c r="D362" s="347"/>
      <c r="E362" s="80"/>
    </row>
    <row r="363" spans="2:5" ht="20.05" customHeight="1" x14ac:dyDescent="0.45">
      <c r="B363" s="496" t="s">
        <v>834</v>
      </c>
      <c r="C363" s="497"/>
      <c r="D363" s="497"/>
      <c r="E363" s="498"/>
    </row>
    <row r="364" spans="2:5" ht="20.05" customHeight="1" x14ac:dyDescent="0.45">
      <c r="B364" s="207" t="s">
        <v>261</v>
      </c>
      <c r="C364" s="207" t="s">
        <v>262</v>
      </c>
      <c r="D364" s="239" t="s">
        <v>19</v>
      </c>
      <c r="E364" s="207" t="s">
        <v>20</v>
      </c>
    </row>
    <row r="365" spans="2:5" ht="20.05" customHeight="1" x14ac:dyDescent="0.45">
      <c r="B365" s="4" t="s">
        <v>1448</v>
      </c>
      <c r="C365" s="80" t="str">
        <f>IF(cluster_wld_domain_chosen&lt;&gt;"MGMT Workload Domain",CONCATENATE(this_instance,"-w0",wld_domain_number_chosen,"-r05","-vsan-fault-domain"),CONCATENATE(this_instance,"-m01","-r05","-vsan-fault-domain"))</f>
        <v>sfo-w01-r05-vsan-fault-domain</v>
      </c>
      <c r="D365" s="347"/>
      <c r="E365" s="337"/>
    </row>
    <row r="366" spans="2:5" ht="16" customHeight="1" x14ac:dyDescent="0.45"/>
    <row r="367" spans="2:5" ht="34" customHeight="1" x14ac:dyDescent="0.45">
      <c r="B367" s="509" t="s">
        <v>2959</v>
      </c>
      <c r="C367" s="510"/>
      <c r="D367" s="510"/>
      <c r="E367" s="511"/>
    </row>
    <row r="368" spans="2:5" ht="20.05" customHeight="1" x14ac:dyDescent="0.45">
      <c r="B368" s="43" t="s">
        <v>261</v>
      </c>
      <c r="C368" s="43" t="s">
        <v>262</v>
      </c>
      <c r="D368" s="130" t="s">
        <v>19</v>
      </c>
      <c r="E368" s="43" t="s">
        <v>20</v>
      </c>
    </row>
    <row r="369" spans="2:5" ht="20.05" customHeight="1" x14ac:dyDescent="0.45">
      <c r="B369" s="496" t="s">
        <v>938</v>
      </c>
      <c r="C369" s="497"/>
      <c r="D369" s="497"/>
      <c r="E369" s="498"/>
    </row>
    <row r="370" spans="2:5" ht="20.05" customHeight="1" x14ac:dyDescent="0.45">
      <c r="B370" s="4" t="s">
        <v>85</v>
      </c>
      <c r="C370" s="362" t="str">
        <f>IF(cluster_wld_domain_chosen&lt;&gt;"MGMT Workload Domain",CONCATENATE(prefix_wld_az1_rack_vlan,"58"),CONCATENATE(prefix_mgmt_az1_vlan,"58"))</f>
        <v>1358</v>
      </c>
      <c r="D370" s="347"/>
      <c r="E370" s="93"/>
    </row>
    <row r="371" spans="2:5" ht="20.05" customHeight="1" x14ac:dyDescent="0.45">
      <c r="B371" s="4" t="s">
        <v>160</v>
      </c>
      <c r="C371" s="362">
        <v>9000</v>
      </c>
      <c r="D371" s="347"/>
      <c r="E371" s="32"/>
    </row>
    <row r="372" spans="2:5" ht="20.05" customHeight="1" x14ac:dyDescent="0.45">
      <c r="B372" s="4" t="s">
        <v>188</v>
      </c>
      <c r="C372" s="362" t="str">
        <f>IF(cluster_wld_domain_chosen&lt;&gt;"MGMT Workload Domain",CONCATENATE(prefix_wld_az1_rack_cidr,"58.0"),CONCATENATE(prefix_mgmt_az1_cidr,"58.0"))</f>
        <v>10.13.58.0</v>
      </c>
      <c r="D372" s="347"/>
      <c r="E372" s="32"/>
    </row>
    <row r="373" spans="2:5" ht="20.05" customHeight="1" x14ac:dyDescent="0.45">
      <c r="B373" s="4" t="s">
        <v>285</v>
      </c>
      <c r="C373" s="362" t="s">
        <v>128</v>
      </c>
      <c r="D373" s="347"/>
      <c r="E373" s="32"/>
    </row>
    <row r="374" spans="2:5" ht="20.05" customHeight="1" x14ac:dyDescent="0.45">
      <c r="B374" s="4" t="s">
        <v>187</v>
      </c>
      <c r="C374" s="362" t="str">
        <f>IF(cluster_wld_domain_chosen&lt;&gt;"MGMT Workload Domain",CONCATENATE(prefix_wld_az1_rack_cidr,"58.1"),CONCATENATE(prefix_mgmt_az1_cidr,"58.1"))</f>
        <v>10.13.58.1</v>
      </c>
      <c r="D374" s="347"/>
      <c r="E374" s="32"/>
    </row>
    <row r="375" spans="2:5" ht="20.05" customHeight="1" x14ac:dyDescent="0.45">
      <c r="B375" s="17" t="s">
        <v>255</v>
      </c>
      <c r="C375" s="362" t="str">
        <f>IF(cluster_wld_domain_chosen&lt;&gt;"MGMT Workload Domain",CONCATENATE(prefix_wld_az1_rack_cidr,"58.101"),CONCATENATE(prefix_mgmt_az1_cidr,"58.101"))</f>
        <v>10.13.58.101</v>
      </c>
      <c r="D375" s="347"/>
      <c r="E375" s="100" t="s">
        <v>2940</v>
      </c>
    </row>
    <row r="376" spans="2:5" ht="20.05" customHeight="1" x14ac:dyDescent="0.45">
      <c r="B376" s="17" t="s">
        <v>256</v>
      </c>
      <c r="C376" s="362" t="str">
        <f>IF(cluster_wld_domain_chosen&lt;&gt;"MGMT Workload Domain",CONCATENATE(prefix_wld_az1_rack_cidr,"58.116"),CONCATENATE(prefix_mgmt_az1_cidr,"58.116"))</f>
        <v>10.13.58.116</v>
      </c>
      <c r="D376" s="347"/>
      <c r="E376" s="100" t="s">
        <v>2941</v>
      </c>
    </row>
    <row r="377" spans="2:5" ht="16" customHeight="1" x14ac:dyDescent="0.45"/>
    <row r="378" spans="2:5" ht="34" customHeight="1" x14ac:dyDescent="0.45">
      <c r="B378" s="509" t="s">
        <v>2960</v>
      </c>
      <c r="C378" s="510"/>
      <c r="D378" s="510"/>
      <c r="E378" s="511"/>
    </row>
    <row r="379" spans="2:5" ht="20.05" customHeight="1" x14ac:dyDescent="0.45">
      <c r="B379" s="43" t="s">
        <v>261</v>
      </c>
      <c r="C379" s="43" t="s">
        <v>262</v>
      </c>
      <c r="D379" s="130" t="s">
        <v>19</v>
      </c>
      <c r="E379" s="43" t="s">
        <v>263</v>
      </c>
    </row>
    <row r="380" spans="2:5" ht="20.05" customHeight="1" x14ac:dyDescent="0.45">
      <c r="B380" s="496" t="s">
        <v>213</v>
      </c>
      <c r="C380" s="497"/>
      <c r="D380" s="497"/>
      <c r="E380" s="498"/>
    </row>
    <row r="381" spans="2:5" ht="20.05" customHeight="1" x14ac:dyDescent="0.45">
      <c r="B381" s="4" t="s">
        <v>85</v>
      </c>
      <c r="C381" s="362" t="str">
        <f>IF(cluster_wld_domain_chosen&lt;&gt;"MGMT Workload Domain",CONCATENATE(prefix_wld_az1_rack_vlan,"66"),CONCATENATE(prefix_mgmt_az1_vlan,"66"))</f>
        <v>1366</v>
      </c>
      <c r="D381" s="347"/>
      <c r="E381" s="93"/>
    </row>
    <row r="382" spans="2:5" ht="20.05" customHeight="1" x14ac:dyDescent="0.45">
      <c r="B382" s="4" t="s">
        <v>187</v>
      </c>
      <c r="C382" s="362" t="str">
        <f>IF(cluster_wld_domain_chosen&lt;&gt;"MGMT Workload Domain",CONCATENATE(prefix_wld_az1_rack_cidr,"66.1"),CONCATENATE(prefix_mgmt_az1_cidr,"66.1"))</f>
        <v>10.13.66.1</v>
      </c>
      <c r="D382" s="347"/>
      <c r="E382" s="32"/>
    </row>
    <row r="383" spans="2:5" ht="20.05" customHeight="1" x14ac:dyDescent="0.45">
      <c r="B383" s="4" t="s">
        <v>188</v>
      </c>
      <c r="C383" s="362" t="str">
        <f>IF(cluster_wld_domain_chosen&lt;&gt;"MGMT Workload Domain",CONCATENATE(prefix_wld_az1_rack_cidr,"66.0/24"),CONCATENATE(prefix_mgmt_az1_cidr,"66.0/24"))</f>
        <v>10.13.66.0/24</v>
      </c>
      <c r="D383" s="347"/>
      <c r="E383" s="32"/>
    </row>
    <row r="384" spans="2:5" ht="20.05" customHeight="1" x14ac:dyDescent="0.45">
      <c r="B384" s="4" t="s">
        <v>160</v>
      </c>
      <c r="C384" s="362">
        <v>1500</v>
      </c>
      <c r="D384" s="347"/>
      <c r="E384" s="32"/>
    </row>
    <row r="385" spans="2:5" ht="20.05" customHeight="1" x14ac:dyDescent="0.45">
      <c r="B385" s="512" t="s">
        <v>214</v>
      </c>
      <c r="C385" s="513"/>
      <c r="D385" s="513"/>
      <c r="E385" s="514"/>
    </row>
    <row r="386" spans="2:5" ht="20.05" customHeight="1" x14ac:dyDescent="0.45">
      <c r="B386" s="17" t="s">
        <v>215</v>
      </c>
      <c r="C386" s="126" t="str">
        <f>IF(cluster_wld_domain_chosen&lt;&gt;"MGMT Workload Domain",CONCATENATE(prefix_wld_az1_rack_cidr,"66.101"),CONCATENATE(prefix_mgmt_az1_cidr,"66.101"))</f>
        <v>10.13.66.101</v>
      </c>
      <c r="D386" s="347"/>
      <c r="E386" s="100" t="s">
        <v>216</v>
      </c>
    </row>
    <row r="387" spans="2:5" ht="20.05" customHeight="1" x14ac:dyDescent="0.45">
      <c r="B387" s="17" t="s">
        <v>217</v>
      </c>
      <c r="C387" s="126" t="str">
        <f>IF(cluster_wld_domain_chosen&lt;&gt;"MGMT Workload Domain",CONCATENATE(prefix_wld_az1_rack_cidr,"66.102"),CONCATENATE(prefix_mgmt_az1_cidr,"66.102"))</f>
        <v>10.13.66.102</v>
      </c>
      <c r="D387" s="347"/>
      <c r="E387" s="100" t="s">
        <v>218</v>
      </c>
    </row>
    <row r="388" spans="2:5" ht="20.05" customHeight="1" x14ac:dyDescent="0.45">
      <c r="B388" s="17" t="s">
        <v>219</v>
      </c>
      <c r="C388" s="126" t="str">
        <f>IF(cluster_wld_domain_chosen&lt;&gt;"MGMT Workload Domain",CONCATENATE(prefix_wld_az1_rack_cidr,"66.103"),CONCATENATE(prefix_mgmt_az1_cidr,"66.103"))</f>
        <v>10.13.66.103</v>
      </c>
      <c r="D388" s="347"/>
      <c r="E388" s="100" t="s">
        <v>220</v>
      </c>
    </row>
    <row r="389" spans="2:5" ht="20.05" customHeight="1" x14ac:dyDescent="0.45">
      <c r="B389" s="17" t="s">
        <v>221</v>
      </c>
      <c r="C389" s="126" t="str">
        <f>IF(cluster_wld_domain_chosen&lt;&gt;"MGMT Workload Domain",CONCATENATE(prefix_wld_az1_rack_cidr,"66.104"),CONCATENATE(prefix_mgmt_az1_cidr,"66.104"))</f>
        <v>10.13.66.104</v>
      </c>
      <c r="D389" s="347"/>
      <c r="E389" s="100" t="s">
        <v>222</v>
      </c>
    </row>
    <row r="390" spans="2:5" ht="20.05" customHeight="1" x14ac:dyDescent="0.45">
      <c r="B390" s="17" t="s">
        <v>223</v>
      </c>
      <c r="C390" s="126" t="str">
        <f>IF(cluster_wld_domain_chosen&lt;&gt;"MGMT Workload Domain",CONCATENATE(prefix_wld_az1_rack_cidr,"66.105"),CONCATENATE(prefix_mgmt_az1_cidr,"66.105"))</f>
        <v>10.13.66.105</v>
      </c>
      <c r="D390" s="347"/>
      <c r="E390" s="100" t="s">
        <v>224</v>
      </c>
    </row>
    <row r="391" spans="2:5" ht="20.05" customHeight="1" x14ac:dyDescent="0.45">
      <c r="B391" s="17" t="s">
        <v>225</v>
      </c>
      <c r="C391" s="126" t="str">
        <f>IF(cluster_wld_domain_chosen&lt;&gt;"MGMT Workload Domain",CONCATENATE(prefix_wld_az1_rack_cidr,"66.106"),CONCATENATE(prefix_mgmt_az1_cidr,"66.106"))</f>
        <v>10.13.66.106</v>
      </c>
      <c r="D391" s="347"/>
      <c r="E391" s="100" t="s">
        <v>226</v>
      </c>
    </row>
    <row r="392" spans="2:5" ht="20.05" customHeight="1" x14ac:dyDescent="0.45">
      <c r="B392" s="17" t="s">
        <v>227</v>
      </c>
      <c r="C392" s="126" t="str">
        <f>IF(cluster_wld_domain_chosen&lt;&gt;"MGMT Workload Domain",CONCATENATE(prefix_wld_az1_rack_cidr,"66.107"),CONCATENATE(prefix_mgmt_az1_cidr,"66.107"))</f>
        <v>10.13.66.107</v>
      </c>
      <c r="D392" s="347"/>
      <c r="E392" s="100" t="s">
        <v>228</v>
      </c>
    </row>
    <row r="393" spans="2:5" ht="20.05" customHeight="1" x14ac:dyDescent="0.45">
      <c r="B393" s="17" t="s">
        <v>229</v>
      </c>
      <c r="C393" s="126" t="str">
        <f>IF(cluster_wld_domain_chosen&lt;&gt;"MGMT Workload Domain",CONCATENATE(prefix_wld_az1_rack_cidr,"66.108"),CONCATENATE(prefix_mgmt_az1_cidr,"66.108"))</f>
        <v>10.13.66.108</v>
      </c>
      <c r="D393" s="347"/>
      <c r="E393" s="100" t="s">
        <v>230</v>
      </c>
    </row>
    <row r="394" spans="2:5" ht="20.05" customHeight="1" x14ac:dyDescent="0.45">
      <c r="B394" s="17" t="s">
        <v>231</v>
      </c>
      <c r="C394" s="126" t="str">
        <f>IF(cluster_wld_domain_chosen&lt;&gt;"MGMT Workload Domain",CONCATENATE(prefix_wld_az1_rack_cidr,"66.109"),CONCATENATE(prefix_mgmt_az1_cidr,"66.109"))</f>
        <v>10.13.66.109</v>
      </c>
      <c r="D394" s="347"/>
      <c r="E394" s="100" t="s">
        <v>232</v>
      </c>
    </row>
    <row r="395" spans="2:5" ht="20.05" customHeight="1" x14ac:dyDescent="0.45">
      <c r="B395" s="17" t="s">
        <v>233</v>
      </c>
      <c r="C395" s="126" t="str">
        <f>IF(cluster_wld_domain_chosen&lt;&gt;"MGMT Workload Domain",CONCATENATE(prefix_wld_az1_rack_cidr,"66.110"),CONCATENATE(prefix_mgmt_az1_cidr,"66.110"))</f>
        <v>10.13.66.110</v>
      </c>
      <c r="D395" s="347"/>
      <c r="E395" s="100" t="s">
        <v>234</v>
      </c>
    </row>
    <row r="396" spans="2:5" ht="20.05" customHeight="1" x14ac:dyDescent="0.45">
      <c r="B396" s="17" t="s">
        <v>235</v>
      </c>
      <c r="C396" s="126" t="str">
        <f>IF(cluster_wld_domain_chosen&lt;&gt;"MGMT Workload Domain",CONCATENATE(prefix_wld_az1_rack_cidr,"66.111"),CONCATENATE(prefix_mgmt_az1_cidr,"66.111"))</f>
        <v>10.13.66.111</v>
      </c>
      <c r="D396" s="347"/>
      <c r="E396" s="100" t="s">
        <v>236</v>
      </c>
    </row>
    <row r="397" spans="2:5" ht="20.05" customHeight="1" x14ac:dyDescent="0.45">
      <c r="B397" s="17" t="s">
        <v>237</v>
      </c>
      <c r="C397" s="126" t="str">
        <f>IF(cluster_wld_domain_chosen&lt;&gt;"MGMT Workload Domain",CONCATENATE(prefix_wld_az1_rack_cidr,"66.112"),CONCATENATE(prefix_mgmt_az1_cidr,"66.112"))</f>
        <v>10.13.66.112</v>
      </c>
      <c r="D397" s="347"/>
      <c r="E397" s="100" t="s">
        <v>238</v>
      </c>
    </row>
    <row r="398" spans="2:5" ht="20.05" customHeight="1" x14ac:dyDescent="0.45">
      <c r="B398" s="17" t="s">
        <v>239</v>
      </c>
      <c r="C398" s="126" t="str">
        <f>IF(cluster_wld_domain_chosen&lt;&gt;"MGMT Workload Domain",CONCATENATE(prefix_wld_az1_rack_cidr,"66.113"),CONCATENATE(prefix_mgmt_az1_cidr,"66.113"))</f>
        <v>10.13.66.113</v>
      </c>
      <c r="D398" s="347"/>
      <c r="E398" s="100" t="s">
        <v>240</v>
      </c>
    </row>
    <row r="399" spans="2:5" ht="20.05" customHeight="1" x14ac:dyDescent="0.45">
      <c r="B399" s="17" t="s">
        <v>241</v>
      </c>
      <c r="C399" s="126" t="str">
        <f>IF(cluster_wld_domain_chosen&lt;&gt;"MGMT Workload Domain",CONCATENATE(prefix_wld_az1_rack_cidr,"66.114"),CONCATENATE(prefix_mgmt_az1_cidr,"66.114"))</f>
        <v>10.13.66.114</v>
      </c>
      <c r="D399" s="347"/>
      <c r="E399" s="100" t="s">
        <v>242</v>
      </c>
    </row>
    <row r="400" spans="2:5" ht="20.05" customHeight="1" x14ac:dyDescent="0.45">
      <c r="B400" s="17" t="s">
        <v>243</v>
      </c>
      <c r="C400" s="126" t="str">
        <f>IF(cluster_wld_domain_chosen&lt;&gt;"MGMT Workload Domain",CONCATENATE(prefix_wld_az1_rack_cidr,"66.115"),CONCATENATE(prefix_mgmt_az1_cidr,"66.115"))</f>
        <v>10.13.66.115</v>
      </c>
      <c r="D400" s="347"/>
      <c r="E400" s="100" t="s">
        <v>244</v>
      </c>
    </row>
    <row r="401" spans="2:5" ht="20.05" customHeight="1" x14ac:dyDescent="0.45">
      <c r="B401" s="17" t="s">
        <v>245</v>
      </c>
      <c r="C401" s="126" t="str">
        <f>IF(cluster_wld_domain_chosen&lt;&gt;"MGMT Workload Domain",CONCATENATE(prefix_wld_az1_rack_cidr,"66.116"),CONCATENATE(prefix_mgmt_az1_cidr,"66.116"))</f>
        <v>10.13.66.116</v>
      </c>
      <c r="D401" s="347"/>
      <c r="E401" s="100" t="s">
        <v>246</v>
      </c>
    </row>
    <row r="402" spans="2:5" ht="16" customHeight="1" x14ac:dyDescent="0.45">
      <c r="B402" s="8"/>
      <c r="C402" s="8"/>
      <c r="D402" s="8"/>
      <c r="E402" s="8"/>
    </row>
    <row r="403" spans="2:5" ht="34" customHeight="1" x14ac:dyDescent="0.45">
      <c r="B403" s="509" t="s">
        <v>2961</v>
      </c>
      <c r="C403" s="510"/>
      <c r="D403" s="510"/>
      <c r="E403" s="511"/>
    </row>
    <row r="404" spans="2:5" ht="20.05" customHeight="1" x14ac:dyDescent="0.45">
      <c r="B404" s="43" t="s">
        <v>261</v>
      </c>
      <c r="C404" s="43" t="s">
        <v>262</v>
      </c>
      <c r="D404" s="130" t="s">
        <v>19</v>
      </c>
      <c r="E404" s="43" t="s">
        <v>263</v>
      </c>
    </row>
    <row r="405" spans="2:5" ht="20.05" customHeight="1" x14ac:dyDescent="0.45">
      <c r="B405" s="4" t="s">
        <v>2929</v>
      </c>
      <c r="C405" s="362" t="s">
        <v>249</v>
      </c>
      <c r="D405" s="127" t="s">
        <v>249</v>
      </c>
      <c r="E405" s="4" t="str">
        <f>IF(wld_az1_rack6_reuse_vcf_networkpool_chosen="Re-use an existing  VCF Network Pool","An exisiting VCF Network Pool will be reused for Host TEP assignment","A new VCF Network Pool will be created")</f>
        <v>A new VCF Network Pool will be created</v>
      </c>
    </row>
    <row r="406" spans="2:5" ht="20.05" customHeight="1" x14ac:dyDescent="0.45">
      <c r="B406" s="17" t="s">
        <v>250</v>
      </c>
      <c r="C406" s="89" t="str">
        <f>IF(cluster_wld_domain_chosen="VI Workload Domain",CONCATENATE(this_instance,"01-w0",wld_domain_number_chosen,"-r06-network-pool-01"),CONCATENATE(this_instance,"01-m01","-r06-network-pool-01"))</f>
        <v>sfo01-w01-r06-network-pool-01</v>
      </c>
      <c r="D406" s="347"/>
      <c r="E406" s="32"/>
    </row>
    <row r="407" spans="2:5" ht="20.05" customHeight="1" x14ac:dyDescent="0.45">
      <c r="B407" s="496" t="s">
        <v>251</v>
      </c>
      <c r="C407" s="497"/>
      <c r="D407" s="497"/>
      <c r="E407" s="498"/>
    </row>
    <row r="408" spans="2:5" ht="20.05" customHeight="1" x14ac:dyDescent="0.45">
      <c r="B408" s="4" t="s">
        <v>85</v>
      </c>
      <c r="C408" s="362" t="str">
        <f>IF(cluster_wld_domain_chosen&lt;&gt;"MGMT Workload Domain",CONCATENATE(prefix_wld_az1_rack_vlan,"67"),CONCATENATE(prefix_mgmt_az1_vlan,"67"))</f>
        <v>1367</v>
      </c>
      <c r="D408" s="347"/>
      <c r="E408" s="93"/>
    </row>
    <row r="409" spans="2:5" ht="20.05" customHeight="1" x14ac:dyDescent="0.45">
      <c r="B409" s="4" t="s">
        <v>160</v>
      </c>
      <c r="C409" s="362">
        <v>9000</v>
      </c>
      <c r="D409" s="347"/>
      <c r="E409" s="32"/>
    </row>
    <row r="410" spans="2:5" ht="20.05" customHeight="1" x14ac:dyDescent="0.45">
      <c r="B410" s="4" t="s">
        <v>188</v>
      </c>
      <c r="C410" s="126" t="str">
        <f>IF(cluster_wld_domain_chosen&lt;&gt;"MGMT Workload Domain",CONCATENATE(prefix_wld_az1_rack_cidr,"67.0"),CONCATENATE(prefix_mgmt_az1_cidr,"67.0"))</f>
        <v>10.13.67.0</v>
      </c>
      <c r="D410" s="347"/>
      <c r="E410" s="32"/>
    </row>
    <row r="411" spans="2:5" ht="20.05" customHeight="1" x14ac:dyDescent="0.45">
      <c r="B411" s="4" t="s">
        <v>285</v>
      </c>
      <c r="C411" s="126" t="s">
        <v>128</v>
      </c>
      <c r="D411" s="347"/>
      <c r="E411" s="32"/>
    </row>
    <row r="412" spans="2:5" ht="20.05" customHeight="1" x14ac:dyDescent="0.45">
      <c r="B412" s="4" t="s">
        <v>187</v>
      </c>
      <c r="C412" s="362" t="str">
        <f>IF(cluster_wld_domain_chosen&lt;&gt;"MGMT Workload Domain",CONCATENATE(prefix_wld_az1_rack_cidr,"67.1"),CONCATENATE(prefix_mgmt_az1_cidr,"67.1"))</f>
        <v>10.13.67.1</v>
      </c>
      <c r="D412" s="347"/>
      <c r="E412" s="32"/>
    </row>
    <row r="413" spans="2:5" ht="20.05" customHeight="1" x14ac:dyDescent="0.45">
      <c r="B413" s="17" t="s">
        <v>255</v>
      </c>
      <c r="C413" s="362" t="str">
        <f>IF(cluster_wld_domain_chosen&lt;&gt;"MGMT Workload Domain",CONCATENATE(prefix_wld_az1_rack_cidr,"67.101"),CONCATENATE(prefix_mgmt_az1_cidr,"67.101"))</f>
        <v>10.13.67.101</v>
      </c>
      <c r="D413" s="347"/>
      <c r="E413" s="100" t="s">
        <v>2930</v>
      </c>
    </row>
    <row r="414" spans="2:5" ht="20.05" customHeight="1" x14ac:dyDescent="0.45">
      <c r="B414" s="17" t="s">
        <v>256</v>
      </c>
      <c r="C414" s="362" t="str">
        <f>IF(cluster_wld_domain_chosen&lt;&gt;"MGMT Workload Domain",CONCATENATE(prefix_wld_az1_rack_cidr,"67.116"),CONCATENATE(prefix_mgmt_az1_cidr,"67.116"))</f>
        <v>10.13.67.116</v>
      </c>
      <c r="D414" s="347"/>
      <c r="E414" s="100" t="s">
        <v>2931</v>
      </c>
    </row>
    <row r="415" spans="2:5" ht="20.05" customHeight="1" x14ac:dyDescent="0.45">
      <c r="B415" s="496" t="s">
        <v>257</v>
      </c>
      <c r="C415" s="497"/>
      <c r="D415" s="497"/>
      <c r="E415" s="498"/>
    </row>
    <row r="416" spans="2:5" ht="20.05" customHeight="1" x14ac:dyDescent="0.45">
      <c r="B416" s="4" t="s">
        <v>85</v>
      </c>
      <c r="C416" s="362" t="str">
        <f>IF(cluster_wld_domain_chosen&lt;&gt;"MGMT Workload Domain",CONCATENATE(prefix_wld_az1_rack_vlan,"68"),CONCATENATE(prefix_mgmt_az1_vlan,"68"))</f>
        <v>1368</v>
      </c>
      <c r="D416" s="347"/>
      <c r="E416" s="32"/>
    </row>
    <row r="417" spans="2:5" ht="20.05" customHeight="1" x14ac:dyDescent="0.45">
      <c r="B417" s="4" t="s">
        <v>160</v>
      </c>
      <c r="C417" s="362">
        <v>9000</v>
      </c>
      <c r="D417" s="347"/>
      <c r="E417" s="32"/>
    </row>
    <row r="418" spans="2:5" ht="20.05" customHeight="1" x14ac:dyDescent="0.45">
      <c r="B418" s="4" t="s">
        <v>188</v>
      </c>
      <c r="C418" s="126" t="str">
        <f>IF(cluster_wld_domain_chosen&lt;&gt;"MGMT Workload Domain",CONCATENATE(prefix_wld_az1_rack_cidr,"68.0"),CONCATENATE(prefix_mgmt_az1_cidr,"68.0"))</f>
        <v>10.13.68.0</v>
      </c>
      <c r="D418" s="347"/>
      <c r="E418" s="56"/>
    </row>
    <row r="419" spans="2:5" ht="20.05" customHeight="1" x14ac:dyDescent="0.45">
      <c r="B419" s="4" t="s">
        <v>285</v>
      </c>
      <c r="C419" s="126" t="s">
        <v>128</v>
      </c>
      <c r="D419" s="347"/>
      <c r="E419" s="32"/>
    </row>
    <row r="420" spans="2:5" ht="20.05" customHeight="1" x14ac:dyDescent="0.45">
      <c r="B420" s="4" t="s">
        <v>187</v>
      </c>
      <c r="C420" s="362" t="str">
        <f>IF(cluster_wld_domain_chosen&lt;&gt;"MGMT Workload Domain",CONCATENATE(prefix_wld_az1_rack_cidr,"68.1"),CONCATENATE(prefix_mgmt_az1_cidr,"68.1"))</f>
        <v>10.13.68.1</v>
      </c>
      <c r="D420" s="347"/>
      <c r="E420" s="32" t="str">
        <f>IF(AND(mgmt_stretched_cluster_result="Included",mgmt_dpg_reuse_result="Excluded"),"Stretched L2","")</f>
        <v/>
      </c>
    </row>
    <row r="421" spans="2:5" ht="20.05" customHeight="1" x14ac:dyDescent="0.45">
      <c r="B421" s="17" t="s">
        <v>255</v>
      </c>
      <c r="C421" s="362" t="str">
        <f>IF(cluster_wld_domain_chosen&lt;&gt;"MGMT Workload Domain",CONCATENATE(prefix_wld_az1_rack_cidr,"68.101"),CONCATENATE(prefix_mgmt_az1_cidr,"68.101"))</f>
        <v>10.13.68.101</v>
      </c>
      <c r="D421" s="347"/>
      <c r="E421" s="100" t="s">
        <v>2932</v>
      </c>
    </row>
    <row r="422" spans="2:5" ht="20.05" customHeight="1" x14ac:dyDescent="0.45">
      <c r="B422" s="17" t="s">
        <v>256</v>
      </c>
      <c r="C422" s="362" t="str">
        <f>IF(cluster_wld_domain_chosen&lt;&gt;"MGMT Workload Domain",CONCATENATE(prefix_wld_az1_rack_cidr,"68.116"),CONCATENATE(prefix_mgmt_az1_cidr,"68.116"))</f>
        <v>10.13.68.116</v>
      </c>
      <c r="D422" s="347"/>
      <c r="E422" s="100" t="s">
        <v>2933</v>
      </c>
    </row>
    <row r="423" spans="2:5" ht="16" customHeight="1" x14ac:dyDescent="0.45">
      <c r="B423" s="8"/>
      <c r="C423" s="8"/>
      <c r="D423" s="8"/>
      <c r="E423" s="8"/>
    </row>
    <row r="424" spans="2:5" ht="34" customHeight="1" x14ac:dyDescent="0.45">
      <c r="B424" s="509" t="s">
        <v>2962</v>
      </c>
      <c r="C424" s="510"/>
      <c r="D424" s="510"/>
      <c r="E424" s="511"/>
    </row>
    <row r="425" spans="2:5" ht="20.05" customHeight="1" x14ac:dyDescent="0.45">
      <c r="B425" s="43" t="s">
        <v>261</v>
      </c>
      <c r="C425" s="43" t="s">
        <v>262</v>
      </c>
      <c r="D425" s="130" t="s">
        <v>19</v>
      </c>
      <c r="E425" s="43" t="s">
        <v>263</v>
      </c>
    </row>
    <row r="426" spans="2:5" ht="20.05" customHeight="1" x14ac:dyDescent="0.45">
      <c r="B426" s="17" t="s">
        <v>215</v>
      </c>
      <c r="C426" s="126" t="str">
        <f>IF(cluster_wld_domain_chosen&lt;&gt;"MGMT Workload Domain",CONCATENATE(this_instance,"01-w0",wld_domain_number_chosen,"-r06-esx01",".",sample_child_dns_zone),CONCATENATE(this_instance,"01-m01-r06-esx01",".",sample_child_dns_zone))</f>
        <v>sfo01-w01-r06-esx01.sfo.rainpole.io</v>
      </c>
      <c r="D426" s="347"/>
      <c r="E426" s="32"/>
    </row>
    <row r="427" spans="2:5" ht="20.05" customHeight="1" x14ac:dyDescent="0.45">
      <c r="B427" s="17" t="s">
        <v>217</v>
      </c>
      <c r="C427" s="126" t="str">
        <f>IF(cluster_wld_domain_chosen&lt;&gt;"MGMT Workload Domain",CONCATENATE(this_instance,"01-w0",wld_domain_number_chosen,"-r06-esx02",".",sample_child_dns_zone),CONCATENATE(this_instance,"01-m01-r06-esx02",".",sample_child_dns_zone))</f>
        <v>sfo01-w01-r06-esx02.sfo.rainpole.io</v>
      </c>
      <c r="D427" s="347"/>
      <c r="E427" s="32"/>
    </row>
    <row r="428" spans="2:5" ht="20.05" customHeight="1" x14ac:dyDescent="0.45">
      <c r="B428" s="17" t="s">
        <v>219</v>
      </c>
      <c r="C428" s="126" t="str">
        <f>IF(cluster_wld_domain_chosen&lt;&gt;"MGMT Workload Domain",CONCATENATE(this_instance,"01-w0",wld_domain_number_chosen,"-r06-esx03",".",sample_child_dns_zone),CONCATENATE(this_instance,"01-m01-r06-esx03",".",sample_child_dns_zone))</f>
        <v>sfo01-w01-r06-esx03.sfo.rainpole.io</v>
      </c>
      <c r="D428" s="347"/>
      <c r="E428" s="32"/>
    </row>
    <row r="429" spans="2:5" ht="20.05" customHeight="1" x14ac:dyDescent="0.45">
      <c r="B429" s="17" t="s">
        <v>221</v>
      </c>
      <c r="C429" s="126" t="str">
        <f>IF(cluster_wld_domain_chosen&lt;&gt;"MGMT Workload Domain",CONCATENATE(this_instance,"01-w0",wld_domain_number_chosen,"-r06-esx04",".",sample_child_dns_zone),CONCATENATE(this_instance,"01-m01-r06-esx04",".",sample_child_dns_zone))</f>
        <v>sfo01-w01-r06-esx04.sfo.rainpole.io</v>
      </c>
      <c r="D429" s="347"/>
      <c r="E429" s="32"/>
    </row>
    <row r="430" spans="2:5" ht="20.05" customHeight="1" x14ac:dyDescent="0.45">
      <c r="B430" s="17" t="s">
        <v>223</v>
      </c>
      <c r="C430" s="126" t="str">
        <f>IF(cluster_wld_domain_chosen&lt;&gt;"MGMT Workload Domain",CONCATENATE(this_instance,"01-w0",wld_domain_number_chosen,"-r06-esx05",".",sample_child_dns_zone),CONCATENATE(this_instance,"01-m01-r06-esx05",".",sample_child_dns_zone))</f>
        <v>sfo01-w01-r06-esx05.sfo.rainpole.io</v>
      </c>
      <c r="D430" s="347"/>
      <c r="E430" s="32"/>
    </row>
    <row r="431" spans="2:5" ht="20.05" customHeight="1" x14ac:dyDescent="0.45">
      <c r="B431" s="17" t="s">
        <v>225</v>
      </c>
      <c r="C431" s="126" t="str">
        <f>IF(cluster_wld_domain_chosen&lt;&gt;"MGMT Workload Domain",CONCATENATE(this_instance,"01-w0",wld_domain_number_chosen,"-r06-esx06",".",sample_child_dns_zone),CONCATENATE(this_instance,"01-m01-r06-esx06",".",sample_child_dns_zone))</f>
        <v>sfo01-w01-r06-esx06.sfo.rainpole.io</v>
      </c>
      <c r="D431" s="347"/>
      <c r="E431" s="32"/>
    </row>
    <row r="432" spans="2:5" ht="20.05" customHeight="1" x14ac:dyDescent="0.45">
      <c r="B432" s="17" t="s">
        <v>227</v>
      </c>
      <c r="C432" s="126" t="str">
        <f>IF(cluster_wld_domain_chosen&lt;&gt;"MGMT Workload Domain",CONCATENATE(this_instance,"01-w0",wld_domain_number_chosen,"-r06-esx07",".",sample_child_dns_zone),CONCATENATE(this_instance,"01-m01-r06-esx07",".",sample_child_dns_zone))</f>
        <v>sfo01-w01-r06-esx07.sfo.rainpole.io</v>
      </c>
      <c r="D432" s="347"/>
      <c r="E432" s="32"/>
    </row>
    <row r="433" spans="2:5" ht="20.05" customHeight="1" x14ac:dyDescent="0.45">
      <c r="B433" s="17" t="s">
        <v>229</v>
      </c>
      <c r="C433" s="126" t="str">
        <f>IF(cluster_wld_domain_chosen&lt;&gt;"MGMT Workload Domain",CONCATENATE(this_instance,"01-w0",wld_domain_number_chosen,"-r06-esx08",".",sample_child_dns_zone),CONCATENATE(this_instance,"01-m01-r06-esx08",".",sample_child_dns_zone))</f>
        <v>sfo01-w01-r06-esx08.sfo.rainpole.io</v>
      </c>
      <c r="D433" s="347"/>
      <c r="E433" s="32"/>
    </row>
    <row r="434" spans="2:5" ht="20.05" customHeight="1" x14ac:dyDescent="0.45">
      <c r="B434" s="17" t="s">
        <v>231</v>
      </c>
      <c r="C434" s="126" t="str">
        <f>IF(cluster_wld_domain_chosen&lt;&gt;"MGMT Workload Domain",CONCATENATE(this_instance,"01-w0",wld_domain_number_chosen,"-r06-esx09",".",sample_child_dns_zone),CONCATENATE(this_instance,"01-m01-r06-esx09",".",sample_child_dns_zone))</f>
        <v>sfo01-w01-r06-esx09.sfo.rainpole.io</v>
      </c>
      <c r="D434" s="347"/>
      <c r="E434" s="32"/>
    </row>
    <row r="435" spans="2:5" ht="20.05" customHeight="1" x14ac:dyDescent="0.45">
      <c r="B435" s="17" t="s">
        <v>233</v>
      </c>
      <c r="C435" s="126" t="str">
        <f>IF(cluster_wld_domain_chosen&lt;&gt;"MGMT Workload Domain",CONCATENATE(this_instance,"01-w0",wld_domain_number_chosen,"-r06-esx10",".",sample_child_dns_zone),CONCATENATE(this_instance,"01-m01-r06-esx10",".",sample_child_dns_zone))</f>
        <v>sfo01-w01-r06-esx10.sfo.rainpole.io</v>
      </c>
      <c r="D435" s="347"/>
      <c r="E435" s="32"/>
    </row>
    <row r="436" spans="2:5" ht="20.05" customHeight="1" x14ac:dyDescent="0.45">
      <c r="B436" s="17" t="s">
        <v>235</v>
      </c>
      <c r="C436" s="126" t="str">
        <f>IF(cluster_wld_domain_chosen&lt;&gt;"MGMT Workload Domain",CONCATENATE(this_instance,"01-w0",wld_domain_number_chosen,"-r06-esx11",".",sample_child_dns_zone),CONCATENATE(this_instance,"01-m01-r06-esx11",".",sample_child_dns_zone))</f>
        <v>sfo01-w01-r06-esx11.sfo.rainpole.io</v>
      </c>
      <c r="D436" s="347"/>
      <c r="E436" s="32"/>
    </row>
    <row r="437" spans="2:5" ht="20.05" customHeight="1" x14ac:dyDescent="0.45">
      <c r="B437" s="17" t="s">
        <v>237</v>
      </c>
      <c r="C437" s="126" t="str">
        <f>IF(cluster_wld_domain_chosen&lt;&gt;"MGMT Workload Domain",CONCATENATE(this_instance,"01-w0",wld_domain_number_chosen,"-r06-esx12",".",sample_child_dns_zone),CONCATENATE(this_instance,"01-m01-r06-esx12",".",sample_child_dns_zone))</f>
        <v>sfo01-w01-r06-esx12.sfo.rainpole.io</v>
      </c>
      <c r="D437" s="347"/>
      <c r="E437" s="32"/>
    </row>
    <row r="438" spans="2:5" ht="20.05" customHeight="1" x14ac:dyDescent="0.45">
      <c r="B438" s="17" t="s">
        <v>239</v>
      </c>
      <c r="C438" s="126" t="str">
        <f>IF(cluster_wld_domain_chosen&lt;&gt;"MGMT Workload Domain",CONCATENATE(this_instance,"01-w0",wld_domain_number_chosen,"-r06-esx13",".",sample_child_dns_zone),CONCATENATE(this_instance,"01-m01-r06-esx13",".",sample_child_dns_zone))</f>
        <v>sfo01-w01-r06-esx13.sfo.rainpole.io</v>
      </c>
      <c r="D438" s="347"/>
      <c r="E438" s="32"/>
    </row>
    <row r="439" spans="2:5" ht="20.05" customHeight="1" x14ac:dyDescent="0.45">
      <c r="B439" s="17" t="s">
        <v>241</v>
      </c>
      <c r="C439" s="126" t="str">
        <f>IF(cluster_wld_domain_chosen&lt;&gt;"MGMT Workload Domain",CONCATENATE(this_instance,"01-w0",wld_domain_number_chosen,"-r06-esx14",".",sample_child_dns_zone),CONCATENATE(this_instance,"01-m01-r06-esx14",".",sample_child_dns_zone))</f>
        <v>sfo01-w01-r06-esx14.sfo.rainpole.io</v>
      </c>
      <c r="D439" s="347"/>
      <c r="E439" s="32"/>
    </row>
    <row r="440" spans="2:5" ht="20.05" customHeight="1" x14ac:dyDescent="0.45">
      <c r="B440" s="17" t="s">
        <v>243</v>
      </c>
      <c r="C440" s="126" t="str">
        <f>IF(cluster_wld_domain_chosen&lt;&gt;"MGMT Workload Domain",CONCATENATE(this_instance,"01-w0",wld_domain_number_chosen,"-r06-esx14",".",sample_child_dns_zone),CONCATENATE(this_instance,"01-m01-r06-esx15",".",sample_child_dns_zone))</f>
        <v>sfo01-w01-r06-esx14.sfo.rainpole.io</v>
      </c>
      <c r="D440" s="347"/>
      <c r="E440" s="32"/>
    </row>
    <row r="441" spans="2:5" ht="20.05" customHeight="1" x14ac:dyDescent="0.45">
      <c r="B441" s="17" t="s">
        <v>245</v>
      </c>
      <c r="C441" s="126" t="str">
        <f>IF(cluster_wld_domain_chosen&lt;&gt;"MGMT Workload Domain",CONCATENATE(this_instance,"01-w0",wld_domain_number_chosen,"-r06-esx16",".",sample_child_dns_zone),CONCATENATE(this_instance,"01-m01-r06-esx16",".",sample_child_dns_zone))</f>
        <v>sfo01-w01-r06-esx16.sfo.rainpole.io</v>
      </c>
      <c r="D441" s="347"/>
      <c r="E441" s="32"/>
    </row>
    <row r="442" spans="2:5" ht="20.05" customHeight="1" x14ac:dyDescent="0.45">
      <c r="B442" s="17" t="s">
        <v>264</v>
      </c>
      <c r="C442" s="126" t="s">
        <v>762</v>
      </c>
      <c r="D442" s="337" t="s">
        <v>265</v>
      </c>
      <c r="E442" s="32"/>
    </row>
    <row r="443" spans="2:5" ht="20.05" customHeight="1" x14ac:dyDescent="0.45">
      <c r="B443" s="17" t="s">
        <v>266</v>
      </c>
      <c r="C443" s="126" t="s">
        <v>267</v>
      </c>
      <c r="D443"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443" s="4"/>
    </row>
    <row r="444" spans="2:5" ht="20.05" customHeight="1" x14ac:dyDescent="0.45">
      <c r="B444" s="17" t="s">
        <v>268</v>
      </c>
      <c r="C444" s="126" t="s">
        <v>159</v>
      </c>
      <c r="D444" s="337" t="str">
        <f>IF(AND(vcf_granular_option_chosen="Create Cluster",cluster_principal_storage_chosen="vSAN-ESA"),"Selected",
IF(AND(vcf_granular_option_chosen="Create VI Workload Domain",wld_principal_storage_chosen="vSAN-ESA"),"Selected","Unselected"))</f>
        <v>Unselected</v>
      </c>
      <c r="E444" s="32"/>
    </row>
    <row r="445" spans="2:5" ht="20.05" customHeight="1" x14ac:dyDescent="0.45">
      <c r="B445" s="17" t="s">
        <v>250</v>
      </c>
      <c r="C445" s="126" t="str">
        <f>sample_wld_az1_rack6_pool_name</f>
        <v>sfo01-w01-r06-network-pool-01</v>
      </c>
      <c r="D445" s="337" t="str">
        <f>wld_az1_rack6_pool_name</f>
        <v>Value Missing</v>
      </c>
      <c r="E445" s="32"/>
    </row>
    <row r="446" spans="2:5" ht="20.05" customHeight="1" x14ac:dyDescent="0.45">
      <c r="B446" s="17" t="s">
        <v>46</v>
      </c>
      <c r="C446" s="126" t="s">
        <v>269</v>
      </c>
      <c r="D446"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446" s="32"/>
    </row>
    <row r="447" spans="2:5" ht="20.05" customHeight="1" x14ac:dyDescent="0.45">
      <c r="B447" s="17" t="s">
        <v>29</v>
      </c>
      <c r="C447" s="126" t="s">
        <v>30</v>
      </c>
      <c r="D447"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447" s="32"/>
    </row>
    <row r="448" spans="2:5" ht="16" customHeight="1" x14ac:dyDescent="0.45"/>
    <row r="449" spans="2:5" ht="34" customHeight="1" x14ac:dyDescent="0.45">
      <c r="B449" s="509" t="s">
        <v>2963</v>
      </c>
      <c r="C449" s="510"/>
      <c r="D449" s="510"/>
      <c r="E449" s="511"/>
    </row>
    <row r="450" spans="2:5" ht="20.05" customHeight="1" x14ac:dyDescent="0.45">
      <c r="B450" s="4" t="s">
        <v>337</v>
      </c>
      <c r="C450" s="89" t="str">
        <f>IF(vcf_granular_option_chosen="Create Cluster",CONCATENATE(this_instance,"01-",sample_cluster_name,"-r06-network-profile"),
IF(cluster_wld_domain_chosen="VI Workload Domain",CONCATENATE(this_instance,"01-",sample_wld_cl01_cluster,"-r06-network-profile"),
CONCATENATE(this_instance,"01-",sample_mgmt_cl01_cluster,"-r06-network-profile")))</f>
        <v>sfo01-sfo-w01-cl01-r06-network-profile</v>
      </c>
      <c r="D450" s="347"/>
      <c r="E450" s="80"/>
    </row>
    <row r="451" spans="2:5" ht="20.05" customHeight="1" x14ac:dyDescent="0.45">
      <c r="B451" s="4" t="s">
        <v>2936</v>
      </c>
      <c r="C451" s="362" t="s">
        <v>339</v>
      </c>
      <c r="D451" s="127" t="s">
        <v>339</v>
      </c>
      <c r="E451" s="4" t="str">
        <f>IF(wld_az1_rack6_host_overlay_new_pool_chosen="Re-use an existing Pool","An exisitng Pool will be reused for Host TEP assignment","A new Pool will be created for Host TEP assignment")</f>
        <v>A new Pool will be created for Host TEP assignment</v>
      </c>
    </row>
    <row r="452" spans="2:5" ht="20.05" customHeight="1" x14ac:dyDescent="0.45">
      <c r="B452" s="4" t="s">
        <v>340</v>
      </c>
      <c r="C452" s="89" t="str">
        <f>IF(cluster_wld_domain_chosen="VI Workload Domain",CONCATENATE(this_instance,"01-w0",wld_domain_number_chosen,"-r06-ip-pool01-host"),CONCATENATE(this_instance,"01-m01","-r06-ip-pool01-host"))</f>
        <v>sfo01-w01-r06-ip-pool01-host</v>
      </c>
      <c r="D452" s="347"/>
      <c r="E452" s="80"/>
    </row>
    <row r="453" spans="2:5" ht="20.05" customHeight="1" x14ac:dyDescent="0.45">
      <c r="B453" s="4" t="s">
        <v>341</v>
      </c>
      <c r="C453" s="89" t="str">
        <f>IF(cluster_wld_domain_chosen="VI Workload Domain",CONCATENATE(this_instance,"01-w0",wld_domain_number_chosen,"-r06-uplink-profile01"),CONCATENATE(this_instance,"01-m01","-r06-uplink-profile01"))</f>
        <v>sfo01-w01-r06-uplink-profile01</v>
      </c>
      <c r="D453" s="347"/>
      <c r="E453" s="80"/>
    </row>
    <row r="454" spans="2:5" ht="20.05" customHeight="1" x14ac:dyDescent="0.45">
      <c r="B454" s="4" t="s">
        <v>2937</v>
      </c>
      <c r="C454" s="89" t="str">
        <f>IF(cluster_wld_domain_chosen="VI Workload Domain",CONCATENATE(this_instance,"01-w0",wld_domain_number_chosen,"-r06-ip-pool02-edge"),CONCATENATE(this_instance,"01-m01","-r06-ip-pool02-edge"))</f>
        <v>sfo01-w01-r06-ip-pool02-edge</v>
      </c>
      <c r="D454" s="347"/>
      <c r="E454" s="80"/>
    </row>
    <row r="455" spans="2:5" ht="20.05" customHeight="1" x14ac:dyDescent="0.45">
      <c r="B455" s="4" t="s">
        <v>2938</v>
      </c>
      <c r="C455" s="89" t="str">
        <f>IF(cluster_wld_domain_chosen="VI Workload Domain",CONCATENATE(this_instance,"01-w0",wld_domain_number_chosen,"-r06-ip-pool03-rtep"),CONCATENATE(this_instance,"01-m01","-r06-ip-pool03-rtep"))</f>
        <v>sfo01-w01-r06-ip-pool03-rtep</v>
      </c>
      <c r="D455" s="347"/>
      <c r="E455" s="80"/>
    </row>
    <row r="456" spans="2:5" ht="20.05" customHeight="1" x14ac:dyDescent="0.45">
      <c r="B456" s="512" t="s">
        <v>834</v>
      </c>
      <c r="C456" s="513"/>
      <c r="D456" s="513"/>
      <c r="E456" s="514"/>
    </row>
    <row r="457" spans="2:5" ht="20.05" customHeight="1" x14ac:dyDescent="0.45">
      <c r="B457" s="207" t="s">
        <v>261</v>
      </c>
      <c r="C457" s="207" t="s">
        <v>262</v>
      </c>
      <c r="D457" s="239" t="s">
        <v>19</v>
      </c>
      <c r="E457" s="207" t="s">
        <v>20</v>
      </c>
    </row>
    <row r="458" spans="2:5" ht="20.05" customHeight="1" x14ac:dyDescent="0.45">
      <c r="B458" s="4" t="s">
        <v>1448</v>
      </c>
      <c r="C458" s="80" t="str">
        <f>IF(cluster_wld_domain_chosen&lt;&gt;"MGMT Workload Domain",CONCATENATE(this_instance,"-w0",wld_domain_number_chosen,"-r06","-vsan-fault-domain"),CONCATENATE(this_instance,"-m01","-r06","-vsan-fault-domain"))</f>
        <v>sfo-w01-r06-vsan-fault-domain</v>
      </c>
      <c r="D458" s="347"/>
      <c r="E458" s="337"/>
    </row>
    <row r="459" spans="2:5" ht="16" customHeight="1" x14ac:dyDescent="0.45"/>
    <row r="460" spans="2:5" ht="34" customHeight="1" x14ac:dyDescent="0.45">
      <c r="B460" s="509" t="s">
        <v>2964</v>
      </c>
      <c r="C460" s="510"/>
      <c r="D460" s="510"/>
      <c r="E460" s="511"/>
    </row>
    <row r="461" spans="2:5" ht="20.05" customHeight="1" x14ac:dyDescent="0.45">
      <c r="B461" s="43" t="s">
        <v>261</v>
      </c>
      <c r="C461" s="43" t="s">
        <v>262</v>
      </c>
      <c r="D461" s="130" t="s">
        <v>19</v>
      </c>
      <c r="E461" s="43" t="s">
        <v>20</v>
      </c>
    </row>
    <row r="462" spans="2:5" ht="20.05" customHeight="1" x14ac:dyDescent="0.45">
      <c r="B462" s="496" t="s">
        <v>938</v>
      </c>
      <c r="C462" s="497"/>
      <c r="D462" s="497"/>
      <c r="E462" s="498"/>
    </row>
    <row r="463" spans="2:5" ht="20.05" customHeight="1" x14ac:dyDescent="0.45">
      <c r="B463" s="4" t="s">
        <v>85</v>
      </c>
      <c r="C463" s="362" t="str">
        <f>IF(cluster_wld_domain_chosen&lt;&gt;"MGMT Workload Domain",CONCATENATE(prefix_wld_az1_rack_vlan,"69"),CONCATENATE(prefix_mgmt_az1_vlan,"69"))</f>
        <v>1369</v>
      </c>
      <c r="D463" s="347"/>
      <c r="E463" s="93"/>
    </row>
    <row r="464" spans="2:5" ht="20.05" customHeight="1" x14ac:dyDescent="0.45">
      <c r="B464" s="4" t="s">
        <v>160</v>
      </c>
      <c r="C464" s="362">
        <v>9000</v>
      </c>
      <c r="D464" s="347"/>
      <c r="E464" s="32"/>
    </row>
    <row r="465" spans="2:5" ht="20.05" customHeight="1" x14ac:dyDescent="0.45">
      <c r="B465" s="4" t="s">
        <v>188</v>
      </c>
      <c r="C465" s="362" t="str">
        <f>IF(cluster_wld_domain_chosen&lt;&gt;"MGMT Workload Domain",CONCATENATE(prefix_wld_az1_rack_cidr,"69.0"),CONCATENATE(prefix_mgmt_az1_cidr,"69.0"))</f>
        <v>10.13.69.0</v>
      </c>
      <c r="D465" s="347"/>
      <c r="E465" s="32"/>
    </row>
    <row r="466" spans="2:5" ht="20.05" customHeight="1" x14ac:dyDescent="0.45">
      <c r="B466" s="4" t="s">
        <v>285</v>
      </c>
      <c r="C466" s="362" t="s">
        <v>128</v>
      </c>
      <c r="D466" s="347"/>
      <c r="E466" s="32"/>
    </row>
    <row r="467" spans="2:5" ht="20.05" customHeight="1" x14ac:dyDescent="0.45">
      <c r="B467" s="4" t="s">
        <v>187</v>
      </c>
      <c r="C467" s="362" t="str">
        <f>IF(cluster_wld_domain_chosen&lt;&gt;"MGMT Workload Domain",CONCATENATE(prefix_wld_az1_rack_cidr,"69.1"),CONCATENATE(prefix_mgmt_az1_cidr,"69.1"))</f>
        <v>10.13.69.1</v>
      </c>
      <c r="D467" s="347"/>
      <c r="E467" s="32"/>
    </row>
    <row r="468" spans="2:5" ht="20.05" customHeight="1" x14ac:dyDescent="0.45">
      <c r="B468" s="17" t="s">
        <v>255</v>
      </c>
      <c r="C468" s="362" t="str">
        <f>IF(cluster_wld_domain_chosen&lt;&gt;"MGMT Workload Domain",CONCATENATE(prefix_wld_az1_rack_cidr,"69.101"),CONCATENATE(prefix_mgmt_az1_cidr,"69.101"))</f>
        <v>10.13.69.101</v>
      </c>
      <c r="D468" s="347"/>
      <c r="E468" s="100" t="s">
        <v>2940</v>
      </c>
    </row>
    <row r="469" spans="2:5" ht="20.05" customHeight="1" x14ac:dyDescent="0.45">
      <c r="B469" s="17" t="s">
        <v>256</v>
      </c>
      <c r="C469" s="362" t="str">
        <f>IF(cluster_wld_domain_chosen&lt;&gt;"MGMT Workload Domain",CONCATENATE(prefix_wld_az1_rack_cidr,"69.116"),CONCATENATE(prefix_mgmt_az1_cidr,"69.116"))</f>
        <v>10.13.69.116</v>
      </c>
      <c r="D469" s="347"/>
      <c r="E469" s="100" t="s">
        <v>2941</v>
      </c>
    </row>
    <row r="470" spans="2:5" ht="16" customHeight="1" x14ac:dyDescent="0.45"/>
    <row r="471" spans="2:5" ht="34" customHeight="1" x14ac:dyDescent="0.45">
      <c r="B471" s="509" t="s">
        <v>2965</v>
      </c>
      <c r="C471" s="510"/>
      <c r="D471" s="510"/>
      <c r="E471" s="511"/>
    </row>
    <row r="472" spans="2:5" ht="20.05" customHeight="1" x14ac:dyDescent="0.45">
      <c r="B472" s="43" t="s">
        <v>261</v>
      </c>
      <c r="C472" s="43" t="s">
        <v>262</v>
      </c>
      <c r="D472" s="130" t="s">
        <v>19</v>
      </c>
      <c r="E472" s="43" t="s">
        <v>20</v>
      </c>
    </row>
    <row r="473" spans="2:5" ht="20.05" customHeight="1" x14ac:dyDescent="0.45">
      <c r="B473" s="496" t="s">
        <v>213</v>
      </c>
      <c r="C473" s="497"/>
      <c r="D473" s="497"/>
      <c r="E473" s="498"/>
    </row>
    <row r="474" spans="2:5" ht="20.05" customHeight="1" x14ac:dyDescent="0.45">
      <c r="B474" s="4" t="s">
        <v>85</v>
      </c>
      <c r="C474" s="362" t="str">
        <f>IF(cluster_wld_domain_chosen&lt;&gt;"MGMT Workload Domain",CONCATENATE(prefix_wld_az1_rack_vlan,"77"),CONCATENATE(prefix_mgmt_az1_vlan,"77"))</f>
        <v>1377</v>
      </c>
      <c r="D474" s="347"/>
      <c r="E474" s="93"/>
    </row>
    <row r="475" spans="2:5" ht="20.05" customHeight="1" x14ac:dyDescent="0.45">
      <c r="B475" s="4" t="s">
        <v>187</v>
      </c>
      <c r="C475" s="362" t="str">
        <f>IF(cluster_wld_domain_chosen&lt;&gt;"MGMT Workload Domain",CONCATENATE(prefix_wld_az1_rack_cidr,"77.1"),CONCATENATE(prefix_mgmt_az1_cidr,"77.1"))</f>
        <v>10.13.77.1</v>
      </c>
      <c r="D475" s="347"/>
      <c r="E475" s="32"/>
    </row>
    <row r="476" spans="2:5" ht="20.05" customHeight="1" x14ac:dyDescent="0.45">
      <c r="B476" s="4" t="s">
        <v>188</v>
      </c>
      <c r="C476" s="362" t="str">
        <f>IF(cluster_wld_domain_chosen&lt;&gt;"MGMT Workload Domain",CONCATENATE(prefix_wld_az1_rack_cidr,"77.0/24"),CONCATENATE(prefix_mgmt_az1_cidr,"77.0/24"))</f>
        <v>10.13.77.0/24</v>
      </c>
      <c r="D476" s="347"/>
      <c r="E476" s="32"/>
    </row>
    <row r="477" spans="2:5" ht="20.05" customHeight="1" x14ac:dyDescent="0.45">
      <c r="B477" s="4" t="s">
        <v>160</v>
      </c>
      <c r="C477" s="362">
        <v>1500</v>
      </c>
      <c r="D477" s="347"/>
      <c r="E477" s="32"/>
    </row>
    <row r="478" spans="2:5" ht="20.05" customHeight="1" x14ac:dyDescent="0.45">
      <c r="B478" s="512" t="s">
        <v>214</v>
      </c>
      <c r="C478" s="513"/>
      <c r="D478" s="513"/>
      <c r="E478" s="514"/>
    </row>
    <row r="479" spans="2:5" ht="20.05" customHeight="1" x14ac:dyDescent="0.45">
      <c r="B479" s="17" t="s">
        <v>215</v>
      </c>
      <c r="C479" s="126" t="str">
        <f>IF(cluster_wld_domain_chosen&lt;&gt;"MGMT Workload Domain",CONCATENATE(prefix_wld_az1_rack_cidr,"77.101"),CONCATENATE(prefix_mgmt_az1_cidr,"77.101"))</f>
        <v>10.13.77.101</v>
      </c>
      <c r="D479" s="347"/>
      <c r="E479" s="100" t="s">
        <v>216</v>
      </c>
    </row>
    <row r="480" spans="2:5" ht="20.05" customHeight="1" x14ac:dyDescent="0.45">
      <c r="B480" s="17" t="s">
        <v>217</v>
      </c>
      <c r="C480" s="126" t="str">
        <f>IF(cluster_wld_domain_chosen&lt;&gt;"MGMT Workload Domain",CONCATENATE(prefix_wld_az1_rack_cidr,"77.102"),CONCATENATE(prefix_mgmt_az1_cidr,"77.102"))</f>
        <v>10.13.77.102</v>
      </c>
      <c r="D480" s="347"/>
      <c r="E480" s="100" t="s">
        <v>218</v>
      </c>
    </row>
    <row r="481" spans="2:5" ht="20.05" customHeight="1" x14ac:dyDescent="0.45">
      <c r="B481" s="17" t="s">
        <v>219</v>
      </c>
      <c r="C481" s="126" t="str">
        <f>IF(cluster_wld_domain_chosen&lt;&gt;"MGMT Workload Domain",CONCATENATE(prefix_wld_az1_rack_cidr,"77.103"),CONCATENATE(prefix_mgmt_az1_cidr,"77.103"))</f>
        <v>10.13.77.103</v>
      </c>
      <c r="D481" s="347"/>
      <c r="E481" s="100" t="s">
        <v>220</v>
      </c>
    </row>
    <row r="482" spans="2:5" ht="20.05" customHeight="1" x14ac:dyDescent="0.45">
      <c r="B482" s="17" t="s">
        <v>221</v>
      </c>
      <c r="C482" s="126" t="str">
        <f>IF(cluster_wld_domain_chosen&lt;&gt;"MGMT Workload Domain",CONCATENATE(prefix_wld_az1_rack_cidr,"77.104"),CONCATENATE(prefix_mgmt_az1_cidr,"77.104"))</f>
        <v>10.13.77.104</v>
      </c>
      <c r="D482" s="347"/>
      <c r="E482" s="100" t="s">
        <v>222</v>
      </c>
    </row>
    <row r="483" spans="2:5" ht="20.05" customHeight="1" x14ac:dyDescent="0.45">
      <c r="B483" s="17" t="s">
        <v>223</v>
      </c>
      <c r="C483" s="126" t="str">
        <f>IF(cluster_wld_domain_chosen&lt;&gt;"MGMT Workload Domain",CONCATENATE(prefix_wld_az1_rack_cidr,"77.105"),CONCATENATE(prefix_mgmt_az1_cidr,"77.105"))</f>
        <v>10.13.77.105</v>
      </c>
      <c r="D483" s="347"/>
      <c r="E483" s="100" t="s">
        <v>224</v>
      </c>
    </row>
    <row r="484" spans="2:5" ht="20.05" customHeight="1" x14ac:dyDescent="0.45">
      <c r="B484" s="17" t="s">
        <v>225</v>
      </c>
      <c r="C484" s="126" t="str">
        <f>IF(cluster_wld_domain_chosen&lt;&gt;"MGMT Workload Domain",CONCATENATE(prefix_wld_az1_rack_cidr,"77.106"),CONCATENATE(prefix_mgmt_az1_cidr,"77.106"))</f>
        <v>10.13.77.106</v>
      </c>
      <c r="D484" s="347"/>
      <c r="E484" s="100" t="s">
        <v>226</v>
      </c>
    </row>
    <row r="485" spans="2:5" ht="20.05" customHeight="1" x14ac:dyDescent="0.45">
      <c r="B485" s="17" t="s">
        <v>227</v>
      </c>
      <c r="C485" s="126" t="str">
        <f>IF(cluster_wld_domain_chosen&lt;&gt;"MGMT Workload Domain",CONCATENATE(prefix_wld_az1_rack_cidr,"77.107"),CONCATENATE(prefix_mgmt_az1_cidr,"77.107"))</f>
        <v>10.13.77.107</v>
      </c>
      <c r="D485" s="347"/>
      <c r="E485" s="100" t="s">
        <v>228</v>
      </c>
    </row>
    <row r="486" spans="2:5" ht="20.05" customHeight="1" x14ac:dyDescent="0.45">
      <c r="B486" s="17" t="s">
        <v>229</v>
      </c>
      <c r="C486" s="126" t="str">
        <f>IF(cluster_wld_domain_chosen&lt;&gt;"MGMT Workload Domain",CONCATENATE(prefix_wld_az1_rack_cidr,"77.108"),CONCATENATE(prefix_mgmt_az1_cidr,"77.108"))</f>
        <v>10.13.77.108</v>
      </c>
      <c r="D486" s="347"/>
      <c r="E486" s="100" t="s">
        <v>230</v>
      </c>
    </row>
    <row r="487" spans="2:5" ht="20.05" customHeight="1" x14ac:dyDescent="0.45">
      <c r="B487" s="17" t="s">
        <v>231</v>
      </c>
      <c r="C487" s="126" t="str">
        <f>IF(cluster_wld_domain_chosen&lt;&gt;"MGMT Workload Domain",CONCATENATE(prefix_wld_az1_rack_cidr,"77.109"),CONCATENATE(prefix_mgmt_az1_cidr,"77.109"))</f>
        <v>10.13.77.109</v>
      </c>
      <c r="D487" s="347"/>
      <c r="E487" s="100" t="s">
        <v>232</v>
      </c>
    </row>
    <row r="488" spans="2:5" ht="20.05" customHeight="1" x14ac:dyDescent="0.45">
      <c r="B488" s="17" t="s">
        <v>233</v>
      </c>
      <c r="C488" s="126" t="str">
        <f>IF(cluster_wld_domain_chosen&lt;&gt;"MGMT Workload Domain",CONCATENATE(prefix_wld_az1_rack_cidr,"77.110"),CONCATENATE(prefix_mgmt_az1_cidr,"77.110"))</f>
        <v>10.13.77.110</v>
      </c>
      <c r="D488" s="347"/>
      <c r="E488" s="100" t="s">
        <v>234</v>
      </c>
    </row>
    <row r="489" spans="2:5" ht="20.05" customHeight="1" x14ac:dyDescent="0.45">
      <c r="B489" s="17" t="s">
        <v>235</v>
      </c>
      <c r="C489" s="126" t="str">
        <f>IF(cluster_wld_domain_chosen&lt;&gt;"MGMT Workload Domain",CONCATENATE(prefix_wld_az1_rack_cidr,"77.111"),CONCATENATE(prefix_mgmt_az1_cidr,"77.111"))</f>
        <v>10.13.77.111</v>
      </c>
      <c r="D489" s="347"/>
      <c r="E489" s="100" t="s">
        <v>236</v>
      </c>
    </row>
    <row r="490" spans="2:5" ht="20.05" customHeight="1" x14ac:dyDescent="0.45">
      <c r="B490" s="17" t="s">
        <v>237</v>
      </c>
      <c r="C490" s="126" t="str">
        <f>IF(cluster_wld_domain_chosen&lt;&gt;"MGMT Workload Domain",CONCATENATE(prefix_wld_az1_rack_cidr,"77.112"),CONCATENATE(prefix_mgmt_az1_cidr,"77.112"))</f>
        <v>10.13.77.112</v>
      </c>
      <c r="D490" s="347"/>
      <c r="E490" s="100" t="s">
        <v>238</v>
      </c>
    </row>
    <row r="491" spans="2:5" ht="20.05" customHeight="1" x14ac:dyDescent="0.45">
      <c r="B491" s="17" t="s">
        <v>239</v>
      </c>
      <c r="C491" s="126" t="str">
        <f>IF(cluster_wld_domain_chosen&lt;&gt;"MGMT Workload Domain",CONCATENATE(prefix_wld_az1_rack_cidr,"77.113"),CONCATENATE(prefix_mgmt_az1_cidr,"77.113"))</f>
        <v>10.13.77.113</v>
      </c>
      <c r="D491" s="347"/>
      <c r="E491" s="100" t="s">
        <v>240</v>
      </c>
    </row>
    <row r="492" spans="2:5" ht="20.05" customHeight="1" x14ac:dyDescent="0.45">
      <c r="B492" s="17" t="s">
        <v>241</v>
      </c>
      <c r="C492" s="126" t="str">
        <f>IF(cluster_wld_domain_chosen&lt;&gt;"MGMT Workload Domain",CONCATENATE(prefix_wld_az1_rack_cidr,"77.114"),CONCATENATE(prefix_mgmt_az1_cidr,"77.114"))</f>
        <v>10.13.77.114</v>
      </c>
      <c r="D492" s="347"/>
      <c r="E492" s="100" t="s">
        <v>242</v>
      </c>
    </row>
    <row r="493" spans="2:5" ht="20.05" customHeight="1" x14ac:dyDescent="0.45">
      <c r="B493" s="17" t="s">
        <v>243</v>
      </c>
      <c r="C493" s="126" t="str">
        <f>IF(cluster_wld_domain_chosen&lt;&gt;"MGMT Workload Domain",CONCATENATE(prefix_wld_az1_rack_cidr,"77.115"),CONCATENATE(prefix_mgmt_az1_cidr,"77.115"))</f>
        <v>10.13.77.115</v>
      </c>
      <c r="D493" s="347"/>
      <c r="E493" s="100" t="s">
        <v>244</v>
      </c>
    </row>
    <row r="494" spans="2:5" ht="20.05" customHeight="1" x14ac:dyDescent="0.45">
      <c r="B494" s="17" t="s">
        <v>245</v>
      </c>
      <c r="C494" s="126" t="str">
        <f>IF(cluster_wld_domain_chosen&lt;&gt;"MGMT Workload Domain",CONCATENATE(prefix_wld_az1_rack_cidr,"77.116"),CONCATENATE(prefix_mgmt_az1_cidr,"77.116"))</f>
        <v>10.13.77.116</v>
      </c>
      <c r="D494" s="347"/>
      <c r="E494" s="100" t="s">
        <v>246</v>
      </c>
    </row>
    <row r="495" spans="2:5" ht="16" customHeight="1" x14ac:dyDescent="0.45">
      <c r="B495" s="8"/>
      <c r="C495" s="8"/>
      <c r="D495" s="8"/>
      <c r="E495" s="8"/>
    </row>
    <row r="496" spans="2:5" ht="34" customHeight="1" x14ac:dyDescent="0.45">
      <c r="B496" s="509" t="s">
        <v>2966</v>
      </c>
      <c r="C496" s="510"/>
      <c r="D496" s="510"/>
      <c r="E496" s="511"/>
    </row>
    <row r="497" spans="2:5" ht="20.05" customHeight="1" x14ac:dyDescent="0.45">
      <c r="B497" s="43" t="s">
        <v>261</v>
      </c>
      <c r="C497" s="43" t="s">
        <v>262</v>
      </c>
      <c r="D497" s="130" t="s">
        <v>19</v>
      </c>
      <c r="E497" s="43" t="s">
        <v>20</v>
      </c>
    </row>
    <row r="498" spans="2:5" ht="20.05" customHeight="1" x14ac:dyDescent="0.45">
      <c r="B498" s="4" t="s">
        <v>2929</v>
      </c>
      <c r="C498" s="362" t="s">
        <v>249</v>
      </c>
      <c r="D498" s="127" t="s">
        <v>249</v>
      </c>
      <c r="E498" s="4" t="str">
        <f>IF(wld_az1_rack7_reuse_vcf_networkpool_chosen="Re-use an existing  VCF Network Pool","An exisiting VCF Network Pool will be reused for Host TEP assignment","A new VCF Network Pool will be created")</f>
        <v>A new VCF Network Pool will be created</v>
      </c>
    </row>
    <row r="499" spans="2:5" ht="20.05" customHeight="1" x14ac:dyDescent="0.45">
      <c r="B499" s="17" t="s">
        <v>250</v>
      </c>
      <c r="C499" s="89" t="str">
        <f>IF(cluster_wld_domain_chosen="VI Workload Domain",CONCATENATE(this_instance,"01-w0",wld_domain_number_chosen,"-r07-network-pool-01"),CONCATENATE(this_instance,"01-m01","-r07-network-pool-01"))</f>
        <v>sfo01-w01-r07-network-pool-01</v>
      </c>
      <c r="D499" s="347"/>
      <c r="E499" s="32"/>
    </row>
    <row r="500" spans="2:5" ht="20.05" customHeight="1" x14ac:dyDescent="0.45">
      <c r="B500" s="496" t="s">
        <v>251</v>
      </c>
      <c r="C500" s="497"/>
      <c r="D500" s="497"/>
      <c r="E500" s="498"/>
    </row>
    <row r="501" spans="2:5" ht="20.05" customHeight="1" x14ac:dyDescent="0.45">
      <c r="B501" s="4" t="s">
        <v>85</v>
      </c>
      <c r="C501" s="362" t="str">
        <f>IF(cluster_wld_domain_chosen&lt;&gt;"MGMT Workload Domain",CONCATENATE(prefix_wld_az1_rack_vlan,"78"),CONCATENATE(prefix_mgmt_az1_vlan,"78"))</f>
        <v>1378</v>
      </c>
      <c r="D501" s="347"/>
      <c r="E501" s="93"/>
    </row>
    <row r="502" spans="2:5" ht="20.05" customHeight="1" x14ac:dyDescent="0.45">
      <c r="B502" s="4" t="s">
        <v>160</v>
      </c>
      <c r="C502" s="362">
        <v>9000</v>
      </c>
      <c r="D502" s="347"/>
      <c r="E502" s="32"/>
    </row>
    <row r="503" spans="2:5" ht="20.05" customHeight="1" x14ac:dyDescent="0.45">
      <c r="B503" s="4" t="s">
        <v>188</v>
      </c>
      <c r="C503" s="126" t="str">
        <f>IF(cluster_wld_domain_chosen&lt;&gt;"MGMT Workload Domain",CONCATENATE(prefix_wld_az1_rack_cidr,"78.0"),CONCATENATE(prefix_mgmt_az1_cidr,"78.0"))</f>
        <v>10.13.78.0</v>
      </c>
      <c r="D503" s="347"/>
      <c r="E503" s="32"/>
    </row>
    <row r="504" spans="2:5" ht="20.05" customHeight="1" x14ac:dyDescent="0.45">
      <c r="B504" s="4" t="s">
        <v>285</v>
      </c>
      <c r="C504" s="126" t="s">
        <v>128</v>
      </c>
      <c r="D504" s="347"/>
      <c r="E504" s="32"/>
    </row>
    <row r="505" spans="2:5" ht="20.05" customHeight="1" x14ac:dyDescent="0.45">
      <c r="B505" s="4" t="s">
        <v>187</v>
      </c>
      <c r="C505" s="362" t="str">
        <f>IF(cluster_wld_domain_chosen&lt;&gt;"MGMT Workload Domain",CONCATENATE(prefix_wld_az1_rack_cidr,"78.1"),CONCATENATE(prefix_mgmt_az1_cidr,"78.1"))</f>
        <v>10.13.78.1</v>
      </c>
      <c r="D505" s="347"/>
      <c r="E505" s="32"/>
    </row>
    <row r="506" spans="2:5" ht="20.05" customHeight="1" x14ac:dyDescent="0.45">
      <c r="B506" s="17" t="s">
        <v>255</v>
      </c>
      <c r="C506" s="362" t="str">
        <f>IF(cluster_wld_domain_chosen&lt;&gt;"MGMT Workload Domain",CONCATENATE(prefix_wld_az1_rack_cidr,"78.101"),CONCATENATE(prefix_mgmt_az1_cidr,"78.101"))</f>
        <v>10.13.78.101</v>
      </c>
      <c r="D506" s="347"/>
      <c r="E506" s="100" t="s">
        <v>2930</v>
      </c>
    </row>
    <row r="507" spans="2:5" ht="20.05" customHeight="1" x14ac:dyDescent="0.45">
      <c r="B507" s="17" t="s">
        <v>256</v>
      </c>
      <c r="C507" s="362" t="str">
        <f>IF(cluster_wld_domain_chosen&lt;&gt;"MGMT Workload Domain",CONCATENATE(prefix_wld_az1_rack_cidr,"78.116"),CONCATENATE(prefix_mgmt_az1_cidr,"78.116"))</f>
        <v>10.13.78.116</v>
      </c>
      <c r="D507" s="347"/>
      <c r="E507" s="100" t="s">
        <v>2931</v>
      </c>
    </row>
    <row r="508" spans="2:5" ht="20.05" customHeight="1" x14ac:dyDescent="0.45">
      <c r="B508" s="496" t="s">
        <v>257</v>
      </c>
      <c r="C508" s="497"/>
      <c r="D508" s="497"/>
      <c r="E508" s="498"/>
    </row>
    <row r="509" spans="2:5" ht="20.05" customHeight="1" x14ac:dyDescent="0.45">
      <c r="B509" s="4" t="s">
        <v>85</v>
      </c>
      <c r="C509" s="362" t="str">
        <f>IF(cluster_wld_domain_chosen&lt;&gt;"MGMT Workload Domain",CONCATENATE(prefix_wld_az1_rack_vlan,"79"),CONCATENATE(prefix_mgmt_az1_vlan,"79"))</f>
        <v>1379</v>
      </c>
      <c r="D509" s="347"/>
      <c r="E509" s="32"/>
    </row>
    <row r="510" spans="2:5" ht="20.05" customHeight="1" x14ac:dyDescent="0.45">
      <c r="B510" s="4" t="s">
        <v>160</v>
      </c>
      <c r="C510" s="362">
        <v>9000</v>
      </c>
      <c r="D510" s="347"/>
      <c r="E510" s="32"/>
    </row>
    <row r="511" spans="2:5" ht="20.05" customHeight="1" x14ac:dyDescent="0.45">
      <c r="B511" s="4" t="s">
        <v>188</v>
      </c>
      <c r="C511" s="126" t="str">
        <f>IF(cluster_wld_domain_chosen&lt;&gt;"MGMT Workload Domain",CONCATENATE(prefix_wld_az1_rack_cidr,"79.0"),CONCATENATE(prefix_mgmt_az1_cidr,"79.0"))</f>
        <v>10.13.79.0</v>
      </c>
      <c r="D511" s="347"/>
      <c r="E511" s="56"/>
    </row>
    <row r="512" spans="2:5" ht="20.05" customHeight="1" x14ac:dyDescent="0.45">
      <c r="B512" s="4" t="s">
        <v>285</v>
      </c>
      <c r="C512" s="126" t="s">
        <v>128</v>
      </c>
      <c r="D512" s="347"/>
      <c r="E512" s="32"/>
    </row>
    <row r="513" spans="2:5" ht="20.05" customHeight="1" x14ac:dyDescent="0.45">
      <c r="B513" s="4" t="s">
        <v>187</v>
      </c>
      <c r="C513" s="362" t="str">
        <f>IF(cluster_wld_domain_chosen&lt;&gt;"MGMT Workload Domain",CONCATENATE(prefix_wld_az1_rack_cidr,"79.1"),CONCATENATE(prefix_mgmt_az1_cidr,"79.1"))</f>
        <v>10.13.79.1</v>
      </c>
      <c r="D513" s="347"/>
      <c r="E513" s="32" t="str">
        <f>IF(AND(mgmt_stretched_cluster_result="Included",mgmt_dpg_reuse_result="Excluded"),"Stretched L2","")</f>
        <v/>
      </c>
    </row>
    <row r="514" spans="2:5" ht="20.05" customHeight="1" x14ac:dyDescent="0.45">
      <c r="B514" s="17" t="s">
        <v>255</v>
      </c>
      <c r="C514" s="362" t="str">
        <f>IF(cluster_wld_domain_chosen&lt;&gt;"MGMT Workload Domain",CONCATENATE(prefix_wld_az1_rack_cidr,"79.101"),CONCATENATE(prefix_mgmt_az1_cidr,"79.101"))</f>
        <v>10.13.79.101</v>
      </c>
      <c r="D514" s="347"/>
      <c r="E514" s="100" t="s">
        <v>2932</v>
      </c>
    </row>
    <row r="515" spans="2:5" ht="20.05" customHeight="1" x14ac:dyDescent="0.45">
      <c r="B515" s="17" t="s">
        <v>256</v>
      </c>
      <c r="C515" s="362" t="str">
        <f>IF(cluster_wld_domain_chosen&lt;&gt;"MGMT Workload Domain",CONCATENATE(prefix_wld_az1_rack_cidr,"79.116"),CONCATENATE(prefix_mgmt_az1_cidr,"79.116"))</f>
        <v>10.13.79.116</v>
      </c>
      <c r="D515" s="347"/>
      <c r="E515" s="100" t="s">
        <v>2933</v>
      </c>
    </row>
    <row r="516" spans="2:5" ht="16" customHeight="1" x14ac:dyDescent="0.45">
      <c r="B516" s="8"/>
      <c r="C516" s="8"/>
      <c r="D516" s="8"/>
      <c r="E516" s="8"/>
    </row>
    <row r="517" spans="2:5" ht="34" customHeight="1" x14ac:dyDescent="0.45">
      <c r="B517" s="509" t="s">
        <v>2967</v>
      </c>
      <c r="C517" s="510"/>
      <c r="D517" s="510"/>
      <c r="E517" s="511"/>
    </row>
    <row r="518" spans="2:5" ht="20.05" customHeight="1" x14ac:dyDescent="0.45">
      <c r="B518" s="43" t="s">
        <v>261</v>
      </c>
      <c r="C518" s="43" t="s">
        <v>262</v>
      </c>
      <c r="D518" s="130" t="s">
        <v>19</v>
      </c>
      <c r="E518" s="43" t="s">
        <v>20</v>
      </c>
    </row>
    <row r="519" spans="2:5" ht="20.05" customHeight="1" x14ac:dyDescent="0.45">
      <c r="B519" s="17" t="s">
        <v>215</v>
      </c>
      <c r="C519" s="126" t="str">
        <f>IF(cluster_wld_domain_chosen&lt;&gt;"MGMT Workload Domain",CONCATENATE(this_instance,"01-w0",wld_domain_number_chosen,"-r07-esx01",".",sample_child_dns_zone),CONCATENATE(this_instance,"01-m01-r07-esx01",".",sample_child_dns_zone))</f>
        <v>sfo01-w01-r07-esx01.sfo.rainpole.io</v>
      </c>
      <c r="D519" s="347"/>
      <c r="E519" s="32"/>
    </row>
    <row r="520" spans="2:5" ht="20.05" customHeight="1" x14ac:dyDescent="0.45">
      <c r="B520" s="17" t="s">
        <v>217</v>
      </c>
      <c r="C520" s="126" t="str">
        <f>IF(cluster_wld_domain_chosen&lt;&gt;"MGMT Workload Domain",CONCATENATE(this_instance,"01-w0",wld_domain_number_chosen,"-r07-esx02",".",sample_child_dns_zone),CONCATENATE(this_instance,"01-m01-r07-esx02",".",sample_child_dns_zone))</f>
        <v>sfo01-w01-r07-esx02.sfo.rainpole.io</v>
      </c>
      <c r="D520" s="347"/>
      <c r="E520" s="32"/>
    </row>
    <row r="521" spans="2:5" ht="20.05" customHeight="1" x14ac:dyDescent="0.45">
      <c r="B521" s="17" t="s">
        <v>219</v>
      </c>
      <c r="C521" s="126" t="str">
        <f>IF(cluster_wld_domain_chosen&lt;&gt;"MGMT Workload Domain",CONCATENATE(this_instance,"01-w0",wld_domain_number_chosen,"-r07-esx03",".",sample_child_dns_zone),CONCATENATE(this_instance,"01-m01-r07-esx03",".",sample_child_dns_zone))</f>
        <v>sfo01-w01-r07-esx03.sfo.rainpole.io</v>
      </c>
      <c r="D521" s="347"/>
      <c r="E521" s="32"/>
    </row>
    <row r="522" spans="2:5" ht="20.05" customHeight="1" x14ac:dyDescent="0.45">
      <c r="B522" s="17" t="s">
        <v>221</v>
      </c>
      <c r="C522" s="126" t="str">
        <f>IF(cluster_wld_domain_chosen&lt;&gt;"MGMT Workload Domain",CONCATENATE(this_instance,"01-w0",wld_domain_number_chosen,"-r07-esx04",".",sample_child_dns_zone),CONCATENATE(this_instance,"01-m01-r07-esx04",".",sample_child_dns_zone))</f>
        <v>sfo01-w01-r07-esx04.sfo.rainpole.io</v>
      </c>
      <c r="D522" s="347"/>
      <c r="E522" s="32"/>
    </row>
    <row r="523" spans="2:5" ht="20.05" customHeight="1" x14ac:dyDescent="0.45">
      <c r="B523" s="17" t="s">
        <v>223</v>
      </c>
      <c r="C523" s="126" t="str">
        <f>IF(cluster_wld_domain_chosen&lt;&gt;"MGMT Workload Domain",CONCATENATE(this_instance,"01-w0",wld_domain_number_chosen,"-r07-esx05",".",sample_child_dns_zone),CONCATENATE(this_instance,"01-m01-r07-esx05",".",sample_child_dns_zone))</f>
        <v>sfo01-w01-r07-esx05.sfo.rainpole.io</v>
      </c>
      <c r="D523" s="347"/>
      <c r="E523" s="32"/>
    </row>
    <row r="524" spans="2:5" ht="20.05" customHeight="1" x14ac:dyDescent="0.45">
      <c r="B524" s="17" t="s">
        <v>225</v>
      </c>
      <c r="C524" s="126" t="str">
        <f>IF(cluster_wld_domain_chosen&lt;&gt;"MGMT Workload Domain",CONCATENATE(this_instance,"01-w0",wld_domain_number_chosen,"-r07-esx06",".",sample_child_dns_zone),CONCATENATE(this_instance,"01-m01-r07-esx06",".",sample_child_dns_zone))</f>
        <v>sfo01-w01-r07-esx06.sfo.rainpole.io</v>
      </c>
      <c r="D524" s="347"/>
      <c r="E524" s="32"/>
    </row>
    <row r="525" spans="2:5" ht="20.05" customHeight="1" x14ac:dyDescent="0.45">
      <c r="B525" s="17" t="s">
        <v>227</v>
      </c>
      <c r="C525" s="126" t="str">
        <f>IF(cluster_wld_domain_chosen&lt;&gt;"MGMT Workload Domain",CONCATENATE(this_instance,"01-w0",wld_domain_number_chosen,"-r07-esx07",".",sample_child_dns_zone),CONCATENATE(this_instance,"01-m01-r07-esx07",".",sample_child_dns_zone))</f>
        <v>sfo01-w01-r07-esx07.sfo.rainpole.io</v>
      </c>
      <c r="D525" s="347"/>
      <c r="E525" s="32"/>
    </row>
    <row r="526" spans="2:5" ht="20.05" customHeight="1" x14ac:dyDescent="0.45">
      <c r="B526" s="17" t="s">
        <v>229</v>
      </c>
      <c r="C526" s="126" t="str">
        <f>IF(cluster_wld_domain_chosen&lt;&gt;"MGMT Workload Domain",CONCATENATE(this_instance,"01-w0",wld_domain_number_chosen,"-r07-esx08",".",sample_child_dns_zone),CONCATENATE(this_instance,"01-m01-r07-esx08",".",sample_child_dns_zone))</f>
        <v>sfo01-w01-r07-esx08.sfo.rainpole.io</v>
      </c>
      <c r="D526" s="347"/>
      <c r="E526" s="32"/>
    </row>
    <row r="527" spans="2:5" ht="20.05" customHeight="1" x14ac:dyDescent="0.45">
      <c r="B527" s="17" t="s">
        <v>231</v>
      </c>
      <c r="C527" s="126" t="str">
        <f>IF(cluster_wld_domain_chosen&lt;&gt;"MGMT Workload Domain",CONCATENATE(this_instance,"01-w0",wld_domain_number_chosen,"-r07-esx09",".",sample_child_dns_zone),CONCATENATE(this_instance,"01-m01-r07-esx09",".",sample_child_dns_zone))</f>
        <v>sfo01-w01-r07-esx09.sfo.rainpole.io</v>
      </c>
      <c r="D527" s="347"/>
      <c r="E527" s="32"/>
    </row>
    <row r="528" spans="2:5" ht="20.05" customHeight="1" x14ac:dyDescent="0.45">
      <c r="B528" s="17" t="s">
        <v>233</v>
      </c>
      <c r="C528" s="126" t="str">
        <f>IF(cluster_wld_domain_chosen&lt;&gt;"MGMT Workload Domain",CONCATENATE(this_instance,"01-w0",wld_domain_number_chosen,"-r07-esx10",".",sample_child_dns_zone),CONCATENATE(this_instance,"01-m01-r07-esx10",".",sample_child_dns_zone))</f>
        <v>sfo01-w01-r07-esx10.sfo.rainpole.io</v>
      </c>
      <c r="D528" s="347"/>
      <c r="E528" s="32"/>
    </row>
    <row r="529" spans="2:5" ht="20.05" customHeight="1" x14ac:dyDescent="0.45">
      <c r="B529" s="17" t="s">
        <v>235</v>
      </c>
      <c r="C529" s="126" t="str">
        <f>IF(cluster_wld_domain_chosen&lt;&gt;"MGMT Workload Domain",CONCATENATE(this_instance,"01-w0",wld_domain_number_chosen,"-r07-esx11",".",sample_child_dns_zone),CONCATENATE(this_instance,"01-m01-r07-esx11",".",sample_child_dns_zone))</f>
        <v>sfo01-w01-r07-esx11.sfo.rainpole.io</v>
      </c>
      <c r="D529" s="347"/>
      <c r="E529" s="32"/>
    </row>
    <row r="530" spans="2:5" ht="20.05" customHeight="1" x14ac:dyDescent="0.45">
      <c r="B530" s="17" t="s">
        <v>237</v>
      </c>
      <c r="C530" s="126" t="str">
        <f>IF(cluster_wld_domain_chosen&lt;&gt;"MGMT Workload Domain",CONCATENATE(this_instance,"01-w0",wld_domain_number_chosen,"-r07-esx12",".",sample_child_dns_zone),CONCATENATE(this_instance,"01-m01-r07-esx12",".",sample_child_dns_zone))</f>
        <v>sfo01-w01-r07-esx12.sfo.rainpole.io</v>
      </c>
      <c r="D530" s="347"/>
      <c r="E530" s="32"/>
    </row>
    <row r="531" spans="2:5" ht="20.05" customHeight="1" x14ac:dyDescent="0.45">
      <c r="B531" s="17" t="s">
        <v>239</v>
      </c>
      <c r="C531" s="126" t="str">
        <f>IF(cluster_wld_domain_chosen&lt;&gt;"MGMT Workload Domain",CONCATENATE(this_instance,"01-w0",wld_domain_number_chosen,"-r07-esx13",".",sample_child_dns_zone),CONCATENATE(this_instance,"01-m01-r07-esx13",".",sample_child_dns_zone))</f>
        <v>sfo01-w01-r07-esx13.sfo.rainpole.io</v>
      </c>
      <c r="D531" s="347"/>
      <c r="E531" s="32"/>
    </row>
    <row r="532" spans="2:5" ht="20.05" customHeight="1" x14ac:dyDescent="0.45">
      <c r="B532" s="17" t="s">
        <v>241</v>
      </c>
      <c r="C532" s="126" t="str">
        <f>IF(cluster_wld_domain_chosen&lt;&gt;"MGMT Workload Domain",CONCATENATE(this_instance,"01-w0",wld_domain_number_chosen,"-r07-esx14",".",sample_child_dns_zone),CONCATENATE(this_instance,"01-m01-r07-esx14",".",sample_child_dns_zone))</f>
        <v>sfo01-w01-r07-esx14.sfo.rainpole.io</v>
      </c>
      <c r="D532" s="347"/>
      <c r="E532" s="32"/>
    </row>
    <row r="533" spans="2:5" ht="20.05" customHeight="1" x14ac:dyDescent="0.45">
      <c r="B533" s="17" t="s">
        <v>243</v>
      </c>
      <c r="C533" s="126" t="str">
        <f>IF(cluster_wld_domain_chosen&lt;&gt;"MGMT Workload Domain",CONCATENATE(this_instance,"01-w0",wld_domain_number_chosen,"-r07-esx14",".",sample_child_dns_zone),CONCATENATE(this_instance,"01-m01-r07-esx15",".",sample_child_dns_zone))</f>
        <v>sfo01-w01-r07-esx14.sfo.rainpole.io</v>
      </c>
      <c r="D533" s="347"/>
      <c r="E533" s="32"/>
    </row>
    <row r="534" spans="2:5" ht="20.05" customHeight="1" x14ac:dyDescent="0.45">
      <c r="B534" s="17" t="s">
        <v>245</v>
      </c>
      <c r="C534" s="126" t="str">
        <f>IF(cluster_wld_domain_chosen&lt;&gt;"MGMT Workload Domain",CONCATENATE(this_instance,"01-w0",wld_domain_number_chosen,"-r07-esx16",".",sample_child_dns_zone),CONCATENATE(this_instance,"01-m01-r07-esx16",".",sample_child_dns_zone))</f>
        <v>sfo01-w01-r07-esx16.sfo.rainpole.io</v>
      </c>
      <c r="D534" s="347"/>
      <c r="E534" s="32"/>
    </row>
    <row r="535" spans="2:5" ht="20.05" customHeight="1" x14ac:dyDescent="0.45">
      <c r="B535" s="17" t="s">
        <v>264</v>
      </c>
      <c r="C535" s="126" t="s">
        <v>762</v>
      </c>
      <c r="D535" s="337" t="s">
        <v>265</v>
      </c>
      <c r="E535" s="32"/>
    </row>
    <row r="536" spans="2:5" ht="20.05" customHeight="1" x14ac:dyDescent="0.45">
      <c r="B536" s="17" t="s">
        <v>266</v>
      </c>
      <c r="C536" s="126" t="s">
        <v>267</v>
      </c>
      <c r="D536"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536" s="4"/>
    </row>
    <row r="537" spans="2:5" ht="20.05" customHeight="1" x14ac:dyDescent="0.45">
      <c r="B537" s="17" t="s">
        <v>268</v>
      </c>
      <c r="C537" s="126" t="s">
        <v>159</v>
      </c>
      <c r="D537" s="337" t="str">
        <f>IF(AND(vcf_granular_option_chosen="Create Cluster",cluster_principal_storage_chosen="vSAN-ESA"),"Selected",
IF(AND(vcf_granular_option_chosen="Create VI Workload Domain",wld_principal_storage_chosen="vSAN-ESA"),"Selected","Unselected"))</f>
        <v>Unselected</v>
      </c>
      <c r="E537" s="32"/>
    </row>
    <row r="538" spans="2:5" ht="20.05" customHeight="1" x14ac:dyDescent="0.45">
      <c r="B538" s="17" t="s">
        <v>250</v>
      </c>
      <c r="C538" s="126" t="str">
        <f>sample_wld_az1_rack7_pool_name</f>
        <v>sfo01-w01-r07-network-pool-01</v>
      </c>
      <c r="D538" s="337" t="str">
        <f>wld_az1_rack7_pool_name</f>
        <v>Value Missing</v>
      </c>
      <c r="E538" s="32"/>
    </row>
    <row r="539" spans="2:5" ht="20.05" customHeight="1" x14ac:dyDescent="0.45">
      <c r="B539" s="17" t="s">
        <v>46</v>
      </c>
      <c r="C539" s="126" t="s">
        <v>269</v>
      </c>
      <c r="D539"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539" s="32"/>
    </row>
    <row r="540" spans="2:5" ht="20.05" customHeight="1" x14ac:dyDescent="0.45">
      <c r="B540" s="17" t="s">
        <v>29</v>
      </c>
      <c r="C540" s="126" t="s">
        <v>30</v>
      </c>
      <c r="D540" s="337"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540" s="32"/>
    </row>
    <row r="541" spans="2:5" ht="16" customHeight="1" x14ac:dyDescent="0.45"/>
    <row r="542" spans="2:5" ht="34" customHeight="1" x14ac:dyDescent="0.45">
      <c r="B542" s="509" t="s">
        <v>2968</v>
      </c>
      <c r="C542" s="510"/>
      <c r="D542" s="510"/>
      <c r="E542" s="511"/>
    </row>
    <row r="543" spans="2:5" ht="20.05" customHeight="1" x14ac:dyDescent="0.45">
      <c r="B543" s="4" t="s">
        <v>337</v>
      </c>
      <c r="C543" s="89" t="str">
        <f>IF(vcf_granular_option_chosen="Create Cluster",CONCATENATE(this_instance,"01-",sample_cluster_name,"-r07-network-profile"),
IF(cluster_wld_domain_chosen="VI Workload Domain",CONCATENATE(this_instance,"01-",sample_wld_cl01_cluster,"-r07-network-profile"),
CONCATENATE(this_instance,"01-",sample_mgmt_cl01_cluster,"-r07-network-profile")))</f>
        <v>sfo01-sfo-w01-cl01-r07-network-profile</v>
      </c>
      <c r="D543" s="347"/>
      <c r="E543" s="80"/>
    </row>
    <row r="544" spans="2:5" ht="20.05" customHeight="1" x14ac:dyDescent="0.45">
      <c r="B544" s="4" t="s">
        <v>2936</v>
      </c>
      <c r="C544" s="362" t="s">
        <v>339</v>
      </c>
      <c r="D544" s="127" t="s">
        <v>339</v>
      </c>
      <c r="E544" s="4" t="str">
        <f>IF(wld_az1_rack7_host_overlay_new_pool_chosen="Re-use an existing Pool","An exisitng Pool will be reused for Host TEP assignment","A new Pool will be created for Host TEP assignment")</f>
        <v>A new Pool will be created for Host TEP assignment</v>
      </c>
    </row>
    <row r="545" spans="2:5" ht="20.05" customHeight="1" x14ac:dyDescent="0.45">
      <c r="B545" s="4" t="s">
        <v>340</v>
      </c>
      <c r="C545" s="89" t="str">
        <f>IF(cluster_wld_domain_chosen="VI Workload Domain",CONCATENATE(this_instance,"01-w0",wld_domain_number_chosen,"-r07-ip-pool01-host"),CONCATENATE(this_instance,"01-m01","-r07-ip-pool01-host"))</f>
        <v>sfo01-w01-r07-ip-pool01-host</v>
      </c>
      <c r="D545" s="347"/>
      <c r="E545" s="80"/>
    </row>
    <row r="546" spans="2:5" ht="20.05" customHeight="1" x14ac:dyDescent="0.45">
      <c r="B546" s="4" t="s">
        <v>341</v>
      </c>
      <c r="C546" s="89" t="str">
        <f>IF(cluster_wld_domain_chosen="VI Workload Domain",CONCATENATE(this_instance,"01-w0",wld_domain_number_chosen,"-r07-uplink-profile01"),CONCATENATE(this_instance,"01-m01","-r07-uplink-profile01"))</f>
        <v>sfo01-w01-r07-uplink-profile01</v>
      </c>
      <c r="D546" s="347"/>
      <c r="E546" s="80"/>
    </row>
    <row r="547" spans="2:5" ht="20.05" customHeight="1" x14ac:dyDescent="0.45">
      <c r="B547" s="4" t="s">
        <v>2937</v>
      </c>
      <c r="C547" s="89" t="str">
        <f>IF(cluster_wld_domain_chosen="VI Workload Domain",CONCATENATE(this_instance,"01-w0",wld_domain_number_chosen,"-r07-ip-pool02-edge"),CONCATENATE(this_instance,"01-m01","-r07-ip-pool02-edge"))</f>
        <v>sfo01-w01-r07-ip-pool02-edge</v>
      </c>
      <c r="D547" s="347"/>
      <c r="E547" s="80"/>
    </row>
    <row r="548" spans="2:5" ht="20.05" customHeight="1" x14ac:dyDescent="0.45">
      <c r="B548" s="4" t="s">
        <v>2938</v>
      </c>
      <c r="C548" s="89" t="str">
        <f>IF(cluster_wld_domain_chosen="VI Workload Domain",CONCATENATE(this_instance,"01-w0",wld_domain_number_chosen,"-r07-ip-pool03-rtep"),CONCATENATE(this_instance,"01-m01","-r07-ip-pool03-rtep"))</f>
        <v>sfo01-w01-r07-ip-pool03-rtep</v>
      </c>
      <c r="D548" s="347"/>
      <c r="E548" s="80"/>
    </row>
    <row r="549" spans="2:5" ht="20.05" customHeight="1" x14ac:dyDescent="0.45">
      <c r="B549" s="512" t="s">
        <v>834</v>
      </c>
      <c r="C549" s="513"/>
      <c r="D549" s="513"/>
      <c r="E549" s="514"/>
    </row>
    <row r="550" spans="2:5" ht="20.05" customHeight="1" x14ac:dyDescent="0.45">
      <c r="B550" s="207" t="s">
        <v>261</v>
      </c>
      <c r="C550" s="207" t="s">
        <v>262</v>
      </c>
      <c r="D550" s="239" t="s">
        <v>19</v>
      </c>
      <c r="E550" s="207" t="s">
        <v>20</v>
      </c>
    </row>
    <row r="551" spans="2:5" ht="20.05" customHeight="1" x14ac:dyDescent="0.45">
      <c r="B551" s="4" t="s">
        <v>1448</v>
      </c>
      <c r="C551" s="80" t="str">
        <f>IF(cluster_wld_domain_chosen&lt;&gt;"MGMT Workload Domain",CONCATENATE(this_instance,"-w0",wld_domain_number_chosen,"-r07","-vsan-fault-domain"),CONCATENATE(this_instance,"-m01","-r07","-vsan-fault-domain"))</f>
        <v>sfo-w01-r07-vsan-fault-domain</v>
      </c>
      <c r="D551" s="347"/>
      <c r="E551" s="337"/>
    </row>
    <row r="552" spans="2:5" ht="16" customHeight="1" x14ac:dyDescent="0.45"/>
    <row r="553" spans="2:5" ht="34" customHeight="1" x14ac:dyDescent="0.45">
      <c r="B553" s="509" t="s">
        <v>2969</v>
      </c>
      <c r="C553" s="510"/>
      <c r="D553" s="510"/>
      <c r="E553" s="511"/>
    </row>
    <row r="554" spans="2:5" ht="20.05" customHeight="1" x14ac:dyDescent="0.45">
      <c r="B554" s="43" t="s">
        <v>261</v>
      </c>
      <c r="C554" s="43" t="s">
        <v>262</v>
      </c>
      <c r="D554" s="130" t="s">
        <v>19</v>
      </c>
      <c r="E554" s="43" t="s">
        <v>20</v>
      </c>
    </row>
    <row r="555" spans="2:5" ht="20.05" customHeight="1" x14ac:dyDescent="0.45">
      <c r="B555" s="496" t="s">
        <v>938</v>
      </c>
      <c r="C555" s="497"/>
      <c r="D555" s="497"/>
      <c r="E555" s="498"/>
    </row>
    <row r="556" spans="2:5" ht="20.05" customHeight="1" x14ac:dyDescent="0.45">
      <c r="B556" s="4" t="s">
        <v>85</v>
      </c>
      <c r="C556" s="362" t="str">
        <f>IF(cluster_wld_domain_chosen&lt;&gt;"MGMT Workload Domain",CONCATENATE(prefix_wld_az1_rack_vlan,"80"),CONCATENATE(prefix_mgmt_az1_vlan,"80"))</f>
        <v>1380</v>
      </c>
      <c r="D556" s="347"/>
      <c r="E556" s="93"/>
    </row>
    <row r="557" spans="2:5" ht="20.05" customHeight="1" x14ac:dyDescent="0.45">
      <c r="B557" s="4" t="s">
        <v>160</v>
      </c>
      <c r="C557" s="362">
        <v>9000</v>
      </c>
      <c r="D557" s="347"/>
      <c r="E557" s="32"/>
    </row>
    <row r="558" spans="2:5" ht="20.05" customHeight="1" x14ac:dyDescent="0.45">
      <c r="B558" s="4" t="s">
        <v>188</v>
      </c>
      <c r="C558" s="362" t="str">
        <f>IF(cluster_wld_domain_chosen&lt;&gt;"MGMT Workload Domain",CONCATENATE(prefix_wld_az1_rack_cidr,"80.0"),CONCATENATE(prefix_mgmt_az1_cidr,"80.0"))</f>
        <v>10.13.80.0</v>
      </c>
      <c r="D558" s="347"/>
      <c r="E558" s="32"/>
    </row>
    <row r="559" spans="2:5" ht="20.05" customHeight="1" x14ac:dyDescent="0.45">
      <c r="B559" s="4" t="s">
        <v>285</v>
      </c>
      <c r="C559" s="362" t="s">
        <v>128</v>
      </c>
      <c r="D559" s="347"/>
      <c r="E559" s="32"/>
    </row>
    <row r="560" spans="2:5" ht="20.05" customHeight="1" x14ac:dyDescent="0.45">
      <c r="B560" s="4" t="s">
        <v>187</v>
      </c>
      <c r="C560" s="362" t="str">
        <f>IF(cluster_wld_domain_chosen&lt;&gt;"MGMT Workload Domain",CONCATENATE(prefix_wld_az1_rack_cidr,"80.1"),CONCATENATE(prefix_mgmt_az1_cidr,"80.1"))</f>
        <v>10.13.80.1</v>
      </c>
      <c r="D560" s="347"/>
      <c r="E560" s="32"/>
    </row>
    <row r="561" spans="2:5" ht="20.05" customHeight="1" x14ac:dyDescent="0.45">
      <c r="B561" s="17" t="s">
        <v>255</v>
      </c>
      <c r="C561" s="362" t="str">
        <f>IF(cluster_wld_domain_chosen&lt;&gt;"MGMT Workload Domain",CONCATENATE(prefix_wld_az1_rack_cidr,"80.101"),CONCATENATE(prefix_mgmt_az1_cidr,"80.101"))</f>
        <v>10.13.80.101</v>
      </c>
      <c r="D561" s="347"/>
      <c r="E561" s="100" t="s">
        <v>2970</v>
      </c>
    </row>
    <row r="562" spans="2:5" ht="20.05" customHeight="1" x14ac:dyDescent="0.45">
      <c r="B562" s="17" t="s">
        <v>256</v>
      </c>
      <c r="C562" s="362" t="str">
        <f>IF(cluster_wld_domain_chosen&lt;&gt;"MGMT Workload Domain",CONCATENATE(prefix_wld_az1_rack_cidr,"80.116"),CONCATENATE(prefix_mgmt_az1_cidr,"80.116"))</f>
        <v>10.13.80.116</v>
      </c>
      <c r="D562" s="347"/>
      <c r="E562" s="100" t="s">
        <v>2971</v>
      </c>
    </row>
    <row r="563" spans="2:5" ht="16" customHeight="1" x14ac:dyDescent="0.45"/>
    <row r="564" spans="2:5" ht="34" customHeight="1" x14ac:dyDescent="0.45">
      <c r="B564" s="509" t="s">
        <v>2972</v>
      </c>
      <c r="C564" s="510"/>
      <c r="D564" s="510"/>
      <c r="E564" s="511"/>
    </row>
    <row r="565" spans="2:5" ht="20.05" customHeight="1" x14ac:dyDescent="0.45">
      <c r="B565" s="43" t="s">
        <v>261</v>
      </c>
      <c r="C565" s="43" t="s">
        <v>262</v>
      </c>
      <c r="D565" s="130" t="s">
        <v>19</v>
      </c>
      <c r="E565" s="43" t="s">
        <v>20</v>
      </c>
    </row>
    <row r="566" spans="2:5" ht="20.05" customHeight="1" x14ac:dyDescent="0.45">
      <c r="B566" s="496" t="s">
        <v>213</v>
      </c>
      <c r="C566" s="497"/>
      <c r="D566" s="497"/>
      <c r="E566" s="498"/>
    </row>
    <row r="567" spans="2:5" ht="20.05" customHeight="1" x14ac:dyDescent="0.45">
      <c r="B567" s="4" t="s">
        <v>85</v>
      </c>
      <c r="C567" s="362" t="str">
        <f>IF(cluster_wld_domain_chosen&lt;&gt;"MGMT Workload Domain",CONCATENATE(prefix_wld_az1_rack_vlan,"88"),CONCATENATE(prefix_mgmt_az1_vlan,"88"))</f>
        <v>1388</v>
      </c>
      <c r="D567" s="347"/>
      <c r="E567" s="93"/>
    </row>
    <row r="568" spans="2:5" ht="20.05" customHeight="1" x14ac:dyDescent="0.45">
      <c r="B568" s="4" t="s">
        <v>187</v>
      </c>
      <c r="C568" s="362" t="str">
        <f>IF(cluster_wld_domain_chosen&lt;&gt;"MGMT Workload Domain",CONCATENATE(prefix_wld_az1_rack_cidr,"88.1"),CONCATENATE(prefix_mgmt_az1_cidr,"88.1"))</f>
        <v>10.13.88.1</v>
      </c>
      <c r="D568" s="347"/>
      <c r="E568" s="32"/>
    </row>
    <row r="569" spans="2:5" ht="20.05" customHeight="1" x14ac:dyDescent="0.45">
      <c r="B569" s="4" t="s">
        <v>188</v>
      </c>
      <c r="C569" s="362" t="str">
        <f>IF(cluster_wld_domain_chosen&lt;&gt;"MGMT Workload Domain",CONCATENATE(prefix_wld_az1_rack_cidr,"88.0/24"),CONCATENATE(prefix_mgmt_az1_cidr,"88.0/24"))</f>
        <v>10.13.88.0/24</v>
      </c>
      <c r="D569" s="347"/>
      <c r="E569" s="32"/>
    </row>
    <row r="570" spans="2:5" ht="20.05" customHeight="1" x14ac:dyDescent="0.45">
      <c r="B570" s="4" t="s">
        <v>160</v>
      </c>
      <c r="C570" s="362">
        <v>1500</v>
      </c>
      <c r="D570" s="347"/>
      <c r="E570" s="32"/>
    </row>
    <row r="571" spans="2:5" ht="20.05" customHeight="1" x14ac:dyDescent="0.45">
      <c r="B571" s="512" t="s">
        <v>214</v>
      </c>
      <c r="C571" s="513"/>
      <c r="D571" s="513"/>
      <c r="E571" s="514"/>
    </row>
    <row r="572" spans="2:5" ht="20.05" customHeight="1" x14ac:dyDescent="0.45">
      <c r="B572" s="17" t="s">
        <v>215</v>
      </c>
      <c r="C572" s="126" t="str">
        <f>IF(cluster_wld_domain_chosen&lt;&gt;"MGMT Workload Domain",CONCATENATE(prefix_wld_az1_rack_cidr,"88.101"),CONCATENATE(prefix_mgmt_az1_cidr,"88.101"))</f>
        <v>10.13.88.101</v>
      </c>
      <c r="D572" s="347"/>
      <c r="E572" s="100" t="s">
        <v>216</v>
      </c>
    </row>
    <row r="573" spans="2:5" ht="20.05" customHeight="1" x14ac:dyDescent="0.45">
      <c r="B573" s="17" t="s">
        <v>217</v>
      </c>
      <c r="C573" s="126" t="str">
        <f>IF(cluster_wld_domain_chosen&lt;&gt;"MGMT Workload Domain",CONCATENATE(prefix_wld_az1_rack_cidr,"88.102"),CONCATENATE(prefix_mgmt_az1_cidr,"88.102"))</f>
        <v>10.13.88.102</v>
      </c>
      <c r="D573" s="347"/>
      <c r="E573" s="100" t="s">
        <v>218</v>
      </c>
    </row>
    <row r="574" spans="2:5" ht="20.05" customHeight="1" x14ac:dyDescent="0.45">
      <c r="B574" s="17" t="s">
        <v>219</v>
      </c>
      <c r="C574" s="126" t="str">
        <f>IF(cluster_wld_domain_chosen&lt;&gt;"MGMT Workload Domain",CONCATENATE(prefix_wld_az1_rack_cidr,"88.103"),CONCATENATE(prefix_mgmt_az1_cidr,"88.103"))</f>
        <v>10.13.88.103</v>
      </c>
      <c r="D574" s="347"/>
      <c r="E574" s="100" t="s">
        <v>220</v>
      </c>
    </row>
    <row r="575" spans="2:5" ht="20.05" customHeight="1" x14ac:dyDescent="0.45">
      <c r="B575" s="17" t="s">
        <v>221</v>
      </c>
      <c r="C575" s="126" t="str">
        <f>IF(cluster_wld_domain_chosen&lt;&gt;"MGMT Workload Domain",CONCATENATE(prefix_wld_az1_rack_cidr,"88.104"),CONCATENATE(prefix_mgmt_az1_cidr,"88.104"))</f>
        <v>10.13.88.104</v>
      </c>
      <c r="D575" s="347"/>
      <c r="E575" s="100" t="s">
        <v>222</v>
      </c>
    </row>
    <row r="576" spans="2:5" ht="20.05" customHeight="1" x14ac:dyDescent="0.45">
      <c r="B576" s="17" t="s">
        <v>223</v>
      </c>
      <c r="C576" s="126" t="str">
        <f>IF(cluster_wld_domain_chosen&lt;&gt;"MGMT Workload Domain",CONCATENATE(prefix_wld_az1_rack_cidr,"88.105"),CONCATENATE(prefix_mgmt_az1_cidr,"88.105"))</f>
        <v>10.13.88.105</v>
      </c>
      <c r="D576" s="347"/>
      <c r="E576" s="100" t="s">
        <v>224</v>
      </c>
    </row>
    <row r="577" spans="2:5" ht="20.05" customHeight="1" x14ac:dyDescent="0.45">
      <c r="B577" s="17" t="s">
        <v>225</v>
      </c>
      <c r="C577" s="126" t="str">
        <f>IF(cluster_wld_domain_chosen&lt;&gt;"MGMT Workload Domain",CONCATENATE(prefix_wld_az1_rack_cidr,"88.106"),CONCATENATE(prefix_mgmt_az1_cidr,"88.106"))</f>
        <v>10.13.88.106</v>
      </c>
      <c r="D577" s="347"/>
      <c r="E577" s="100" t="s">
        <v>226</v>
      </c>
    </row>
    <row r="578" spans="2:5" ht="20.05" customHeight="1" x14ac:dyDescent="0.45">
      <c r="B578" s="17" t="s">
        <v>227</v>
      </c>
      <c r="C578" s="126" t="str">
        <f>IF(cluster_wld_domain_chosen&lt;&gt;"MGMT Workload Domain",CONCATENATE(prefix_wld_az1_rack_cidr,"88.107"),CONCATENATE(prefix_mgmt_az1_cidr,"88.107"))</f>
        <v>10.13.88.107</v>
      </c>
      <c r="D578" s="347"/>
      <c r="E578" s="100" t="s">
        <v>228</v>
      </c>
    </row>
    <row r="579" spans="2:5" ht="20.05" customHeight="1" x14ac:dyDescent="0.45">
      <c r="B579" s="17" t="s">
        <v>229</v>
      </c>
      <c r="C579" s="126" t="str">
        <f>IF(cluster_wld_domain_chosen&lt;&gt;"MGMT Workload Domain",CONCATENATE(prefix_wld_az1_rack_cidr,"88.108"),CONCATENATE(prefix_mgmt_az1_cidr,"88.108"))</f>
        <v>10.13.88.108</v>
      </c>
      <c r="D579" s="347"/>
      <c r="E579" s="100" t="s">
        <v>230</v>
      </c>
    </row>
    <row r="580" spans="2:5" ht="20.05" customHeight="1" x14ac:dyDescent="0.45">
      <c r="B580" s="17" t="s">
        <v>231</v>
      </c>
      <c r="C580" s="126" t="str">
        <f>IF(cluster_wld_domain_chosen&lt;&gt;"MGMT Workload Domain",CONCATENATE(prefix_wld_az1_rack_cidr,"88.109"),CONCATENATE(prefix_mgmt_az1_cidr,"88.109"))</f>
        <v>10.13.88.109</v>
      </c>
      <c r="D580" s="347"/>
      <c r="E580" s="100" t="s">
        <v>232</v>
      </c>
    </row>
    <row r="581" spans="2:5" ht="20.05" customHeight="1" x14ac:dyDescent="0.45">
      <c r="B581" s="17" t="s">
        <v>233</v>
      </c>
      <c r="C581" s="126" t="str">
        <f>IF(cluster_wld_domain_chosen&lt;&gt;"MGMT Workload Domain",CONCATENATE(prefix_wld_az1_rack_cidr,"88.110"),CONCATENATE(prefix_mgmt_az1_cidr,"88.110"))</f>
        <v>10.13.88.110</v>
      </c>
      <c r="D581" s="347"/>
      <c r="E581" s="100" t="s">
        <v>234</v>
      </c>
    </row>
    <row r="582" spans="2:5" ht="20.05" customHeight="1" x14ac:dyDescent="0.45">
      <c r="B582" s="17" t="s">
        <v>235</v>
      </c>
      <c r="C582" s="126" t="str">
        <f>IF(cluster_wld_domain_chosen&lt;&gt;"MGMT Workload Domain",CONCATENATE(prefix_wld_az1_rack_cidr,"88.111"),CONCATENATE(prefix_mgmt_az1_cidr,"88.111"))</f>
        <v>10.13.88.111</v>
      </c>
      <c r="D582" s="347"/>
      <c r="E582" s="100" t="s">
        <v>236</v>
      </c>
    </row>
    <row r="583" spans="2:5" ht="20.05" customHeight="1" x14ac:dyDescent="0.45">
      <c r="B583" s="17" t="s">
        <v>237</v>
      </c>
      <c r="C583" s="126" t="str">
        <f>IF(cluster_wld_domain_chosen&lt;&gt;"MGMT Workload Domain",CONCATENATE(prefix_wld_az1_rack_cidr,"88.112"),CONCATENATE(prefix_mgmt_az1_cidr,"88.112"))</f>
        <v>10.13.88.112</v>
      </c>
      <c r="D583" s="347"/>
      <c r="E583" s="100" t="s">
        <v>238</v>
      </c>
    </row>
    <row r="584" spans="2:5" ht="20.05" customHeight="1" x14ac:dyDescent="0.45">
      <c r="B584" s="17" t="s">
        <v>239</v>
      </c>
      <c r="C584" s="126" t="str">
        <f>IF(cluster_wld_domain_chosen&lt;&gt;"MGMT Workload Domain",CONCATENATE(prefix_wld_az1_rack_cidr,"88.113"),CONCATENATE(prefix_mgmt_az1_cidr,"88.113"))</f>
        <v>10.13.88.113</v>
      </c>
      <c r="D584" s="347"/>
      <c r="E584" s="100" t="s">
        <v>240</v>
      </c>
    </row>
    <row r="585" spans="2:5" ht="20.05" customHeight="1" x14ac:dyDescent="0.45">
      <c r="B585" s="17" t="s">
        <v>241</v>
      </c>
      <c r="C585" s="126" t="str">
        <f>IF(cluster_wld_domain_chosen&lt;&gt;"MGMT Workload Domain",CONCATENATE(prefix_wld_az1_rack_cidr,"88.114"),CONCATENATE(prefix_mgmt_az1_cidr,"88.114"))</f>
        <v>10.13.88.114</v>
      </c>
      <c r="D585" s="347"/>
      <c r="E585" s="100" t="s">
        <v>242</v>
      </c>
    </row>
    <row r="586" spans="2:5" ht="20.05" customHeight="1" x14ac:dyDescent="0.45">
      <c r="B586" s="17" t="s">
        <v>243</v>
      </c>
      <c r="C586" s="126" t="str">
        <f>IF(cluster_wld_domain_chosen&lt;&gt;"MGMT Workload Domain",CONCATENATE(prefix_wld_az1_rack_cidr,"88.115"),CONCATENATE(prefix_mgmt_az1_cidr,"88.115"))</f>
        <v>10.13.88.115</v>
      </c>
      <c r="D586" s="347"/>
      <c r="E586" s="100" t="s">
        <v>244</v>
      </c>
    </row>
    <row r="587" spans="2:5" ht="20.05" customHeight="1" x14ac:dyDescent="0.45">
      <c r="B587" s="17" t="s">
        <v>245</v>
      </c>
      <c r="C587" s="126" t="str">
        <f>IF(cluster_wld_domain_chosen&lt;&gt;"MGMT Workload Domain",CONCATENATE(prefix_wld_az1_rack_cidr,"88.116"),CONCATENATE(prefix_mgmt_az1_cidr,"88.116"))</f>
        <v>10.13.88.116</v>
      </c>
      <c r="D587" s="347"/>
      <c r="E587" s="100" t="s">
        <v>246</v>
      </c>
    </row>
    <row r="588" spans="2:5" ht="16" customHeight="1" x14ac:dyDescent="0.45">
      <c r="B588" s="8"/>
      <c r="C588" s="8"/>
      <c r="D588" s="8"/>
      <c r="E588" s="8"/>
    </row>
    <row r="589" spans="2:5" ht="34" customHeight="1" x14ac:dyDescent="0.45">
      <c r="B589" s="509" t="s">
        <v>2973</v>
      </c>
      <c r="C589" s="510"/>
      <c r="D589" s="510"/>
      <c r="E589" s="511"/>
    </row>
    <row r="590" spans="2:5" ht="20.05" customHeight="1" x14ac:dyDescent="0.45">
      <c r="B590" s="43" t="s">
        <v>261</v>
      </c>
      <c r="C590" s="43" t="s">
        <v>262</v>
      </c>
      <c r="D590" s="130" t="s">
        <v>19</v>
      </c>
      <c r="E590" s="43" t="s">
        <v>20</v>
      </c>
    </row>
    <row r="591" spans="2:5" ht="20.05" customHeight="1" x14ac:dyDescent="0.45">
      <c r="B591" s="4" t="s">
        <v>2929</v>
      </c>
      <c r="C591" s="362" t="s">
        <v>249</v>
      </c>
      <c r="D591" s="127" t="s">
        <v>249</v>
      </c>
      <c r="E591" s="4" t="str">
        <f>IF(wld_az1_rack7_reuse_vcf_networkpool_chosen="Re-use an existing  VCF Network Pool","An exisiting VCF Network Pool will be reused for Host TEP assignment","A new VCF Network Pool will be created")</f>
        <v>A new VCF Network Pool will be created</v>
      </c>
    </row>
    <row r="592" spans="2:5" ht="20.05" customHeight="1" x14ac:dyDescent="0.45">
      <c r="B592" s="17" t="s">
        <v>250</v>
      </c>
      <c r="C592" s="89" t="str">
        <f>IF(cluster_wld_domain_chosen="VI Workload Domain",CONCATENATE(this_instance,"01-w0",wld_domain_number_chosen,"-r08-network-pool-01"),CONCATENATE(this_instance,"01-m01","-r08-network-pool-01"))</f>
        <v>sfo01-w01-r08-network-pool-01</v>
      </c>
      <c r="D592" s="347"/>
      <c r="E592" s="32"/>
    </row>
    <row r="593" spans="2:5" ht="20.05" customHeight="1" x14ac:dyDescent="0.45">
      <c r="B593" s="496" t="s">
        <v>251</v>
      </c>
      <c r="C593" s="497"/>
      <c r="D593" s="497"/>
      <c r="E593" s="498"/>
    </row>
    <row r="594" spans="2:5" ht="20.05" customHeight="1" x14ac:dyDescent="0.45">
      <c r="B594" s="4" t="s">
        <v>85</v>
      </c>
      <c r="C594" s="362" t="str">
        <f>IF(cluster_wld_domain_chosen&lt;&gt;"MGMT Workload Domain",CONCATENATE(prefix_wld_az1_rack_vlan,"89"),CONCATENATE(prefix_mgmt_az1_vlan,"89"))</f>
        <v>1389</v>
      </c>
      <c r="D594" s="347"/>
      <c r="E594" s="93"/>
    </row>
    <row r="595" spans="2:5" ht="20.05" customHeight="1" x14ac:dyDescent="0.45">
      <c r="B595" s="4" t="s">
        <v>160</v>
      </c>
      <c r="C595" s="362">
        <v>9000</v>
      </c>
      <c r="D595" s="347"/>
      <c r="E595" s="32"/>
    </row>
    <row r="596" spans="2:5" ht="20.05" customHeight="1" x14ac:dyDescent="0.45">
      <c r="B596" s="4" t="s">
        <v>188</v>
      </c>
      <c r="C596" s="126" t="str">
        <f>IF(cluster_wld_domain_chosen&lt;&gt;"MGMT Workload Domain",CONCATENATE(prefix_wld_az1_rack_cidr,"89.0"),CONCATENATE(prefix_mgmt_az1_cidr,"89.0"))</f>
        <v>10.13.89.0</v>
      </c>
      <c r="D596" s="347"/>
      <c r="E596" s="32"/>
    </row>
    <row r="597" spans="2:5" ht="20.05" customHeight="1" x14ac:dyDescent="0.45">
      <c r="B597" s="4" t="s">
        <v>285</v>
      </c>
      <c r="C597" s="126" t="s">
        <v>128</v>
      </c>
      <c r="D597" s="347"/>
      <c r="E597" s="32"/>
    </row>
    <row r="598" spans="2:5" ht="20.05" customHeight="1" x14ac:dyDescent="0.45">
      <c r="B598" s="4" t="s">
        <v>187</v>
      </c>
      <c r="C598" s="362" t="str">
        <f>IF(cluster_wld_domain_chosen&lt;&gt;"MGMT Workload Domain",CONCATENATE(prefix_wld_az1_rack_cidr,"89.1"),CONCATENATE(prefix_mgmt_az1_cidr,"89.1"))</f>
        <v>10.13.89.1</v>
      </c>
      <c r="D598" s="347"/>
      <c r="E598" s="32"/>
    </row>
    <row r="599" spans="2:5" ht="20.05" customHeight="1" x14ac:dyDescent="0.45">
      <c r="B599" s="17" t="s">
        <v>255</v>
      </c>
      <c r="C599" s="362" t="str">
        <f>IF(cluster_wld_domain_chosen&lt;&gt;"MGMT Workload Domain",CONCATENATE(prefix_wld_az1_rack_cidr,"89.101"),CONCATENATE(prefix_mgmt_az1_cidr,"89.101"))</f>
        <v>10.13.89.101</v>
      </c>
      <c r="D599" s="347"/>
      <c r="E599" s="100" t="s">
        <v>2949</v>
      </c>
    </row>
    <row r="600" spans="2:5" ht="20.05" customHeight="1" x14ac:dyDescent="0.45">
      <c r="B600" s="17" t="s">
        <v>256</v>
      </c>
      <c r="C600" s="362" t="str">
        <f>IF(cluster_wld_domain_chosen&lt;&gt;"MGMT Workload Domain",CONCATENATE(prefix_wld_az1_rack_cidr,"89.116"),CONCATENATE(prefix_mgmt_az1_cidr,"89.116"))</f>
        <v>10.13.89.116</v>
      </c>
      <c r="D600" s="347"/>
      <c r="E600" s="100" t="s">
        <v>2950</v>
      </c>
    </row>
    <row r="601" spans="2:5" ht="20.05" customHeight="1" x14ac:dyDescent="0.45">
      <c r="B601" s="496" t="s">
        <v>257</v>
      </c>
      <c r="C601" s="497"/>
      <c r="D601" s="497"/>
      <c r="E601" s="498"/>
    </row>
    <row r="602" spans="2:5" ht="20.05" customHeight="1" x14ac:dyDescent="0.45">
      <c r="B602" s="4" t="s">
        <v>85</v>
      </c>
      <c r="C602" s="362" t="str">
        <f>IF(cluster_wld_domain_chosen&lt;&gt;"MGMT Workload Domain",CONCATENATE(prefix_wld_az1_rack_vlan,"90"),CONCATENATE(prefix_mgmt_az1_vlan,"90"))</f>
        <v>1390</v>
      </c>
      <c r="D602" s="347"/>
      <c r="E602" s="32"/>
    </row>
    <row r="603" spans="2:5" ht="20.05" customHeight="1" x14ac:dyDescent="0.45">
      <c r="B603" s="4" t="s">
        <v>160</v>
      </c>
      <c r="C603" s="362">
        <v>9000</v>
      </c>
      <c r="D603" s="347"/>
      <c r="E603" s="32"/>
    </row>
    <row r="604" spans="2:5" ht="20.05" customHeight="1" x14ac:dyDescent="0.45">
      <c r="B604" s="4" t="s">
        <v>188</v>
      </c>
      <c r="C604" s="126" t="str">
        <f>IF(cluster_wld_domain_chosen&lt;&gt;"MGMT Workload Domain",CONCATENATE(prefix_wld_az1_rack_cidr,"90.0"),CONCATENATE(prefix_mgmt_az1_cidr,"90.0"))</f>
        <v>10.13.90.0</v>
      </c>
      <c r="D604" s="347"/>
      <c r="E604" s="56"/>
    </row>
    <row r="605" spans="2:5" ht="20.05" customHeight="1" x14ac:dyDescent="0.45">
      <c r="B605" s="4" t="s">
        <v>285</v>
      </c>
      <c r="C605" s="126" t="s">
        <v>128</v>
      </c>
      <c r="D605" s="347"/>
      <c r="E605" s="32"/>
    </row>
    <row r="606" spans="2:5" ht="20.05" customHeight="1" x14ac:dyDescent="0.45">
      <c r="B606" s="4" t="s">
        <v>187</v>
      </c>
      <c r="C606" s="362" t="str">
        <f>IF(cluster_wld_domain_chosen&lt;&gt;"MGMT Workload Domain",CONCATENATE(prefix_wld_az1_rack_cidr,"90.1"),CONCATENATE(prefix_mgmt_az1_cidr,"90.1"))</f>
        <v>10.13.90.1</v>
      </c>
      <c r="D606" s="347"/>
      <c r="E606" s="32" t="str">
        <f>IF(AND(mgmt_stretched_cluster_result="Included",mgmt_dpg_reuse_result="Excluded"),"Stretched L2","")</f>
        <v/>
      </c>
    </row>
    <row r="607" spans="2:5" ht="20.05" customHeight="1" x14ac:dyDescent="0.45">
      <c r="B607" s="17" t="s">
        <v>255</v>
      </c>
      <c r="C607" s="362" t="str">
        <f>IF(cluster_wld_domain_chosen&lt;&gt;"MGMT Workload Domain",CONCATENATE(prefix_wld_az1_rack_cidr,"90.101"),CONCATENATE(prefix_mgmt_az1_cidr,"90.101"))</f>
        <v>10.13.90.101</v>
      </c>
      <c r="D607" s="347"/>
      <c r="E607" s="100" t="s">
        <v>2974</v>
      </c>
    </row>
    <row r="608" spans="2:5" ht="20.05" customHeight="1" x14ac:dyDescent="0.45">
      <c r="B608" s="17" t="s">
        <v>256</v>
      </c>
      <c r="C608" s="362" t="str">
        <f>IF(cluster_wld_domain_chosen&lt;&gt;"MGMT Workload Domain",CONCATENATE(prefix_wld_az1_rack_cidr,"90.116"),CONCATENATE(prefix_mgmt_az1_cidr,"90.116"))</f>
        <v>10.13.90.116</v>
      </c>
      <c r="D608" s="347"/>
      <c r="E608" s="100" t="s">
        <v>2975</v>
      </c>
    </row>
    <row r="609" spans="2:5" ht="16" customHeight="1" x14ac:dyDescent="0.45">
      <c r="B609" s="8"/>
      <c r="C609" s="8"/>
      <c r="D609" s="8"/>
      <c r="E609" s="8"/>
    </row>
    <row r="610" spans="2:5" ht="34" customHeight="1" x14ac:dyDescent="0.45">
      <c r="B610" s="509" t="s">
        <v>2976</v>
      </c>
      <c r="C610" s="510"/>
      <c r="D610" s="510"/>
      <c r="E610" s="511"/>
    </row>
    <row r="611" spans="2:5" ht="20.05" customHeight="1" x14ac:dyDescent="0.45">
      <c r="B611" s="43" t="s">
        <v>261</v>
      </c>
      <c r="C611" s="43" t="s">
        <v>262</v>
      </c>
      <c r="D611" s="130" t="s">
        <v>19</v>
      </c>
      <c r="E611" s="43" t="s">
        <v>20</v>
      </c>
    </row>
    <row r="612" spans="2:5" ht="20.05" customHeight="1" x14ac:dyDescent="0.45">
      <c r="B612" s="17" t="s">
        <v>215</v>
      </c>
      <c r="C612" s="126" t="str">
        <f>IF(cluster_wld_domain_chosen&lt;&gt;"MGMT Workload Domain",CONCATENATE(this_instance,"01-w0",wld_domain_number_chosen,"-r08-esx01",".",sample_child_dns_zone),CONCATENATE(this_instance,"01-m01-r08-esx01",".",sample_child_dns_zone))</f>
        <v>sfo01-w01-r08-esx01.sfo.rainpole.io</v>
      </c>
      <c r="D612" s="347"/>
      <c r="E612" s="32"/>
    </row>
    <row r="613" spans="2:5" ht="20.05" customHeight="1" x14ac:dyDescent="0.45">
      <c r="B613" s="17" t="s">
        <v>217</v>
      </c>
      <c r="C613" s="126" t="str">
        <f>IF(cluster_wld_domain_chosen&lt;&gt;"MGMT Workload Domain",CONCATENATE(this_instance,"01-w0",wld_domain_number_chosen,"-r08-esx02",".",sample_child_dns_zone),CONCATENATE(this_instance,"01-m01-r08-esx02",".",sample_child_dns_zone))</f>
        <v>sfo01-w01-r08-esx02.sfo.rainpole.io</v>
      </c>
      <c r="D613" s="347"/>
      <c r="E613" s="32"/>
    </row>
    <row r="614" spans="2:5" ht="20.05" customHeight="1" x14ac:dyDescent="0.45">
      <c r="B614" s="17" t="s">
        <v>219</v>
      </c>
      <c r="C614" s="126" t="str">
        <f>IF(cluster_wld_domain_chosen&lt;&gt;"MGMT Workload Domain",CONCATENATE(this_instance,"01-w0",wld_domain_number_chosen,"-r08-esx03",".",sample_child_dns_zone),CONCATENATE(this_instance,"01-m01-r08-esx03",".",sample_child_dns_zone))</f>
        <v>sfo01-w01-r08-esx03.sfo.rainpole.io</v>
      </c>
      <c r="D614" s="347"/>
      <c r="E614" s="32"/>
    </row>
    <row r="615" spans="2:5" ht="20.05" customHeight="1" x14ac:dyDescent="0.45">
      <c r="B615" s="17" t="s">
        <v>221</v>
      </c>
      <c r="C615" s="126" t="str">
        <f>IF(cluster_wld_domain_chosen&lt;&gt;"MGMT Workload Domain",CONCATENATE(this_instance,"01-w0",wld_domain_number_chosen,"-r08-esx04",".",sample_child_dns_zone),CONCATENATE(this_instance,"01-m01-r08-esx04",".",sample_child_dns_zone))</f>
        <v>sfo01-w01-r08-esx04.sfo.rainpole.io</v>
      </c>
      <c r="D615" s="347"/>
      <c r="E615" s="32"/>
    </row>
    <row r="616" spans="2:5" ht="20.05" customHeight="1" x14ac:dyDescent="0.45">
      <c r="B616" s="17" t="s">
        <v>223</v>
      </c>
      <c r="C616" s="126" t="str">
        <f>IF(cluster_wld_domain_chosen&lt;&gt;"MGMT Workload Domain",CONCATENATE(this_instance,"01-w0",wld_domain_number_chosen,"-r08-esx05",".",sample_child_dns_zone),CONCATENATE(this_instance,"01-m01-r08-esx05",".",sample_child_dns_zone))</f>
        <v>sfo01-w01-r08-esx05.sfo.rainpole.io</v>
      </c>
      <c r="D616" s="347"/>
      <c r="E616" s="32"/>
    </row>
    <row r="617" spans="2:5" ht="20.05" customHeight="1" x14ac:dyDescent="0.45">
      <c r="B617" s="17" t="s">
        <v>225</v>
      </c>
      <c r="C617" s="126" t="str">
        <f>IF(cluster_wld_domain_chosen&lt;&gt;"MGMT Workload Domain",CONCATENATE(this_instance,"01-w0",wld_domain_number_chosen,"-r08-esx06",".",sample_child_dns_zone),CONCATENATE(this_instance,"01-m01-r08-esx06",".",sample_child_dns_zone))</f>
        <v>sfo01-w01-r08-esx06.sfo.rainpole.io</v>
      </c>
      <c r="D617" s="347"/>
      <c r="E617" s="32"/>
    </row>
    <row r="618" spans="2:5" ht="20.05" customHeight="1" x14ac:dyDescent="0.45">
      <c r="B618" s="17" t="s">
        <v>227</v>
      </c>
      <c r="C618" s="126" t="str">
        <f>IF(cluster_wld_domain_chosen&lt;&gt;"MGMT Workload Domain",CONCATENATE(this_instance,"01-w0",wld_domain_number_chosen,"-r08-esx07",".",sample_child_dns_zone),CONCATENATE(this_instance,"01-m01-r08-esx07",".",sample_child_dns_zone))</f>
        <v>sfo01-w01-r08-esx07.sfo.rainpole.io</v>
      </c>
      <c r="D618" s="347"/>
      <c r="E618" s="32"/>
    </row>
    <row r="619" spans="2:5" ht="20.05" customHeight="1" x14ac:dyDescent="0.45">
      <c r="B619" s="17" t="s">
        <v>229</v>
      </c>
      <c r="C619" s="126" t="str">
        <f>IF(cluster_wld_domain_chosen&lt;&gt;"MGMT Workload Domain",CONCATENATE(this_instance,"01-w0",wld_domain_number_chosen,"-r08-esx08",".",sample_child_dns_zone),CONCATENATE(this_instance,"01-m01-r08-esx08",".",sample_child_dns_zone))</f>
        <v>sfo01-w01-r08-esx08.sfo.rainpole.io</v>
      </c>
      <c r="D619" s="347"/>
      <c r="E619" s="32"/>
    </row>
    <row r="620" spans="2:5" ht="20.05" customHeight="1" x14ac:dyDescent="0.45">
      <c r="B620" s="17" t="s">
        <v>231</v>
      </c>
      <c r="C620" s="126" t="str">
        <f>IF(cluster_wld_domain_chosen&lt;&gt;"MGMT Workload Domain",CONCATENATE(this_instance,"01-w0",wld_domain_number_chosen,"-r08-esx09",".",sample_child_dns_zone),CONCATENATE(this_instance,"01-m01-r08-esx09",".",sample_child_dns_zone))</f>
        <v>sfo01-w01-r08-esx09.sfo.rainpole.io</v>
      </c>
      <c r="D620" s="347"/>
      <c r="E620" s="32"/>
    </row>
    <row r="621" spans="2:5" ht="20.05" customHeight="1" x14ac:dyDescent="0.45">
      <c r="B621" s="17" t="s">
        <v>233</v>
      </c>
      <c r="C621" s="126" t="str">
        <f>IF(cluster_wld_domain_chosen&lt;&gt;"MGMT Workload Domain",CONCATENATE(this_instance,"01-w0",wld_domain_number_chosen,"-r08-esx10",".",sample_child_dns_zone),CONCATENATE(this_instance,"01-m01-r08-esx10",".",sample_child_dns_zone))</f>
        <v>sfo01-w01-r08-esx10.sfo.rainpole.io</v>
      </c>
      <c r="D621" s="347"/>
      <c r="E621" s="32"/>
    </row>
    <row r="622" spans="2:5" ht="20.05" customHeight="1" x14ac:dyDescent="0.45">
      <c r="B622" s="17" t="s">
        <v>235</v>
      </c>
      <c r="C622" s="126" t="str">
        <f>IF(cluster_wld_domain_chosen&lt;&gt;"MGMT Workload Domain",CONCATENATE(this_instance,"01-w0",wld_domain_number_chosen,"-r08-esx11",".",sample_child_dns_zone),CONCATENATE(this_instance,"01-m01-r08-esx11",".",sample_child_dns_zone))</f>
        <v>sfo01-w01-r08-esx11.sfo.rainpole.io</v>
      </c>
      <c r="D622" s="347"/>
      <c r="E622" s="32"/>
    </row>
    <row r="623" spans="2:5" ht="20.05" customHeight="1" x14ac:dyDescent="0.45">
      <c r="B623" s="17" t="s">
        <v>237</v>
      </c>
      <c r="C623" s="126" t="str">
        <f>IF(cluster_wld_domain_chosen&lt;&gt;"MGMT Workload Domain",CONCATENATE(this_instance,"01-w0",wld_domain_number_chosen,"-r08-esx12",".",sample_child_dns_zone),CONCATENATE(this_instance,"01-m01-r08-esx12",".",sample_child_dns_zone))</f>
        <v>sfo01-w01-r08-esx12.sfo.rainpole.io</v>
      </c>
      <c r="D623" s="347"/>
      <c r="E623" s="32"/>
    </row>
    <row r="624" spans="2:5" ht="20.05" customHeight="1" x14ac:dyDescent="0.45">
      <c r="B624" s="17" t="s">
        <v>239</v>
      </c>
      <c r="C624" s="126" t="str">
        <f>IF(cluster_wld_domain_chosen&lt;&gt;"MGMT Workload Domain",CONCATENATE(this_instance,"01-w0",wld_domain_number_chosen,"-r08-esx13",".",sample_child_dns_zone),CONCATENATE(this_instance,"01-m01-r08-esx13",".",sample_child_dns_zone))</f>
        <v>sfo01-w01-r08-esx13.sfo.rainpole.io</v>
      </c>
      <c r="D624" s="347"/>
      <c r="E624" s="32"/>
    </row>
    <row r="625" spans="2:5" ht="20.05" customHeight="1" x14ac:dyDescent="0.45">
      <c r="B625" s="17" t="s">
        <v>241</v>
      </c>
      <c r="C625" s="126" t="str">
        <f>IF(cluster_wld_domain_chosen&lt;&gt;"MGMT Workload Domain",CONCATENATE(this_instance,"01-w0",wld_domain_number_chosen,"-r08-esx14",".",sample_child_dns_zone),CONCATENATE(this_instance,"01-m01-r08-esx14",".",sample_child_dns_zone))</f>
        <v>sfo01-w01-r08-esx14.sfo.rainpole.io</v>
      </c>
      <c r="D625" s="347"/>
      <c r="E625" s="32"/>
    </row>
    <row r="626" spans="2:5" ht="20.05" customHeight="1" x14ac:dyDescent="0.45">
      <c r="B626" s="17" t="s">
        <v>243</v>
      </c>
      <c r="C626" s="126" t="str">
        <f>IF(cluster_wld_domain_chosen&lt;&gt;"MGMT Workload Domain",CONCATENATE(this_instance,"01-w0",wld_domain_number_chosen,"-r08-esx14",".",sample_child_dns_zone),CONCATENATE(this_instance,"01-m01-r08-esx15",".",sample_child_dns_zone))</f>
        <v>sfo01-w01-r08-esx14.sfo.rainpole.io</v>
      </c>
      <c r="D626" s="347"/>
      <c r="E626" s="32"/>
    </row>
    <row r="627" spans="2:5" ht="20.05" customHeight="1" x14ac:dyDescent="0.45">
      <c r="B627" s="17" t="s">
        <v>245</v>
      </c>
      <c r="C627" s="126" t="str">
        <f>IF(cluster_wld_domain_chosen&lt;&gt;"MGMT Workload Domain",CONCATENATE(this_instance,"01-w0",wld_domain_number_chosen,"-r08-esx16",".",sample_child_dns_zone),CONCATENATE(this_instance,"01-m01-r08-esx16",".",sample_child_dns_zone))</f>
        <v>sfo01-w01-r08-esx16.sfo.rainpole.io</v>
      </c>
      <c r="D627" s="347"/>
      <c r="E627" s="32"/>
    </row>
    <row r="628" spans="2:5" ht="20.05" customHeight="1" x14ac:dyDescent="0.45">
      <c r="B628" s="17" t="s">
        <v>264</v>
      </c>
      <c r="C628" s="89" t="s">
        <v>762</v>
      </c>
      <c r="D628" s="337" t="s">
        <v>265</v>
      </c>
      <c r="E628" s="32"/>
    </row>
    <row r="629" spans="2:5" ht="20.05" customHeight="1" x14ac:dyDescent="0.45">
      <c r="B629" s="17" t="s">
        <v>266</v>
      </c>
      <c r="C629" s="89" t="s">
        <v>267</v>
      </c>
      <c r="D629" s="337"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629" s="4"/>
    </row>
    <row r="630" spans="2:5" ht="20.05" customHeight="1" x14ac:dyDescent="0.45">
      <c r="B630" s="17" t="s">
        <v>268</v>
      </c>
      <c r="C630" s="89" t="s">
        <v>159</v>
      </c>
      <c r="D630" s="337" t="str">
        <f>IF(AND(vcf_granular_option_chosen="Create Cluster",cluster_principal_storage_chosen="vSAN-ESA"),"Selected",
IF(AND(vcf_granular_option_chosen="Create VI Workload Domain",wld_principal_storage_chosen="vSAN-ESA"),"Selected","Unselected"))</f>
        <v>Unselected</v>
      </c>
      <c r="E630" s="32"/>
    </row>
    <row r="631" spans="2:5" ht="20.05" customHeight="1" x14ac:dyDescent="0.45">
      <c r="B631" s="17" t="s">
        <v>250</v>
      </c>
      <c r="C631" s="89" t="str">
        <f>sample_wld_az1_rack8_pool_name</f>
        <v>sfo01-w01-r08-network-pool-01</v>
      </c>
      <c r="D631" s="337" t="str">
        <f>wld_az1_rack8_pool_name</f>
        <v>Value Missing</v>
      </c>
      <c r="E631" s="32"/>
    </row>
    <row r="632" spans="2:5" ht="20.05" customHeight="1" x14ac:dyDescent="0.45">
      <c r="B632" s="17" t="s">
        <v>46</v>
      </c>
      <c r="C632" s="89" t="s">
        <v>269</v>
      </c>
      <c r="D632" s="337"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632" s="32"/>
    </row>
    <row r="633" spans="2:5" ht="20.05" customHeight="1" x14ac:dyDescent="0.45">
      <c r="B633" s="17" t="s">
        <v>29</v>
      </c>
      <c r="C633" s="89" t="s">
        <v>30</v>
      </c>
      <c r="D633" s="337" t="str">
        <f>IF(cluster_chosen="Deploy a Multi-Rack Layer 3 Cluster",cluster_esx_root_password,
IF(wld_domain_chosen="Deploy Workload Domain with a Multi-Rack Layer 3 Cluster",wld_esx_root_password,"Mulitrack deployment type (Cluster/WLD not set"))</f>
        <v>Mulitrack deployment type (Cluster/WLD not set</v>
      </c>
      <c r="E633" s="32"/>
    </row>
    <row r="634" spans="2:5" ht="20.05" customHeight="1" x14ac:dyDescent="0.45"/>
    <row r="635" spans="2:5" ht="34" customHeight="1" x14ac:dyDescent="0.45">
      <c r="B635" s="509" t="s">
        <v>2977</v>
      </c>
      <c r="C635" s="510"/>
      <c r="D635" s="510"/>
      <c r="E635" s="511"/>
    </row>
    <row r="636" spans="2:5" ht="20.05" customHeight="1" x14ac:dyDescent="0.45">
      <c r="B636" s="4" t="s">
        <v>337</v>
      </c>
      <c r="C636" s="89" t="str">
        <f>IF(vcf_granular_option_chosen="Create Cluster",CONCATENATE(this_instance,"01-",sample_cluster_name,"-r08-network-profile"),
IF(cluster_wld_domain_chosen="VI Workload Domain",CONCATENATE(this_instance,"01-",sample_wld_cl01_cluster,"-r08-network-profile"),
CONCATENATE(this_instance,"01-",sample_mgmt_cl01_cluster,"-r08-network-profile")))</f>
        <v>sfo01-sfo-w01-cl01-r08-network-profile</v>
      </c>
      <c r="D636" s="347"/>
      <c r="E636" s="80"/>
    </row>
    <row r="637" spans="2:5" ht="20.05" customHeight="1" x14ac:dyDescent="0.45">
      <c r="B637" s="4" t="s">
        <v>2936</v>
      </c>
      <c r="C637" s="362" t="s">
        <v>339</v>
      </c>
      <c r="D637" s="127" t="s">
        <v>339</v>
      </c>
      <c r="E637" s="4" t="str">
        <f>IF(wld_az1_rack8_host_overlay_new_pool_chosen="Re-use an existing Pool","An existing Pool will be reused for Host TEP assignment","A new Pool will be created for Host TEP assignment")</f>
        <v>A new Pool will be created for Host TEP assignment</v>
      </c>
    </row>
    <row r="638" spans="2:5" ht="20.05" customHeight="1" x14ac:dyDescent="0.45">
      <c r="B638" s="4" t="s">
        <v>340</v>
      </c>
      <c r="C638" s="89" t="str">
        <f>IF(cluster_wld_domain_chosen="VI Workload Domain",CONCATENATE(this_instance,"01-w0",wld_domain_number_chosen,"-r08-ip-pool01-host"),CONCATENATE(this_instance,"01-m01","-r08-ip-pool01-host"))</f>
        <v>sfo01-w01-r08-ip-pool01-host</v>
      </c>
      <c r="D638" s="347"/>
      <c r="E638" s="80"/>
    </row>
    <row r="639" spans="2:5" ht="20.05" customHeight="1" x14ac:dyDescent="0.45">
      <c r="B639" s="4" t="s">
        <v>341</v>
      </c>
      <c r="C639" s="89" t="str">
        <f>IF(cluster_wld_domain_chosen="VI Workload Domain",CONCATENATE(this_instance,"01-w0",wld_domain_number_chosen,"-r08-uplink-profile01"),CONCATENATE(this_instance,"01-m01","-r08-uplink-profile01"))</f>
        <v>sfo01-w01-r08-uplink-profile01</v>
      </c>
      <c r="D639" s="347"/>
      <c r="E639" s="80"/>
    </row>
    <row r="640" spans="2:5" ht="20.05" customHeight="1" x14ac:dyDescent="0.45">
      <c r="B640" s="4" t="s">
        <v>2937</v>
      </c>
      <c r="C640" s="89" t="str">
        <f>IF(cluster_wld_domain_chosen="VI Workload Domain",CONCATENATE(this_instance,"01-w0",wld_domain_number_chosen,"-r08-ip-pool02-edge"),CONCATENATE(this_instance,"01-m01","-r08-ip-pool02-edge"))</f>
        <v>sfo01-w01-r08-ip-pool02-edge</v>
      </c>
      <c r="D640" s="347"/>
      <c r="E640" s="80"/>
    </row>
    <row r="641" spans="2:5" ht="20.05" customHeight="1" x14ac:dyDescent="0.45">
      <c r="B641" s="4" t="s">
        <v>2938</v>
      </c>
      <c r="C641" s="89" t="str">
        <f>IF(cluster_wld_domain_chosen="VI Workload Domain",CONCATENATE(this_instance,"01-w0",wld_domain_number_chosen,"-r08-ip-pool03-rtep"),CONCATENATE(this_instance,"01-m01","-r08-ip-pool03-rtep"))</f>
        <v>sfo01-w01-r08-ip-pool03-rtep</v>
      </c>
      <c r="D641" s="347"/>
      <c r="E641" s="80"/>
    </row>
    <row r="642" spans="2:5" ht="20.05" customHeight="1" x14ac:dyDescent="0.45">
      <c r="B642" s="496" t="s">
        <v>834</v>
      </c>
      <c r="C642" s="497"/>
      <c r="D642" s="497"/>
      <c r="E642" s="498"/>
    </row>
    <row r="643" spans="2:5" ht="20.05" customHeight="1" x14ac:dyDescent="0.45">
      <c r="B643" s="207" t="s">
        <v>261</v>
      </c>
      <c r="C643" s="207" t="s">
        <v>262</v>
      </c>
      <c r="D643" s="239" t="s">
        <v>19</v>
      </c>
      <c r="E643" s="207" t="s">
        <v>20</v>
      </c>
    </row>
    <row r="644" spans="2:5" ht="20.05" customHeight="1" x14ac:dyDescent="0.45">
      <c r="B644" s="4" t="s">
        <v>1448</v>
      </c>
      <c r="C644" s="80" t="str">
        <f>IF(cluster_wld_domain_chosen&lt;&gt;"MGMT Workload Domain",CONCATENATE(this_instance,"-w0",wld_domain_number_chosen,"-r08","-vsan-fault-domain"),CONCATENATE(this_instance,"-m01","-r08","-vsan-fault-domain"))</f>
        <v>sfo-w01-r08-vsan-fault-domain</v>
      </c>
      <c r="D644" s="347"/>
      <c r="E644" s="337"/>
    </row>
    <row r="645" spans="2:5" ht="16" customHeight="1" x14ac:dyDescent="0.45"/>
    <row r="646" spans="2:5" ht="34" customHeight="1" x14ac:dyDescent="0.45">
      <c r="B646" s="509" t="s">
        <v>2978</v>
      </c>
      <c r="C646" s="510"/>
      <c r="D646" s="510"/>
      <c r="E646" s="511"/>
    </row>
    <row r="647" spans="2:5" ht="20.05" customHeight="1" x14ac:dyDescent="0.45">
      <c r="B647" s="43" t="s">
        <v>261</v>
      </c>
      <c r="C647" s="43" t="s">
        <v>262</v>
      </c>
      <c r="D647" s="130" t="s">
        <v>19</v>
      </c>
      <c r="E647" s="43" t="s">
        <v>20</v>
      </c>
    </row>
    <row r="648" spans="2:5" ht="20.05" customHeight="1" x14ac:dyDescent="0.45">
      <c r="B648" s="496" t="s">
        <v>938</v>
      </c>
      <c r="C648" s="497"/>
      <c r="D648" s="497"/>
      <c r="E648" s="498"/>
    </row>
    <row r="649" spans="2:5" ht="20.05" customHeight="1" x14ac:dyDescent="0.45">
      <c r="B649" s="4" t="s">
        <v>85</v>
      </c>
      <c r="C649" s="362" t="str">
        <f>IF(cluster_wld_domain_chosen&lt;&gt;"MGMT Workload Domain",CONCATENATE(prefix_wld_az1_rack_vlan,"91"),CONCATENATE(prefix_mgmt_az1_vlan,"91"))</f>
        <v>1391</v>
      </c>
      <c r="D649" s="347"/>
      <c r="E649" s="93"/>
    </row>
    <row r="650" spans="2:5" ht="20.05" customHeight="1" x14ac:dyDescent="0.45">
      <c r="B650" s="4" t="s">
        <v>160</v>
      </c>
      <c r="C650" s="362">
        <v>9000</v>
      </c>
      <c r="D650" s="347"/>
      <c r="E650" s="32"/>
    </row>
    <row r="651" spans="2:5" ht="20.05" customHeight="1" x14ac:dyDescent="0.45">
      <c r="B651" s="4" t="s">
        <v>188</v>
      </c>
      <c r="C651" s="126" t="str">
        <f>IF(cluster_wld_domain_chosen&lt;&gt;"MGMT Workload Domain",CONCATENATE(prefix_wld_az1_rack_cidr,"91.0"),CONCATENATE(prefix_mgmt_az1_cidr,"91.0"))</f>
        <v>10.13.91.0</v>
      </c>
      <c r="D651" s="347"/>
      <c r="E651" s="32"/>
    </row>
    <row r="652" spans="2:5" ht="20.05" customHeight="1" x14ac:dyDescent="0.45">
      <c r="B652" s="4" t="s">
        <v>285</v>
      </c>
      <c r="C652" s="126" t="s">
        <v>128</v>
      </c>
      <c r="D652" s="347"/>
      <c r="E652" s="32"/>
    </row>
    <row r="653" spans="2:5" ht="20.05" customHeight="1" x14ac:dyDescent="0.45">
      <c r="B653" s="4" t="s">
        <v>187</v>
      </c>
      <c r="C653" s="362" t="str">
        <f>IF(cluster_wld_domain_chosen&lt;&gt;"MGMT Workload Domain",CONCATENATE(prefix_wld_az1_rack_cidr,"91.1"),CONCATENATE(prefix_mgmt_az1_cidr,"91.1"))</f>
        <v>10.13.91.1</v>
      </c>
      <c r="D653" s="347"/>
      <c r="E653" s="32"/>
    </row>
    <row r="654" spans="2:5" ht="20.05" customHeight="1" x14ac:dyDescent="0.45">
      <c r="B654" s="17" t="s">
        <v>255</v>
      </c>
      <c r="C654" s="362" t="str">
        <f>IF(cluster_wld_domain_chosen&lt;&gt;"MGMT Workload Domain",CONCATENATE(prefix_wld_az1_rack_cidr,"91.101"),CONCATENATE(prefix_mgmt_az1_cidr,"91.101"))</f>
        <v>10.13.91.101</v>
      </c>
      <c r="D654" s="347"/>
      <c r="E654" s="100" t="s">
        <v>2970</v>
      </c>
    </row>
    <row r="655" spans="2:5" ht="20.05" customHeight="1" x14ac:dyDescent="0.45">
      <c r="B655" s="17" t="s">
        <v>256</v>
      </c>
      <c r="C655" s="362" t="str">
        <f>IF(cluster_wld_domain_chosen&lt;&gt;"MGMT Workload Domain",CONCATENATE(prefix_wld_az1_rack_cidr,"91.116"),CONCATENATE(prefix_mgmt_az1_cidr,"91.116"))</f>
        <v>10.13.91.116</v>
      </c>
      <c r="D655" s="347"/>
      <c r="E655" s="100" t="s">
        <v>2971</v>
      </c>
    </row>
    <row r="656" spans="2:5" ht="20.05" customHeight="1" x14ac:dyDescent="0.45"/>
  </sheetData>
  <sheetProtection algorithmName="SHA-512" hashValue="O/AeHnxuTVVBohpoyFPYyPFE4zxCMwH6kdi2foH07iElrVBUXBDx+w2cDGNMdXB+s/erCuiJDgDeyRfeej2HgQ==" saltValue="bQPXAcre10A9/7XOkWQQIQ==" spinCount="100000" sheet="1" selectLockedCells="1"/>
  <mergeCells count="79">
    <mergeCell ref="B646:E646"/>
    <mergeCell ref="B648:E648"/>
    <mergeCell ref="B88:E88"/>
    <mergeCell ref="B90:E90"/>
    <mergeCell ref="B181:E181"/>
    <mergeCell ref="B183:E183"/>
    <mergeCell ref="B274:E274"/>
    <mergeCell ref="B276:E276"/>
    <mergeCell ref="B367:E367"/>
    <mergeCell ref="B369:E369"/>
    <mergeCell ref="B460:E460"/>
    <mergeCell ref="B462:E462"/>
    <mergeCell ref="B553:E553"/>
    <mergeCell ref="B555:E555"/>
    <mergeCell ref="B601:E601"/>
    <mergeCell ref="B610:E610"/>
    <mergeCell ref="B635:E635"/>
    <mergeCell ref="B642:E642"/>
    <mergeCell ref="B564:E564"/>
    <mergeCell ref="B566:E566"/>
    <mergeCell ref="B571:E571"/>
    <mergeCell ref="B589:E589"/>
    <mergeCell ref="B593:E593"/>
    <mergeCell ref="B508:E508"/>
    <mergeCell ref="B517:E517"/>
    <mergeCell ref="B542:E542"/>
    <mergeCell ref="B549:E549"/>
    <mergeCell ref="B471:E471"/>
    <mergeCell ref="B473:E473"/>
    <mergeCell ref="B478:E478"/>
    <mergeCell ref="B496:E496"/>
    <mergeCell ref="B500:E500"/>
    <mergeCell ref="B415:E415"/>
    <mergeCell ref="B424:E424"/>
    <mergeCell ref="B449:E449"/>
    <mergeCell ref="B456:E456"/>
    <mergeCell ref="B378:E378"/>
    <mergeCell ref="B380:E380"/>
    <mergeCell ref="B385:E385"/>
    <mergeCell ref="B403:E403"/>
    <mergeCell ref="B407:E407"/>
    <mergeCell ref="B363:E363"/>
    <mergeCell ref="B314:E314"/>
    <mergeCell ref="B322:E322"/>
    <mergeCell ref="B331:E331"/>
    <mergeCell ref="B356:E356"/>
    <mergeCell ref="B285:E285"/>
    <mergeCell ref="B287:E287"/>
    <mergeCell ref="B292:E292"/>
    <mergeCell ref="B310:E310"/>
    <mergeCell ref="B35:E35"/>
    <mergeCell ref="B43:E43"/>
    <mergeCell ref="B52:E52"/>
    <mergeCell ref="B106:E106"/>
    <mergeCell ref="B124:E124"/>
    <mergeCell ref="B128:E128"/>
    <mergeCell ref="B136:E136"/>
    <mergeCell ref="B145:E145"/>
    <mergeCell ref="B192:E192"/>
    <mergeCell ref="B194:E194"/>
    <mergeCell ref="B199:E199"/>
    <mergeCell ref="B170:E170"/>
    <mergeCell ref="B2:E2"/>
    <mergeCell ref="B3:E3"/>
    <mergeCell ref="B6:E6"/>
    <mergeCell ref="B8:E8"/>
    <mergeCell ref="B13:E13"/>
    <mergeCell ref="B31:E31"/>
    <mergeCell ref="B84:E84"/>
    <mergeCell ref="B77:E77"/>
    <mergeCell ref="B99:E99"/>
    <mergeCell ref="B101:E101"/>
    <mergeCell ref="B177:E177"/>
    <mergeCell ref="B263:E263"/>
    <mergeCell ref="B270:E270"/>
    <mergeCell ref="B217:E217"/>
    <mergeCell ref="B221:E221"/>
    <mergeCell ref="B229:E229"/>
    <mergeCell ref="B238:E238"/>
  </mergeCells>
  <conditionalFormatting sqref="D9:D12 D14:D29 D33:D34 D36:D42 D44:D50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cfRule type="expression" dxfId="432" priority="26">
      <formula>wld_multirack_result="Excluded"</formula>
    </cfRule>
  </conditionalFormatting>
  <conditionalFormatting sqref="D9:D12 D14:D29 D33:D34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D36:D42 D44:D50">
    <cfRule type="containsBlanks" dxfId="431" priority="1432">
      <formula>LEN(TRIM(D9))=0</formula>
    </cfRule>
  </conditionalFormatting>
  <conditionalFormatting sqref="D9:D12 D14:D29 D33:D34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cfRule type="notContainsBlanks" dxfId="430" priority="1431">
      <formula>LEN(TRIM(D9))&gt;0</formula>
    </cfRule>
  </conditionalFormatting>
  <conditionalFormatting sqref="D15 D55 D108 D148 D201 D241 D294 D334 D387 D427 D480 D520 D573 D613">
    <cfRule type="expression" dxfId="429" priority="46">
      <formula>AND((wld_compute_hosts_per_rack_chosen&lt;2),(vcf_granular_option_chosen="Create VI Workload Domain"))</formula>
    </cfRule>
    <cfRule type="expression" dxfId="428" priority="27">
      <formula>AND((cluster_compute_hosts_per_rack_chosen&lt;2),(vcf_granular_option_chosen="Create Cluster"))</formula>
    </cfRule>
  </conditionalFormatting>
  <conditionalFormatting sqref="D16 D56 D109 D149 D202 D242 D295 D335 D388 D428 D481 D521 D574 D614">
    <cfRule type="expression" dxfId="427" priority="28">
      <formula>AND((cluster_compute_hosts_per_rack_chosen&lt;3),(vcf_granular_option_chosen="Create Cluster"))</formula>
    </cfRule>
    <cfRule type="expression" dxfId="426" priority="47">
      <formula>AND((wld_compute_hosts_per_rack_chosen&lt;3),(vcf_granular_option_chosen="Create VI Workload Domain"))</formula>
    </cfRule>
  </conditionalFormatting>
  <conditionalFormatting sqref="D17 D57 D110 D150 D203 D243 D296 D336 D389 D429 D482 D522 D575 D615">
    <cfRule type="expression" dxfId="425" priority="29">
      <formula>AND((cluster_compute_hosts_per_rack_chosen&lt;4),(vcf_granular_option_chosen="Create Cluster"))</formula>
    </cfRule>
    <cfRule type="expression" dxfId="424" priority="48">
      <formula>AND((wld_compute_hosts_per_rack_chosen&lt;4),(vcf_granular_option_chosen="Create VI Workload Domain"))</formula>
    </cfRule>
  </conditionalFormatting>
  <conditionalFormatting sqref="D18 D58 D111 D151 D204 D244 D297 D337 D390 D430 D483 D523 D576 D616">
    <cfRule type="expression" dxfId="423" priority="30">
      <formula>AND((cluster_compute_hosts_per_rack_chosen&lt;5),(vcf_granular_option_chosen="Create Cluster"))</formula>
    </cfRule>
    <cfRule type="expression" dxfId="422" priority="49">
      <formula>AND((wld_compute_hosts_per_rack_chosen&lt;5),(vcf_granular_option_chosen="Create VI Workload Domain"))</formula>
    </cfRule>
  </conditionalFormatting>
  <conditionalFormatting sqref="D19 D59 D112 D152 D205 D245 D298 D338 D391 D431 D484 D524 D577 D617">
    <cfRule type="expression" dxfId="421" priority="50">
      <formula>AND((wld_compute_hosts_per_rack_chosen&lt;6),(vcf_granular_option_chosen="Create VI Workload Domain"))</formula>
    </cfRule>
    <cfRule type="expression" dxfId="420" priority="31">
      <formula>AND((cluster_compute_hosts_per_rack_chosen&lt;6),(vcf_granular_option_chosen="Create Cluster"))</formula>
    </cfRule>
  </conditionalFormatting>
  <conditionalFormatting sqref="D20 D60 D113 D153 D206 D246 D299 D339 D392 D432 D485 D525 D578 D618">
    <cfRule type="expression" dxfId="419" priority="32">
      <formula>AND((cluster_compute_hosts_per_rack_chosen&lt;7),(vcf_granular_option_chosen="Create Cluster"))</formula>
    </cfRule>
    <cfRule type="expression" dxfId="418" priority="51">
      <formula>AND((wld_compute_hosts_per_rack_chosen&lt;7),(vcf_granular_option_chosen="Create VI Workload Domain"))</formula>
    </cfRule>
  </conditionalFormatting>
  <conditionalFormatting sqref="D21 D61 D114 D154 D207 D247 D300 D340 D393 D433 D486 D526 D579 D619">
    <cfRule type="expression" dxfId="417" priority="52">
      <formula>AND((wld_compute_hosts_per_rack_chosen&lt;8),(vcf_granular_option_chosen="Create VI Workload Domain"))</formula>
    </cfRule>
    <cfRule type="expression" dxfId="416" priority="33">
      <formula>AND((cluster_compute_hosts_per_rack_chosen&lt;8),(vcf_granular_option_chosen="Create Cluster"))</formula>
    </cfRule>
  </conditionalFormatting>
  <conditionalFormatting sqref="D22 D62 D115 D155 D208 D248 D301 D341 D394 D434 D487 D527 D580 D620">
    <cfRule type="expression" dxfId="415" priority="53">
      <formula>AND((wld_compute_hosts_per_rack_chosen&lt;9),(vcf_granular_option_chosen="Create VI Workload Domain"))</formula>
    </cfRule>
    <cfRule type="expression" dxfId="414" priority="34">
      <formula>AND((cluster_compute_hosts_per_rack_chosen&lt;9),(vcf_granular_option_chosen="Create Cluster"))</formula>
    </cfRule>
  </conditionalFormatting>
  <conditionalFormatting sqref="D23 D63 D116 D156 D209 D249 D302 D342 D395 D435 D488 D528 D581 D621">
    <cfRule type="expression" dxfId="413" priority="54">
      <formula>AND((wld_compute_hosts_per_rack_chosen&lt;10),(vcf_granular_option_chosen="Create VI Workload Domain"))</formula>
    </cfRule>
    <cfRule type="expression" dxfId="412" priority="35">
      <formula>AND((cluster_compute_hosts_per_rack_chosen&lt;10),(vcf_granular_option_chosen="Create Cluster"))</formula>
    </cfRule>
  </conditionalFormatting>
  <conditionalFormatting sqref="D24 D64 D117 D157 D210 D250 D303 D343 D396 D436 D489 D529 D582 D622">
    <cfRule type="expression" dxfId="411" priority="55">
      <formula>AND((wld_compute_hosts_per_rack_chosen&lt;11),(vcf_granular_option_chosen="Create VI Workload Domain"))</formula>
    </cfRule>
    <cfRule type="expression" dxfId="410" priority="36">
      <formula>AND((cluster_compute_hosts_per_rack_chosen&lt;11),(vcf_granular_option_chosen="Create Cluster"))</formula>
    </cfRule>
  </conditionalFormatting>
  <conditionalFormatting sqref="D25 D65 D118 D158 D211 D251 D304 D344 D397 D437 D490 D530 D583 D623">
    <cfRule type="expression" dxfId="409" priority="37">
      <formula>AND((cluster_compute_hosts_per_rack_chosen&lt;12),(vcf_granular_option_chosen="Create Cluster"))</formula>
    </cfRule>
    <cfRule type="expression" dxfId="408" priority="56">
      <formula>AND((wld_compute_hosts_per_rack_chosen&lt;12),(vcf_granular_option_chosen="Create VI Workload Domain"))</formula>
    </cfRule>
  </conditionalFormatting>
  <conditionalFormatting sqref="D26 D66 D119 D159 D212 D252 D305 D345 D398 D438 D491 D531 D584 D624">
    <cfRule type="expression" dxfId="407" priority="38">
      <formula>AND((cluster_compute_hosts_per_rack_chosen&lt;13),(vcf_granular_option_chosen="Create Cluster"))</formula>
    </cfRule>
    <cfRule type="expression" dxfId="406" priority="57">
      <formula>AND((wld_compute_hosts_per_rack_chosen&lt;13),(vcf_granular_option_chosen="Create VI Workload Domain"))</formula>
    </cfRule>
  </conditionalFormatting>
  <conditionalFormatting sqref="D27 D67 D120 D160 D213 D253 D306 D346 D399 D439 D492 D532 D585 D625">
    <cfRule type="expression" dxfId="405" priority="39">
      <formula>AND((cluster_compute_hosts_per_rack_chosen&lt;14),(vcf_granular_option_chosen="Create Cluster"))</formula>
    </cfRule>
    <cfRule type="expression" dxfId="404" priority="58">
      <formula>AND((wld_compute_hosts_per_rack_chosen&lt;14),(vcf_granular_option_chosen="Create VI Workload Domain"))</formula>
    </cfRule>
  </conditionalFormatting>
  <conditionalFormatting sqref="D28 D68 D121 D161 D214 D254 D307 D347 D400 D440 D493 D533 D586 D626">
    <cfRule type="expression" dxfId="403" priority="59">
      <formula>AND((wld_compute_hosts_per_rack_chosen&lt;15),(vcf_granular_option_chosen="Create VI Workload Domain"))</formula>
    </cfRule>
    <cfRule type="expression" dxfId="402" priority="40">
      <formula>AND((cluster_compute_hosts_per_rack_chosen&lt;15),(vcf_granular_option_chosen="Create Cluster"))</formula>
    </cfRule>
  </conditionalFormatting>
  <conditionalFormatting sqref="D29 D69 D122 D162 D215 D255 D308 D348 D401 D441 D494 D534 D587 D627">
    <cfRule type="expression" dxfId="401" priority="41">
      <formula>AND((cluster_compute_hosts_per_rack_chosen&lt;16),(vcf_granular_option_chosen="Create Cluster"))</formula>
    </cfRule>
    <cfRule type="expression" dxfId="400" priority="60">
      <formula>AND((wld_compute_hosts_per_rack_chosen&lt;16),(vcf_granular_option_chosen="Create VI Workload Domain"))</formula>
    </cfRule>
  </conditionalFormatting>
  <conditionalFormatting sqref="D36:D42 D44:D50">
    <cfRule type="expression" dxfId="399" priority="7">
      <formula>wld_az1_rack2_reuse_vcf_networkpool_chosen="Re-use an existing VCF Network Pool"</formula>
    </cfRule>
  </conditionalFormatting>
  <conditionalFormatting sqref="D36:D50">
    <cfRule type="notContainsBlanks" dxfId="398" priority="1394">
      <formula>LEN(TRIM(D36))&gt;0</formula>
    </cfRule>
  </conditionalFormatting>
  <conditionalFormatting sqref="D43">
    <cfRule type="expression" dxfId="397" priority="1391">
      <formula>mgmt_domain_existing_vcenter_chosen="Selected"</formula>
    </cfRule>
    <cfRule type="containsBlanks" dxfId="395" priority="1393">
      <formula>LEN(TRIM(D43))=0</formula>
    </cfRule>
  </conditionalFormatting>
  <conditionalFormatting sqref="D91:D97">
    <cfRule type="expression" dxfId="394" priority="14">
      <formula>wld_az1_rack2_host_overlay_new_pool_chosen="Re-use an existing Pool"</formula>
    </cfRule>
  </conditionalFormatting>
  <conditionalFormatting sqref="D129:D135 D137:D143">
    <cfRule type="expression" dxfId="393" priority="6">
      <formula>wld_az1_rack3_reuse_vcf_networkpool_chosen="Re-use an existing VCF Network Pool"</formula>
    </cfRule>
  </conditionalFormatting>
  <conditionalFormatting sqref="D184:D190">
    <cfRule type="expression" dxfId="392" priority="13">
      <formula>wld_az1_rack3_host_overlay_new_pool_chosen="Re-use an existing Pool"</formula>
    </cfRule>
  </conditionalFormatting>
  <conditionalFormatting sqref="D222:D228 D230:D236">
    <cfRule type="expression" dxfId="391" priority="5">
      <formula>wld_az1_rack4_reuse_vcf_networkpool_chosen="Re-use an existing VCF Network Pool"</formula>
    </cfRule>
  </conditionalFormatting>
  <conditionalFormatting sqref="D277:D283">
    <cfRule type="expression" dxfId="390" priority="12">
      <formula>wld_az1_rack3_host_overlay_new_pool_chosen="Re-use an existing Pool"</formula>
    </cfRule>
  </conditionalFormatting>
  <conditionalFormatting sqref="D293:D308 D333:D354 D288:D291 D312:D313 D315:D321 D323:D329 D357:D362 D365 D370:D376">
    <cfRule type="expression" dxfId="389" priority="61">
      <formula>wld_multi_rack_count_chosen&lt;4</formula>
    </cfRule>
  </conditionalFormatting>
  <conditionalFormatting sqref="D315:D321 D323:D329">
    <cfRule type="expression" dxfId="388" priority="4">
      <formula>wld_az1_rack5_reuse_vcf_networkpool_chosen="Re-use an existing VCF Network Pool"</formula>
    </cfRule>
  </conditionalFormatting>
  <conditionalFormatting sqref="D370:D376">
    <cfRule type="expression" dxfId="387" priority="8">
      <formula>wld_az1_rack5_host_overlay_new_pool_chosen="Re-use an existing Pool"</formula>
    </cfRule>
  </conditionalFormatting>
  <conditionalFormatting sqref="D386:D401 D426:D447 D479:D494 D381:D384 D405:D406 D408:D414 D416:D422 D450:D455 D458 D463:D469 D474:D477">
    <cfRule type="expression" dxfId="386" priority="62">
      <formula>wld_multi_rack_count_chosen&lt;5</formula>
    </cfRule>
  </conditionalFormatting>
  <conditionalFormatting sqref="D408:D414 D416:D422">
    <cfRule type="expression" dxfId="385" priority="3">
      <formula>wld_az1_rack6_reuse_vcf_networkpool_chosen="Re-use an existing VCF Network Pool"</formula>
    </cfRule>
  </conditionalFormatting>
  <conditionalFormatting sqref="D463:D469">
    <cfRule type="expression" dxfId="384" priority="9">
      <formula>wld_az1_rack6_host_overlay_new_pool_chosen="Re-use an existing Pool"</formula>
    </cfRule>
  </conditionalFormatting>
  <conditionalFormatting sqref="D479:D494 D519:D540 D572:D587 D474:D477 D498:D507 D509:D515 D543:D548 D551 D556:D562 D567:D570">
    <cfRule type="expression" dxfId="383" priority="68">
      <formula>wld_multi_rack_count_chosen&lt;6</formula>
    </cfRule>
  </conditionalFormatting>
  <conditionalFormatting sqref="D501:D507 D509:D515">
    <cfRule type="expression" dxfId="382" priority="2">
      <formula>wld_az1_rack7_reuse_vcf_networkpool_chosen="Re-use an existing VCF Network Pool"</formula>
    </cfRule>
  </conditionalFormatting>
  <conditionalFormatting sqref="D556:D562">
    <cfRule type="expression" dxfId="381" priority="10">
      <formula>wld_az1_rack7_host_overlay_new_pool_chosen="Re-use an existing Pool"</formula>
    </cfRule>
  </conditionalFormatting>
  <conditionalFormatting sqref="D594:D600 D602:D608">
    <cfRule type="expression" dxfId="379" priority="1">
      <formula>wld_az1_rack8_reuse_vcf_networkpool_chosen="Re-use an existing VCF Network Pool"</formula>
    </cfRule>
  </conditionalFormatting>
  <conditionalFormatting sqref="D612:D633 D591:D600 D602:D608 D636:D641 D644 D649:D655">
    <cfRule type="expression" dxfId="378" priority="69">
      <formula>wld_multi_rack_count_chosen&lt;7</formula>
    </cfRule>
  </conditionalFormatting>
  <conditionalFormatting sqref="D649:D655">
    <cfRule type="expression" dxfId="377" priority="11">
      <formula>wld_az1_rack8_host_overlay_new_pool_chosen="Re-use an existing Pool"</formula>
    </cfRule>
  </conditionalFormatting>
  <conditionalFormatting sqref="E54:E69">
    <cfRule type="expression" dxfId="376" priority="1387">
      <formula>OR((wld_vlcm_model_result="Excluded"),(wld_vlcm_model_chosen="Baselines"))</formula>
    </cfRule>
  </conditionalFormatting>
  <conditionalFormatting sqref="E147:E162">
    <cfRule type="expression" dxfId="375" priority="1343">
      <formula>OR((wld_vlcm_model_result="Excluded"),(wld_vlcm_model_chosen="Baselines"))</formula>
    </cfRule>
  </conditionalFormatting>
  <conditionalFormatting sqref="E240:E255">
    <cfRule type="expression" dxfId="374" priority="1213">
      <formula>OR((wld_vlcm_model_result="Excluded"),(wld_vlcm_model_chosen="Baselines"))</formula>
    </cfRule>
  </conditionalFormatting>
  <conditionalFormatting sqref="E333:E348">
    <cfRule type="expression" dxfId="373" priority="1071">
      <formula>OR((wld_vlcm_model_result="Excluded"),(wld_vlcm_model_chosen="Baselines"))</formula>
    </cfRule>
  </conditionalFormatting>
  <conditionalFormatting sqref="E426:E441">
    <cfRule type="expression" dxfId="372" priority="867">
      <formula>OR((wld_vlcm_model_result="Excluded"),(wld_vlcm_model_chosen="Baselines"))</formula>
    </cfRule>
  </conditionalFormatting>
  <conditionalFormatting sqref="E519:E534">
    <cfRule type="expression" dxfId="371" priority="664">
      <formula>OR((wld_vlcm_model_result="Excluded"),(wld_vlcm_model_chosen="Baselines"))</formula>
    </cfRule>
  </conditionalFormatting>
  <conditionalFormatting sqref="E612:E627">
    <cfRule type="expression" dxfId="370" priority="433">
      <formula>OR((wld_vlcm_model_result="Excluded"),(wld_vlcm_model_chosen="Baselines"))</formula>
    </cfRule>
  </conditionalFormatting>
  <dataValidations count="2">
    <dataValidation type="list" allowBlank="1" showInputMessage="1" showErrorMessage="1" sqref="D79 D172 D265 D358 D451 D544 D637" xr:uid="{989746BE-20D3-B04B-B241-5D8673966251}">
      <formula1>"Re-use an existing Pool,Create New Static IP Pool"</formula1>
    </dataValidation>
    <dataValidation type="list" allowBlank="1" showInputMessage="1" showErrorMessage="1" sqref="D33 D126 D219 D312 D405 D498 D591" xr:uid="{25988990-77E1-0A4B-8C16-FB6FFFFE0B19}">
      <formula1>"Re-use an existing VCF Network Pool,Create a new VCF Network Pool"</formula1>
    </dataValidation>
  </dataValidations>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1392" stopIfTrue="1" operator="containsText" id="{B65623A2-5B9B-B54D-B3DC-68BAF6D50331}">
            <xm:f>NOT(ISERROR(SEARCH("Value Missing",D43)))</xm:f>
            <xm:f>"Value Missing"</xm:f>
            <x14:dxf>
              <font>
                <color rgb="FF0E223A"/>
              </font>
              <fill>
                <patternFill>
                  <bgColor rgb="FFFFBE29"/>
                </patternFill>
              </fill>
            </x14:dxf>
          </x14:cfRule>
          <xm:sqref>D43</xm:sqref>
        </x14:conditionalFormatting>
        <x14:conditionalFormatting xmlns:xm="http://schemas.microsoft.com/office/excel/2006/main">
          <x14:cfRule type="containsText" priority="70" operator="containsText" id="{99B7F492-99A1-FA46-BA20-5FB217EB571B}">
            <xm:f>NOT(ISERROR(SEARCH("Value Missing",D9)))</xm:f>
            <xm:f>"Value Missing"</xm:f>
            <x14:dxf>
              <font>
                <color rgb="FF0E223A"/>
              </font>
              <fill>
                <patternFill>
                  <bgColor rgb="FFFFBE29"/>
                </patternFill>
              </fill>
            </x14:dxf>
          </x14:cfRule>
          <xm:sqref>D591:D592 D594:D600 D602:D608 D612:D633 D636:D641 D644 D649:D655 D474:D477 D479:D494 D498:D499 D501:D507 D509:D515 D519:D540 D543:D548 D551 D556:D562 D567:D570 D572:D587 D381:D384 D386:D401 D405:D406 D408:D414 D416:D422 D426:D447 D450:D455 D458 D463:D469 D288:D291 D293:D308 D312:D313 D315:D321 D323:D329 D333:D354 D357:D362 D365 D370:D376 D14:D29 D54:D75 D107:D122 D147:D168 D200:D215 D240:D261 D9:D12 D33:D34 D36:D42 D44:D50 D78:D83 D86 D91:D97 D102:D105 D126:D127 D129:D135 D137:D143 D171:D176 D179 D184:D190 D195:D198 D219:D220 D222:D228 D230:D236 D264:D269 D272 D277:D283</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41579-A873-4E44-8245-E84045B02140}">
  <sheetPr codeName="Sheet25">
    <tabColor theme="8" tint="0.39997558519241921"/>
  </sheetPr>
  <dimension ref="A1:L551"/>
  <sheetViews>
    <sheetView showGridLines="0" zoomScaleNormal="100" workbookViewId="0">
      <pane ySplit="6" topLeftCell="A9" activePane="bottomLeft" state="frozen"/>
      <selection pane="bottomLeft"/>
    </sheetView>
  </sheetViews>
  <sheetFormatPr defaultColWidth="11" defaultRowHeight="15" x14ac:dyDescent="0.35"/>
  <cols>
    <col min="1" max="1" width="2.85546875" style="8" customWidth="1"/>
    <col min="2" max="2" width="79.85546875" style="2" customWidth="1"/>
    <col min="3" max="3" width="70.85546875" style="8" customWidth="1"/>
    <col min="4" max="4" width="70.85546875" style="2" customWidth="1"/>
    <col min="5" max="5" width="83.640625" style="8" customWidth="1"/>
    <col min="6" max="6" width="24" style="8" bestFit="1" customWidth="1"/>
    <col min="7" max="7" width="10.85546875" style="8" customWidth="1"/>
    <col min="8" max="15" width="11" style="8" customWidth="1"/>
    <col min="16" max="16384" width="11" style="8"/>
  </cols>
  <sheetData>
    <row r="1" spans="1:10" s="2" customFormat="1" ht="16" customHeight="1" x14ac:dyDescent="0.35">
      <c r="A1" s="311"/>
      <c r="F1" s="8"/>
      <c r="G1" s="8"/>
      <c r="H1" s="8"/>
      <c r="I1" s="8"/>
      <c r="J1" s="8"/>
    </row>
    <row r="2" spans="1:10" s="2" customFormat="1" ht="54" customHeight="1" x14ac:dyDescent="0.35">
      <c r="B2" s="629" t="s">
        <v>2979</v>
      </c>
      <c r="C2" s="630"/>
      <c r="D2" s="630"/>
      <c r="E2" s="631"/>
      <c r="F2" s="8"/>
      <c r="G2" s="8"/>
      <c r="H2" s="8"/>
      <c r="I2" s="8"/>
      <c r="J2" s="8"/>
    </row>
    <row r="3" spans="1:10" s="2" customFormat="1" ht="20.05" customHeight="1" x14ac:dyDescent="0.35">
      <c r="B3" s="632" t="s">
        <v>2980</v>
      </c>
      <c r="C3" s="633"/>
      <c r="D3" s="633"/>
      <c r="E3" s="634"/>
      <c r="F3" s="8"/>
      <c r="G3" s="8"/>
      <c r="H3" s="8"/>
      <c r="I3" s="8"/>
      <c r="J3" s="8"/>
    </row>
    <row r="5" spans="1:10" ht="34" customHeight="1" x14ac:dyDescent="0.35">
      <c r="B5" s="208" t="s">
        <v>2724</v>
      </c>
      <c r="C5" s="208" t="s">
        <v>2981</v>
      </c>
      <c r="D5" s="294"/>
      <c r="E5" s="294"/>
    </row>
    <row r="6" spans="1:10" s="2" customFormat="1" x14ac:dyDescent="0.45">
      <c r="D6" s="10"/>
      <c r="E6" s="3"/>
      <c r="F6" s="3"/>
    </row>
    <row r="7" spans="1:10" ht="16" customHeight="1" x14ac:dyDescent="0.35"/>
    <row r="8" spans="1:10" ht="34" customHeight="1" x14ac:dyDescent="0.35">
      <c r="B8" s="556" t="s">
        <v>2724</v>
      </c>
      <c r="C8" s="557"/>
      <c r="D8" s="557"/>
      <c r="E8" s="557"/>
    </row>
    <row r="10" spans="1:10" ht="30" customHeight="1" x14ac:dyDescent="0.35">
      <c r="B10" s="557" t="s">
        <v>2982</v>
      </c>
      <c r="C10" s="557"/>
      <c r="D10" s="557"/>
      <c r="E10" s="557"/>
    </row>
    <row r="11" spans="1:10" ht="20.05" customHeight="1" x14ac:dyDescent="0.35">
      <c r="B11" s="561"/>
      <c r="C11" s="561"/>
      <c r="D11" s="561"/>
      <c r="E11" s="561"/>
    </row>
    <row r="12" spans="1:10" ht="20.05" customHeight="1" x14ac:dyDescent="0.35">
      <c r="B12" s="307" t="s">
        <v>17</v>
      </c>
      <c r="C12" s="308" t="s">
        <v>18</v>
      </c>
      <c r="D12" s="308" t="s">
        <v>19</v>
      </c>
      <c r="E12" s="308" t="s">
        <v>20</v>
      </c>
    </row>
    <row r="13" spans="1:10" ht="20.05" customHeight="1" x14ac:dyDescent="0.35">
      <c r="B13" s="4" t="s">
        <v>2983</v>
      </c>
      <c r="C13" s="362" t="str">
        <f>CONCATENATE(prefix_portable_component,"-fm01.",sample_vvs_dr_parent_dns_zone)</f>
        <v>flt-fm01.rainpole.io</v>
      </c>
      <c r="D13" s="347"/>
      <c r="E13" s="32"/>
    </row>
    <row r="14" spans="1:10" ht="20.05" customHeight="1" x14ac:dyDescent="0.35">
      <c r="B14" s="532" t="s">
        <v>2984</v>
      </c>
      <c r="C14" s="533"/>
      <c r="D14" s="533"/>
      <c r="E14" s="534"/>
    </row>
    <row r="15" spans="1:10" ht="20.05" customHeight="1" x14ac:dyDescent="0.35">
      <c r="B15" s="4" t="s">
        <v>1313</v>
      </c>
      <c r="C15" s="362" t="str">
        <f>CONCATENATE("DNS=",sample_vvs_dr_dns1_ip)</f>
        <v>DNS=10.21.10.4</v>
      </c>
      <c r="D15" s="347"/>
      <c r="E15" s="32"/>
    </row>
    <row r="16" spans="1:10" ht="20.05" customHeight="1" x14ac:dyDescent="0.35">
      <c r="B16" s="532" t="s">
        <v>2985</v>
      </c>
      <c r="C16" s="533"/>
      <c r="D16" s="533"/>
      <c r="E16" s="534"/>
    </row>
    <row r="17" spans="2:5" ht="20.05" customHeight="1" x14ac:dyDescent="0.35">
      <c r="B17" s="361" t="s">
        <v>2986</v>
      </c>
      <c r="C17" s="362" t="s">
        <v>1625</v>
      </c>
      <c r="D17" s="347"/>
      <c r="E17" s="32"/>
    </row>
    <row r="18" spans="2:5" ht="16" customHeight="1" x14ac:dyDescent="0.35"/>
    <row r="19" spans="2:5" ht="30" customHeight="1" x14ac:dyDescent="0.35">
      <c r="B19" s="557" t="s">
        <v>2987</v>
      </c>
      <c r="C19" s="557"/>
      <c r="D19" s="557"/>
      <c r="E19" s="557"/>
    </row>
    <row r="20" spans="2:5" ht="20.05" customHeight="1" x14ac:dyDescent="0.35">
      <c r="B20" s="307" t="s">
        <v>17</v>
      </c>
      <c r="C20" s="308" t="s">
        <v>18</v>
      </c>
      <c r="D20" s="308" t="s">
        <v>19</v>
      </c>
      <c r="E20" s="308" t="s">
        <v>20</v>
      </c>
    </row>
    <row r="21" spans="2:5" ht="20.05" customHeight="1" x14ac:dyDescent="0.35">
      <c r="B21" s="4" t="s">
        <v>2988</v>
      </c>
      <c r="C21" s="362" t="str">
        <f>CONCATENATE(prefix_portable_component,"-ops01a.",sample_vvs_dr_parent_dns_zone)</f>
        <v>flt-ops01a.rainpole.io</v>
      </c>
      <c r="D21" s="347"/>
      <c r="E21" s="32"/>
    </row>
    <row r="22" spans="2:5" ht="20.05" customHeight="1" x14ac:dyDescent="0.35">
      <c r="B22" s="4" t="s">
        <v>261</v>
      </c>
      <c r="C22" s="362" t="s">
        <v>2989</v>
      </c>
      <c r="D22" s="347"/>
      <c r="E22" s="32"/>
    </row>
    <row r="23" spans="2:5" ht="20.05" customHeight="1" x14ac:dyDescent="0.35">
      <c r="B23" s="4" t="s">
        <v>2990</v>
      </c>
      <c r="C23" s="362" t="str">
        <f>CONCATENATE("ntp0",".",other_instance,".",sample_vvs_dr_parent_dns_zone)</f>
        <v>ntp0.lax.rainpole.io</v>
      </c>
      <c r="D23" s="347"/>
      <c r="E23" s="32"/>
    </row>
    <row r="24" spans="2:5" ht="16" customHeight="1" x14ac:dyDescent="0.35"/>
    <row r="25" spans="2:5" ht="30" customHeight="1" x14ac:dyDescent="0.35">
      <c r="B25" s="557" t="s">
        <v>2991</v>
      </c>
      <c r="C25" s="557"/>
      <c r="D25" s="557"/>
      <c r="E25" s="557"/>
    </row>
    <row r="26" spans="2:5" ht="20.05" customHeight="1" x14ac:dyDescent="0.35">
      <c r="B26" s="561"/>
      <c r="C26" s="561"/>
      <c r="D26" s="561"/>
      <c r="E26" s="561"/>
    </row>
    <row r="27" spans="2:5" ht="20.05" customHeight="1" x14ac:dyDescent="0.35">
      <c r="B27" s="307" t="s">
        <v>17</v>
      </c>
      <c r="C27" s="308" t="s">
        <v>18</v>
      </c>
      <c r="D27" s="308" t="s">
        <v>19</v>
      </c>
      <c r="E27" s="308" t="s">
        <v>20</v>
      </c>
    </row>
    <row r="28" spans="2:5" ht="20.05" customHeight="1" x14ac:dyDescent="0.35">
      <c r="B28" s="4" t="s">
        <v>2988</v>
      </c>
      <c r="C28" s="362" t="str">
        <f>sample_vvs_dr_flt_ops_nodea_fqdn</f>
        <v>flt-ops01a.rainpole.io</v>
      </c>
      <c r="D28" s="337" t="str">
        <f>vvs_dr_flt_ops_nodea_fqdn</f>
        <v>Value Missing</v>
      </c>
      <c r="E28" s="32"/>
    </row>
    <row r="29" spans="2:5" ht="20.05" customHeight="1" x14ac:dyDescent="0.35">
      <c r="B29" s="532" t="s">
        <v>2984</v>
      </c>
      <c r="C29" s="533"/>
      <c r="D29" s="533"/>
      <c r="E29" s="534"/>
    </row>
    <row r="30" spans="2:5" ht="20.05" customHeight="1" x14ac:dyDescent="0.35">
      <c r="B30" s="4" t="s">
        <v>1313</v>
      </c>
      <c r="C30" s="362" t="str">
        <f>CONCATENATE("DNS=",sample_vvs_dr_dns1_ip)</f>
        <v>DNS=10.21.10.4</v>
      </c>
      <c r="D30" s="337" t="str">
        <f>IF(ISBLANK(D15),"Value Missing",D15)</f>
        <v>Value Missing</v>
      </c>
      <c r="E30" s="32"/>
    </row>
    <row r="31" spans="2:5" ht="20.05" customHeight="1" x14ac:dyDescent="0.35">
      <c r="B31" s="532" t="s">
        <v>2985</v>
      </c>
      <c r="C31" s="533"/>
      <c r="D31" s="533"/>
      <c r="E31" s="534"/>
    </row>
    <row r="32" spans="2:5" ht="20.05" customHeight="1" x14ac:dyDescent="0.35">
      <c r="B32" s="361" t="s">
        <v>2986</v>
      </c>
      <c r="C32" s="362" t="str">
        <f>sample_vvs_dr_parent_dns_zone</f>
        <v>rainpole.io</v>
      </c>
      <c r="D32" s="337" t="str">
        <f t="array" ref="D32">vvs_dr_parent_dns_zone</f>
        <v>Value Missing</v>
      </c>
      <c r="E32" s="32"/>
    </row>
    <row r="33" spans="2:5" ht="20.05" customHeight="1" x14ac:dyDescent="0.35">
      <c r="B33" s="4" t="s">
        <v>2050</v>
      </c>
      <c r="C33" s="362" t="str">
        <f>CONCATENATE(prefix_portable_component,"-ops01b.",sample_vvs_dr_parent_dns_zone)</f>
        <v>flt-ops01b.rainpole.io</v>
      </c>
      <c r="D33" s="347"/>
      <c r="E33" s="32"/>
    </row>
    <row r="34" spans="2:5" ht="20.05" customHeight="1" x14ac:dyDescent="0.35">
      <c r="B34" s="4" t="s">
        <v>2056</v>
      </c>
      <c r="C34" s="362" t="str">
        <f>CONCATENATE(prefix_portable_component,"-ops01c.",sample_vvs_dr_parent_dns_zone)</f>
        <v>flt-ops01c.rainpole.io</v>
      </c>
      <c r="D34" s="347"/>
      <c r="E34" s="32"/>
    </row>
    <row r="35" spans="2:5" ht="20.05" customHeight="1" x14ac:dyDescent="0.35">
      <c r="B35" s="4" t="s">
        <v>2060</v>
      </c>
      <c r="C35" s="362" t="str">
        <f>CONCATENATE(prefix_portable_component,"-logs01a",".",sample_vvs_dr_parent_dns_zone)</f>
        <v>flt-logs01a.rainpole.io</v>
      </c>
      <c r="D35" s="347"/>
      <c r="E35" s="32"/>
    </row>
    <row r="36" spans="2:5" ht="20.05" customHeight="1" x14ac:dyDescent="0.35">
      <c r="B36" s="4" t="s">
        <v>2065</v>
      </c>
      <c r="C36" s="362" t="str">
        <f>CONCATENATE(prefix_portable_component,"-logs01b",".",sample_vvs_dr_parent_dns_zone)</f>
        <v>flt-logs01b.rainpole.io</v>
      </c>
      <c r="D36" s="347"/>
      <c r="E36" s="32"/>
    </row>
    <row r="37" spans="2:5" ht="20.05" customHeight="1" x14ac:dyDescent="0.35">
      <c r="B37" s="4" t="s">
        <v>2069</v>
      </c>
      <c r="C37" s="362" t="str">
        <f>CONCATENATE(prefix_portable_component,"-logs01c",".",sample_vvs_dr_parent_dns_zone)</f>
        <v>flt-logs01c.rainpole.io</v>
      </c>
      <c r="D37" s="347"/>
      <c r="E37" s="32"/>
    </row>
    <row r="38" spans="2:5" ht="20.05" customHeight="1" x14ac:dyDescent="0.35">
      <c r="B38" s="4" t="s">
        <v>2074</v>
      </c>
      <c r="C38" s="362" t="str">
        <f>CONCATENATE(prefix_portable_component,"-net01a",".",sample_vvs_dr_parent_dns_zone)</f>
        <v>flt-net01a.rainpole.io</v>
      </c>
      <c r="D38" s="347"/>
      <c r="E38" s="32"/>
    </row>
    <row r="39" spans="2:5" ht="20.05" customHeight="1" x14ac:dyDescent="0.35">
      <c r="B39" s="4" t="s">
        <v>2079</v>
      </c>
      <c r="C39" s="362" t="str">
        <f>CONCATENATE(prefix_portable_component,"-net01b",".",sample_vvs_dr_parent_dns_zone)</f>
        <v>flt-net01b.rainpole.io</v>
      </c>
      <c r="D39" s="347"/>
      <c r="E39" s="32"/>
    </row>
    <row r="40" spans="2:5" ht="20.05" customHeight="1" x14ac:dyDescent="0.35">
      <c r="B40" s="4" t="s">
        <v>2082</v>
      </c>
      <c r="C40" s="362" t="str">
        <f>CONCATENATE(prefix_portable_component,"-net01c",".",sample_vvs_dr_parent_dns_zone)</f>
        <v>flt-net01c.rainpole.io</v>
      </c>
      <c r="D40" s="347"/>
      <c r="E40" s="32"/>
    </row>
    <row r="41" spans="2:5" ht="16" customHeight="1" x14ac:dyDescent="0.35"/>
    <row r="42" spans="2:5" ht="30" customHeight="1" x14ac:dyDescent="0.35">
      <c r="B42" s="557" t="s">
        <v>2992</v>
      </c>
      <c r="C42" s="557"/>
      <c r="D42" s="557"/>
      <c r="E42" s="557"/>
    </row>
    <row r="43" spans="2:5" ht="20.05" customHeight="1" x14ac:dyDescent="0.35">
      <c r="B43" s="561"/>
      <c r="C43" s="561"/>
      <c r="D43" s="561"/>
      <c r="E43" s="561"/>
    </row>
    <row r="44" spans="2:5" ht="20.05" customHeight="1" x14ac:dyDescent="0.35">
      <c r="B44" s="307" t="s">
        <v>17</v>
      </c>
      <c r="C44" s="308" t="s">
        <v>18</v>
      </c>
      <c r="D44" s="308" t="s">
        <v>19</v>
      </c>
      <c r="E44" s="308" t="s">
        <v>20</v>
      </c>
    </row>
    <row r="45" spans="2:5" ht="20.05" customHeight="1" x14ac:dyDescent="0.35">
      <c r="B45" s="4" t="s">
        <v>2988</v>
      </c>
      <c r="C45" s="362" t="str">
        <f>sample_vvs_dr_flt_ops_nodea_fqdn</f>
        <v>flt-ops01a.rainpole.io</v>
      </c>
      <c r="D45" s="337" t="str">
        <f>vvs_dr_flt_ops_nodea_fqdn</f>
        <v>Value Missing</v>
      </c>
      <c r="E45" s="32"/>
    </row>
    <row r="46" spans="2:5" ht="20.05" customHeight="1" x14ac:dyDescent="0.35">
      <c r="B46" s="4" t="s">
        <v>2993</v>
      </c>
      <c r="C46" s="362" t="str">
        <f>sample_vvs_dr_ntp1_server</f>
        <v>ntp0.lax.rainpole.io</v>
      </c>
      <c r="D46" s="337" t="str">
        <f>vvs_dr_ntp1_server</f>
        <v>Value Missing</v>
      </c>
      <c r="E46" s="32"/>
    </row>
    <row r="47" spans="2:5" ht="16" customHeight="1" x14ac:dyDescent="0.35"/>
    <row r="48" spans="2:5" ht="30" customHeight="1" x14ac:dyDescent="0.35">
      <c r="B48" s="557" t="s">
        <v>2994</v>
      </c>
      <c r="C48" s="557"/>
      <c r="D48" s="557"/>
      <c r="E48" s="557"/>
    </row>
    <row r="49" spans="2:5" ht="20.05" customHeight="1" x14ac:dyDescent="0.35">
      <c r="B49" s="561"/>
      <c r="C49" s="561"/>
      <c r="D49" s="561"/>
      <c r="E49" s="561"/>
    </row>
    <row r="50" spans="2:5" ht="20.05" customHeight="1" x14ac:dyDescent="0.35">
      <c r="B50" s="307" t="s">
        <v>17</v>
      </c>
      <c r="C50" s="308" t="s">
        <v>18</v>
      </c>
      <c r="D50" s="308" t="s">
        <v>19</v>
      </c>
      <c r="E50" s="308" t="s">
        <v>20</v>
      </c>
    </row>
    <row r="51" spans="2:5" ht="20.05" customHeight="1" x14ac:dyDescent="0.35">
      <c r="B51" s="4" t="s">
        <v>2060</v>
      </c>
      <c r="C51" s="362" t="str">
        <f>sample_vvs_dr_flt_logs_nodea_fqdn</f>
        <v>flt-logs01a.rainpole.io</v>
      </c>
      <c r="D51" s="337" t="str">
        <f>vvs_dr_flt_logs_nodea_fqdn</f>
        <v>Value Missing</v>
      </c>
      <c r="E51" s="32"/>
    </row>
    <row r="52" spans="2:5" ht="20.05" customHeight="1" x14ac:dyDescent="0.35">
      <c r="B52" s="4" t="s">
        <v>2993</v>
      </c>
      <c r="C52" s="362" t="str">
        <f>sample_vvs_dr_ntp1_server</f>
        <v>ntp0.lax.rainpole.io</v>
      </c>
      <c r="D52" s="337" t="str">
        <f>vvs_dr_ntp1_server</f>
        <v>Value Missing</v>
      </c>
      <c r="E52" s="32"/>
    </row>
    <row r="53" spans="2:5" ht="20.05" customHeight="1" x14ac:dyDescent="0.35">
      <c r="B53" s="4" t="s">
        <v>2065</v>
      </c>
      <c r="C53" s="362" t="str">
        <f>sample_vvs_dr_flt_logs_nodeb_fqdn</f>
        <v>flt-logs01b.rainpole.io</v>
      </c>
      <c r="D53" s="337" t="str">
        <f>vvs_dr_flt_logs_nodeb_fqdn</f>
        <v>Value Missing</v>
      </c>
      <c r="E53" s="32"/>
    </row>
    <row r="54" spans="2:5" ht="20.05" customHeight="1" x14ac:dyDescent="0.35">
      <c r="B54" s="4" t="s">
        <v>2069</v>
      </c>
      <c r="C54" s="362" t="str">
        <f>sample_vvs_dr_flt_logs_nodec_fqdn</f>
        <v>flt-logs01c.rainpole.io</v>
      </c>
      <c r="D54" s="337" t="str">
        <f>vvs_dr_flt_logs_nodec_fqdn</f>
        <v>Value Missing</v>
      </c>
      <c r="E54" s="32"/>
    </row>
    <row r="55" spans="2:5" ht="16" customHeight="1" x14ac:dyDescent="0.35"/>
    <row r="56" spans="2:5" ht="30" customHeight="1" x14ac:dyDescent="0.35">
      <c r="B56" s="557" t="s">
        <v>2995</v>
      </c>
      <c r="C56" s="557"/>
      <c r="D56" s="557"/>
      <c r="E56" s="557"/>
    </row>
    <row r="57" spans="2:5" ht="20.05" customHeight="1" x14ac:dyDescent="0.35">
      <c r="B57" s="561"/>
      <c r="C57" s="561"/>
      <c r="D57" s="561"/>
      <c r="E57" s="561"/>
    </row>
    <row r="58" spans="2:5" ht="20.05" customHeight="1" x14ac:dyDescent="0.35">
      <c r="B58" s="307" t="s">
        <v>17</v>
      </c>
      <c r="C58" s="308" t="s">
        <v>18</v>
      </c>
      <c r="D58" s="308" t="s">
        <v>19</v>
      </c>
      <c r="E58" s="308" t="s">
        <v>20</v>
      </c>
    </row>
    <row r="59" spans="2:5" ht="20.05" customHeight="1" x14ac:dyDescent="0.35">
      <c r="B59" s="4" t="s">
        <v>2074</v>
      </c>
      <c r="C59" s="362" t="str">
        <f>sample_vvs_dr_flt_net_nodea_fqdn</f>
        <v>flt-net01a.rainpole.io</v>
      </c>
      <c r="D59" s="337" t="str">
        <f>vvs_dr_flt_net_nodea_fqdn</f>
        <v>Value Missing</v>
      </c>
      <c r="E59" s="32"/>
    </row>
    <row r="60" spans="2:5" ht="20.05" customHeight="1" x14ac:dyDescent="0.35">
      <c r="B60" s="4" t="s">
        <v>2993</v>
      </c>
      <c r="C60" s="362" t="str">
        <f>sample_vvs_dr_ntp1_server</f>
        <v>ntp0.lax.rainpole.io</v>
      </c>
      <c r="D60" s="337" t="str">
        <f>vvs_dr_ntp1_server</f>
        <v>Value Missing</v>
      </c>
      <c r="E60" s="32"/>
    </row>
    <row r="61" spans="2:5" ht="20.05" customHeight="1" x14ac:dyDescent="0.35">
      <c r="B61" s="4" t="s">
        <v>2079</v>
      </c>
      <c r="C61" s="362" t="str">
        <f>sample_vvs_dr_flt_net_nodeb_fqdn</f>
        <v>flt-net01b.rainpole.io</v>
      </c>
      <c r="D61" s="337" t="str">
        <f>vvs_dr_flt_net_nodeb_fqdn</f>
        <v>Value Missing</v>
      </c>
      <c r="E61" s="32"/>
    </row>
    <row r="62" spans="2:5" ht="20.05" customHeight="1" x14ac:dyDescent="0.35">
      <c r="B62" s="4" t="s">
        <v>2082</v>
      </c>
      <c r="C62" s="362" t="str">
        <f>sample_vvs_dr_flt_net_nodec_fqdn</f>
        <v>flt-net01c.rainpole.io</v>
      </c>
      <c r="D62" s="337" t="str">
        <f>vvs_dr_flt_net_nodec_fqdn</f>
        <v>Value Missing</v>
      </c>
      <c r="E62" s="32"/>
    </row>
    <row r="63" spans="2:5" ht="16" customHeight="1" x14ac:dyDescent="0.35"/>
    <row r="64" spans="2:5" ht="30" customHeight="1" x14ac:dyDescent="0.35">
      <c r="B64" s="557" t="s">
        <v>2996</v>
      </c>
      <c r="C64" s="557"/>
      <c r="D64" s="557"/>
      <c r="E64" s="557"/>
    </row>
    <row r="65" spans="2:5" ht="20.05" customHeight="1" x14ac:dyDescent="0.35">
      <c r="B65" s="561"/>
      <c r="C65" s="561"/>
      <c r="D65" s="561"/>
      <c r="E65" s="561"/>
    </row>
    <row r="66" spans="2:5" ht="20.05" customHeight="1" x14ac:dyDescent="0.35">
      <c r="B66" s="307" t="s">
        <v>17</v>
      </c>
      <c r="C66" s="308" t="s">
        <v>18</v>
      </c>
      <c r="D66" s="308" t="s">
        <v>19</v>
      </c>
      <c r="E66" s="308" t="s">
        <v>20</v>
      </c>
    </row>
    <row r="67" spans="2:5" ht="20.05" customHeight="1" x14ac:dyDescent="0.35">
      <c r="B67" s="4" t="s">
        <v>2997</v>
      </c>
      <c r="C67" s="362" t="str">
        <f>CONCATENATE(prefix_portable_component,"-auto01",".",sample_vvs_dr_parent_dns_zone)</f>
        <v>flt-auto01.rainpole.io</v>
      </c>
      <c r="D67" s="347"/>
      <c r="E67" s="32"/>
    </row>
    <row r="68" spans="2:5" ht="20.05" customHeight="1" x14ac:dyDescent="0.35">
      <c r="B68" s="4" t="s">
        <v>2998</v>
      </c>
      <c r="C68" s="362" t="s">
        <v>2999</v>
      </c>
      <c r="D68" s="337" t="str">
        <f>C68</f>
        <v>automation</v>
      </c>
      <c r="E68" s="32"/>
    </row>
    <row r="69" spans="2:5" ht="20.05" customHeight="1" x14ac:dyDescent="0.35">
      <c r="B69" s="4" t="s">
        <v>3000</v>
      </c>
      <c r="C69" s="362" t="str">
        <f>CONCATENATE(prefix_other_region_az1_cidr,"10.4")</f>
        <v>10.21.10.4</v>
      </c>
      <c r="D69" s="347"/>
      <c r="E69" s="32"/>
    </row>
    <row r="70" spans="2:5" ht="20.05" customHeight="1" x14ac:dyDescent="0.35">
      <c r="B70" s="4" t="s">
        <v>3000</v>
      </c>
      <c r="C70" s="362" t="str">
        <f>CONCATENATE(prefix_other_region_az1_cidr,"10.5")</f>
        <v>10.21.10.5</v>
      </c>
      <c r="D70" s="347"/>
      <c r="E70" s="32"/>
    </row>
    <row r="71" spans="2:5" ht="16" customHeight="1" x14ac:dyDescent="0.35"/>
    <row r="72" spans="2:5" ht="34" customHeight="1" x14ac:dyDescent="0.35">
      <c r="B72" s="557" t="s">
        <v>3001</v>
      </c>
      <c r="C72" s="557"/>
      <c r="D72" s="557"/>
      <c r="E72" s="557"/>
    </row>
    <row r="73" spans="2:5" ht="20.05" customHeight="1" x14ac:dyDescent="0.35">
      <c r="B73" s="561"/>
      <c r="C73" s="561"/>
      <c r="D73" s="561"/>
      <c r="E73" s="561"/>
    </row>
    <row r="74" spans="2:5" ht="20.05" customHeight="1" x14ac:dyDescent="0.35">
      <c r="B74" s="307" t="s">
        <v>17</v>
      </c>
      <c r="C74" s="308" t="s">
        <v>18</v>
      </c>
      <c r="D74" s="308" t="s">
        <v>19</v>
      </c>
      <c r="E74" s="308" t="s">
        <v>20</v>
      </c>
    </row>
    <row r="75" spans="2:5" ht="20.05" customHeight="1" x14ac:dyDescent="0.35">
      <c r="B75" s="4" t="s">
        <v>3002</v>
      </c>
      <c r="C75" s="362" t="str">
        <f>sample_xreg_vra_virtual_fqdn</f>
        <v>flt-auto01.rainpole.io</v>
      </c>
      <c r="D75" s="337" t="str">
        <f>vvs_dr_flt_auto_fqdn</f>
        <v>Value Missing</v>
      </c>
      <c r="E75" s="32"/>
    </row>
    <row r="76" spans="2:5" ht="20.05" customHeight="1" x14ac:dyDescent="0.35">
      <c r="B76" s="4" t="s">
        <v>2998</v>
      </c>
      <c r="C76" s="362" t="s">
        <v>2999</v>
      </c>
      <c r="D76" s="337" t="str">
        <f>C76</f>
        <v>automation</v>
      </c>
      <c r="E76" s="32"/>
    </row>
    <row r="77" spans="2:5" ht="20.05" customHeight="1" x14ac:dyDescent="0.35">
      <c r="B77" s="4" t="s">
        <v>3003</v>
      </c>
      <c r="C77" s="362" t="str">
        <f>sample_vvs_dr_ntp1_server</f>
        <v>ntp0.lax.rainpole.io</v>
      </c>
      <c r="D77" s="337" t="str">
        <f>vvs_dr_ntp1_server</f>
        <v>Value Missing</v>
      </c>
      <c r="E77" s="32"/>
    </row>
    <row r="78" spans="2:5" ht="16" customHeight="1" x14ac:dyDescent="0.35"/>
    <row r="79" spans="2:5" ht="30" customHeight="1" x14ac:dyDescent="0.35">
      <c r="B79" s="557" t="s">
        <v>3004</v>
      </c>
      <c r="C79" s="557"/>
      <c r="D79" s="557"/>
      <c r="E79" s="557"/>
    </row>
    <row r="80" spans="2:5" ht="20.05" customHeight="1" x14ac:dyDescent="0.35">
      <c r="B80" s="561"/>
      <c r="C80" s="561"/>
      <c r="D80" s="561"/>
      <c r="E80" s="561"/>
    </row>
    <row r="81" spans="2:5" ht="20.05" customHeight="1" x14ac:dyDescent="0.35">
      <c r="B81" s="307" t="s">
        <v>17</v>
      </c>
      <c r="C81" s="308" t="s">
        <v>18</v>
      </c>
      <c r="D81" s="308" t="s">
        <v>19</v>
      </c>
      <c r="E81" s="308" t="s">
        <v>20</v>
      </c>
    </row>
    <row r="82" spans="2:5" ht="20.05" customHeight="1" x14ac:dyDescent="0.35">
      <c r="B82" s="4" t="s">
        <v>2997</v>
      </c>
      <c r="C82" s="362" t="str">
        <f>sample_vvs_dr_flt_ops_nodea_fqdn</f>
        <v>flt-ops01a.rainpole.io</v>
      </c>
      <c r="D82" s="337" t="str">
        <f>vvs_dr_flt_ops_nodea_fqdn</f>
        <v>Value Missing</v>
      </c>
      <c r="E82" s="32"/>
    </row>
    <row r="83" spans="2:5" ht="20.05" customHeight="1" x14ac:dyDescent="0.35">
      <c r="B83" s="4" t="s">
        <v>2998</v>
      </c>
      <c r="C83" s="362" t="s">
        <v>3005</v>
      </c>
      <c r="D83" s="337" t="s">
        <v>3005</v>
      </c>
      <c r="E83" s="32"/>
    </row>
    <row r="84" spans="2:5" ht="20.05" customHeight="1" x14ac:dyDescent="0.35">
      <c r="B84" s="4" t="s">
        <v>3000</v>
      </c>
      <c r="C84" s="362" t="str">
        <f>CONCATENATE(prefix_other_region_az1_cidr,"10.4")</f>
        <v>10.21.10.4</v>
      </c>
      <c r="D84" s="337" t="str">
        <f>vvs_dr_dns1_ip</f>
        <v>Value Missing</v>
      </c>
      <c r="E84" s="32"/>
    </row>
    <row r="85" spans="2:5" ht="20.05" customHeight="1" x14ac:dyDescent="0.35">
      <c r="B85" s="4" t="s">
        <v>3000</v>
      </c>
      <c r="C85" s="362" t="str">
        <f>sample_vvs_dr_dns2_ip</f>
        <v>10.21.10.5</v>
      </c>
      <c r="D85" s="337" t="str">
        <f t="array" ref="D85">vvs_dr_dns2_ip</f>
        <v>Value Missing</v>
      </c>
      <c r="E85" s="32"/>
    </row>
    <row r="86" spans="2:5" ht="16" customHeight="1" x14ac:dyDescent="0.35"/>
    <row r="87" spans="2:5" ht="34" customHeight="1" x14ac:dyDescent="0.35">
      <c r="B87" s="557" t="s">
        <v>3006</v>
      </c>
      <c r="C87" s="557"/>
      <c r="D87" s="557"/>
      <c r="E87" s="557"/>
    </row>
    <row r="88" spans="2:5" ht="20.05" customHeight="1" x14ac:dyDescent="0.35">
      <c r="B88" s="561"/>
      <c r="C88" s="561"/>
      <c r="D88" s="561"/>
      <c r="E88" s="561"/>
    </row>
    <row r="89" spans="2:5" ht="20.05" customHeight="1" x14ac:dyDescent="0.35">
      <c r="B89" s="307" t="s">
        <v>17</v>
      </c>
      <c r="C89" s="308" t="s">
        <v>18</v>
      </c>
      <c r="D89" s="308" t="s">
        <v>19</v>
      </c>
      <c r="E89" s="308" t="s">
        <v>20</v>
      </c>
    </row>
    <row r="90" spans="2:5" ht="20.05" customHeight="1" x14ac:dyDescent="0.35">
      <c r="B90" s="4" t="s">
        <v>2997</v>
      </c>
      <c r="C90" s="362" t="str">
        <f>sample_vvs_dr_flt_ops_nodea_fqdn</f>
        <v>flt-ops01a.rainpole.io</v>
      </c>
      <c r="D90" s="337" t="str">
        <f>vvs_dr_flt_ops_nodea_fqdn</f>
        <v>Value Missing</v>
      </c>
      <c r="E90" s="32"/>
    </row>
    <row r="91" spans="2:5" ht="20.05" customHeight="1" x14ac:dyDescent="0.35">
      <c r="B91" s="4" t="s">
        <v>2998</v>
      </c>
      <c r="C91" s="362" t="s">
        <v>3005</v>
      </c>
      <c r="D91" s="337" t="s">
        <v>3005</v>
      </c>
      <c r="E91" s="32"/>
    </row>
    <row r="92" spans="2:5" ht="20.05" customHeight="1" x14ac:dyDescent="0.35">
      <c r="B92" s="4" t="s">
        <v>3003</v>
      </c>
      <c r="C92" s="362" t="str">
        <f>sample_vvs_dr_ntp1_server</f>
        <v>ntp0.lax.rainpole.io</v>
      </c>
      <c r="D92" s="337" t="str">
        <f>vvs_dr_ntp1_server</f>
        <v>Value Missing</v>
      </c>
      <c r="E92" s="32"/>
    </row>
    <row r="93" spans="2:5" ht="16" customHeight="1" x14ac:dyDescent="0.35"/>
    <row r="94" spans="2:5" ht="34" customHeight="1" x14ac:dyDescent="0.35">
      <c r="B94" s="556" t="s">
        <v>3007</v>
      </c>
      <c r="C94" s="557"/>
      <c r="D94" s="557"/>
      <c r="E94" s="557"/>
    </row>
    <row r="95" spans="2:5" ht="16" customHeight="1" x14ac:dyDescent="0.35"/>
    <row r="96" spans="2:5" ht="34" customHeight="1" x14ac:dyDescent="0.35">
      <c r="B96" s="557" t="s">
        <v>3008</v>
      </c>
      <c r="C96" s="557"/>
      <c r="D96" s="557"/>
      <c r="E96" s="557"/>
    </row>
    <row r="97" spans="2:6" ht="20.05" customHeight="1" x14ac:dyDescent="0.35">
      <c r="B97" s="561"/>
      <c r="C97" s="561"/>
      <c r="D97" s="561"/>
      <c r="E97" s="561"/>
    </row>
    <row r="98" spans="2:6" ht="20.05" customHeight="1" x14ac:dyDescent="0.35">
      <c r="B98" s="307" t="s">
        <v>17</v>
      </c>
      <c r="C98" s="308" t="s">
        <v>18</v>
      </c>
      <c r="D98" s="308" t="s">
        <v>19</v>
      </c>
      <c r="E98" s="308" t="s">
        <v>20</v>
      </c>
    </row>
    <row r="99" spans="2:6" ht="20.05" customHeight="1" x14ac:dyDescent="0.35">
      <c r="B99" s="4" t="s">
        <v>368</v>
      </c>
      <c r="C99" s="362" t="str">
        <f>CONCATENATE(this_instance,"-m01-vc01.",sample_child_dns_zone)</f>
        <v>sfo-m01-vc01.sfo.rainpole.io</v>
      </c>
      <c r="D99" s="347"/>
      <c r="E99" s="32"/>
    </row>
    <row r="100" spans="2:6" ht="20.05" customHeight="1" x14ac:dyDescent="0.35">
      <c r="B100" s="361" t="s">
        <v>732</v>
      </c>
      <c r="C100" s="362" t="str">
        <f>CONCATENATE(this_instance,"-m01-cl01")</f>
        <v>sfo-m01-cl01</v>
      </c>
      <c r="D100" s="347"/>
      <c r="E100" s="32"/>
    </row>
    <row r="101" spans="2:6" ht="20.05" customHeight="1" x14ac:dyDescent="0.35">
      <c r="B101" s="361" t="s">
        <v>2845</v>
      </c>
      <c r="C101" s="89" t="str">
        <f>CONCATENATE(this_instance,"-m01-vlr01")</f>
        <v>sfo-m01-vlr01</v>
      </c>
      <c r="D101" s="347"/>
      <c r="E101" s="32"/>
    </row>
    <row r="102" spans="2:6" ht="20.05" customHeight="1" x14ac:dyDescent="0.35">
      <c r="B102" s="361" t="s">
        <v>2847</v>
      </c>
      <c r="C102" s="362" t="str">
        <f>sample_vvs_dr_mgmt_cl01_cluster</f>
        <v>sfo-m01-cl01</v>
      </c>
      <c r="D102" s="337" t="str">
        <f>vvs_dr_mgmt_cl01_cluster</f>
        <v>Value Missing</v>
      </c>
      <c r="E102" s="32"/>
    </row>
    <row r="103" spans="2:6" ht="20.05" customHeight="1" x14ac:dyDescent="0.35">
      <c r="B103" s="361" t="s">
        <v>103</v>
      </c>
      <c r="C103" s="362" t="str">
        <f>CONCATENATE(this_instance,"-m01-cl01-ds-vsan01")</f>
        <v>sfo-m01-cl01-ds-vsan01</v>
      </c>
      <c r="D103" s="347"/>
      <c r="E103" s="32"/>
    </row>
    <row r="104" spans="2:6" ht="20.05" customHeight="1" x14ac:dyDescent="0.35">
      <c r="B104" s="4" t="s">
        <v>2848</v>
      </c>
      <c r="C104" s="362" t="str">
        <f>CONCATENATE(this_instance,"-m01-cl01-vds01-pg-vm-mgmt")</f>
        <v>sfo-m01-cl01-vds01-pg-vm-mgmt</v>
      </c>
      <c r="D104" s="347"/>
      <c r="E104" s="32"/>
    </row>
    <row r="105" spans="2:6" ht="20.05" customHeight="1" x14ac:dyDescent="0.35">
      <c r="B105" s="4" t="s">
        <v>302</v>
      </c>
      <c r="C105" s="362" t="str">
        <f>CONCATENATE(sample_vvs_mgmt_dr_vlr_hostname,".",sample_child_dns_zone)</f>
        <v>sfo-m01-vlr01.sfo.rainpole.io</v>
      </c>
      <c r="D105" s="347"/>
      <c r="E105" s="32"/>
      <c r="F105" s="2"/>
    </row>
    <row r="106" spans="2:6" ht="20.05" customHeight="1" x14ac:dyDescent="0.35">
      <c r="B106" s="4" t="s">
        <v>2849</v>
      </c>
      <c r="C106" s="362" t="str">
        <f>sample_mgmt_vrms_root_password</f>
        <v>VMw@re1!</v>
      </c>
      <c r="D106" s="347"/>
      <c r="E106" s="32"/>
    </row>
    <row r="107" spans="2:6" ht="20.05" customHeight="1" x14ac:dyDescent="0.35">
      <c r="B107" s="361" t="s">
        <v>2850</v>
      </c>
      <c r="C107" s="362" t="str">
        <f>sample_mgmt_vrms_admin_password</f>
        <v>VMw@re1!</v>
      </c>
      <c r="D107" s="347"/>
      <c r="E107" s="32"/>
    </row>
    <row r="108" spans="2:6" ht="20.05" customHeight="1" x14ac:dyDescent="0.35">
      <c r="B108" s="361" t="s">
        <v>299</v>
      </c>
      <c r="C108" s="362" t="str">
        <f>CONCATENATE("ntp0.",this_instance,".rainpole.io")</f>
        <v>ntp0.sfo.rainpole.io</v>
      </c>
      <c r="D108" s="337"/>
      <c r="E108" s="32"/>
    </row>
    <row r="109" spans="2:6" ht="20.05" customHeight="1" x14ac:dyDescent="0.35">
      <c r="B109" s="4" t="s">
        <v>254</v>
      </c>
      <c r="C109" s="362" t="str">
        <f>IF(mgmt_dpg_reuse_result="Included",CONCATENATE(prefix_mgmt_az1_cidr,"10.1"),CONCATENATE(prefix_mgmt_az1_cidr,"11.1"))</f>
        <v>10.11.10.1</v>
      </c>
      <c r="D109" s="347"/>
      <c r="E109" s="32"/>
    </row>
    <row r="110" spans="2:6" ht="20.05" customHeight="1" x14ac:dyDescent="0.35">
      <c r="B110" s="361" t="s">
        <v>606</v>
      </c>
      <c r="C110" s="362" t="str">
        <f>CONCATENATE(this_instance,".rainpole.io")</f>
        <v>sfo.rainpole.io</v>
      </c>
      <c r="D110" s="347"/>
      <c r="E110" s="32"/>
    </row>
    <row r="111" spans="2:6" ht="20.05" customHeight="1" x14ac:dyDescent="0.35">
      <c r="B111" s="361" t="s">
        <v>2851</v>
      </c>
      <c r="C111" s="362" t="str">
        <f>CONCATENATE(this_instance,".rainpole.io")</f>
        <v>sfo.rainpole.io</v>
      </c>
      <c r="D111" s="347"/>
      <c r="E111" s="32"/>
    </row>
    <row r="112" spans="2:6" ht="20.05" customHeight="1" x14ac:dyDescent="0.35">
      <c r="B112" s="361" t="s">
        <v>2852</v>
      </c>
      <c r="C112" s="362" t="str">
        <f>CONCATENATE(sample_region_dns1_ip,",",sample_region_dns2_ip)</f>
        <v>10.11.10.4,10.11.10.5</v>
      </c>
      <c r="D112" s="347"/>
      <c r="E112" s="32"/>
    </row>
    <row r="113" spans="2:5" ht="20.05" customHeight="1" x14ac:dyDescent="0.35">
      <c r="B113" s="361" t="s">
        <v>2853</v>
      </c>
      <c r="C113" s="89" t="str">
        <f>IF(mgmt_dpg_reuse_result="Included",CONCATENATE(prefix_mgmt_az1_cidr,"10.125"),CONCATENATE(prefix_mgmt_az1_cidr,"11.125"))</f>
        <v>10.11.10.125</v>
      </c>
      <c r="D113" s="347"/>
      <c r="E113" s="100" t="s">
        <v>3009</v>
      </c>
    </row>
    <row r="114" spans="2:5" ht="20.05" customHeight="1" x14ac:dyDescent="0.35">
      <c r="B114" s="361" t="s">
        <v>2854</v>
      </c>
      <c r="C114" s="362">
        <v>24</v>
      </c>
      <c r="D114" s="347"/>
      <c r="E114" s="32"/>
    </row>
    <row r="115" spans="2:5" ht="16" customHeight="1" x14ac:dyDescent="0.35"/>
    <row r="116" spans="2:5" ht="34" customHeight="1" x14ac:dyDescent="0.35">
      <c r="B116" s="557" t="s">
        <v>3010</v>
      </c>
      <c r="C116" s="557"/>
      <c r="D116" s="557"/>
      <c r="E116" s="557"/>
    </row>
    <row r="117" spans="2:5" ht="20.05" customHeight="1" x14ac:dyDescent="0.35">
      <c r="B117" s="561"/>
      <c r="C117" s="561"/>
      <c r="D117" s="561"/>
      <c r="E117" s="561"/>
    </row>
    <row r="118" spans="2:5" ht="20.05" customHeight="1" x14ac:dyDescent="0.35">
      <c r="B118" s="307" t="s">
        <v>17</v>
      </c>
      <c r="C118" s="308" t="s">
        <v>18</v>
      </c>
      <c r="D118" s="308" t="s">
        <v>19</v>
      </c>
      <c r="E118" s="308" t="s">
        <v>20</v>
      </c>
    </row>
    <row r="119" spans="2:5" ht="20.05" customHeight="1" x14ac:dyDescent="0.35">
      <c r="B119" s="4" t="s">
        <v>2856</v>
      </c>
      <c r="C119" s="362" t="str">
        <f>CONCATENATE(sample_vvs_mgmt_dr_vlr_fqdn,":5480")</f>
        <v>sfo-m01-vlr01.sfo.rainpole.io:5480</v>
      </c>
      <c r="D119" s="337" t="str">
        <f>CONCATENATE(vvs_mgmt_dr_vlr_fqdn,":5480")</f>
        <v>Value Missing:5480</v>
      </c>
      <c r="E119" s="32"/>
    </row>
    <row r="120" spans="2:5" ht="20.05" customHeight="1" x14ac:dyDescent="0.35">
      <c r="B120" s="4" t="s">
        <v>58</v>
      </c>
      <c r="C120" s="85" t="str">
        <f>sample_ca_organization_unit</f>
        <v>Rainpole</v>
      </c>
      <c r="D120" s="347"/>
      <c r="E120" s="32"/>
    </row>
    <row r="121" spans="2:5" ht="20.05" customHeight="1" x14ac:dyDescent="0.35">
      <c r="B121" s="4" t="s">
        <v>3011</v>
      </c>
      <c r="C121" s="85" t="str">
        <f>sample_ca_organization</f>
        <v>IT</v>
      </c>
      <c r="D121" s="347"/>
      <c r="E121" s="32"/>
    </row>
    <row r="122" spans="2:5" ht="20.05" customHeight="1" x14ac:dyDescent="0.35">
      <c r="B122" s="4" t="s">
        <v>66</v>
      </c>
      <c r="C122" s="85" t="str">
        <f>sample_ca_locality</f>
        <v>San Francisco</v>
      </c>
      <c r="D122" s="347"/>
      <c r="E122" s="32"/>
    </row>
    <row r="123" spans="2:5" ht="20.05" customHeight="1" x14ac:dyDescent="0.35">
      <c r="B123" s="4" t="s">
        <v>64</v>
      </c>
      <c r="C123" s="85" t="str">
        <f>sample_ca_state</f>
        <v>CA</v>
      </c>
      <c r="D123" s="347"/>
      <c r="E123" s="32"/>
    </row>
    <row r="124" spans="2:5" ht="20.05" customHeight="1" x14ac:dyDescent="0.35">
      <c r="B124" s="4" t="s">
        <v>62</v>
      </c>
      <c r="C124" s="85" t="str">
        <f>sample_ca_country</f>
        <v>US</v>
      </c>
      <c r="D124" s="347"/>
      <c r="E124" s="32"/>
    </row>
    <row r="125" spans="2:5" ht="20.05" customHeight="1" x14ac:dyDescent="0.35">
      <c r="B125" s="4" t="s">
        <v>38</v>
      </c>
      <c r="C125" s="85" t="str">
        <f>sample_vvs_mgmt_dr_vlr_fqdn</f>
        <v>sfo-m01-vlr01.sfo.rainpole.io</v>
      </c>
      <c r="D125" s="337" t="str">
        <f>vvs_mgmt_dr_vlr_fqdn</f>
        <v>Value Missing</v>
      </c>
      <c r="E125" s="32"/>
    </row>
    <row r="126" spans="2:5" ht="20.05" customHeight="1" x14ac:dyDescent="0.35">
      <c r="B126" s="4" t="s">
        <v>3012</v>
      </c>
      <c r="C126" s="85" t="str">
        <f>sample_mgmt_vrms_mgmt_ip</f>
        <v>10.11.10.125</v>
      </c>
      <c r="D126" s="337" t="str">
        <f>mgmt_vrms_mgmt_ip</f>
        <v>Value Missing</v>
      </c>
      <c r="E126" s="32"/>
    </row>
    <row r="127" spans="2:5" ht="20.05" customHeight="1" x14ac:dyDescent="0.35">
      <c r="B127" s="4" t="s">
        <v>3013</v>
      </c>
      <c r="C127" s="362" t="s">
        <v>3014</v>
      </c>
      <c r="D127" s="347"/>
      <c r="E127" s="32"/>
    </row>
    <row r="128" spans="2:5" ht="16" customHeight="1" x14ac:dyDescent="0.35"/>
    <row r="129" spans="2:5" ht="34" customHeight="1" x14ac:dyDescent="0.35">
      <c r="B129" s="557" t="s">
        <v>3015</v>
      </c>
      <c r="C129" s="557"/>
      <c r="D129" s="557"/>
      <c r="E129" s="557"/>
    </row>
    <row r="130" spans="2:5" ht="20.05" customHeight="1" x14ac:dyDescent="0.35">
      <c r="B130" s="561"/>
      <c r="C130" s="561"/>
      <c r="D130" s="561"/>
      <c r="E130" s="561"/>
    </row>
    <row r="131" spans="2:5" ht="20.05" customHeight="1" x14ac:dyDescent="0.35">
      <c r="B131" s="307" t="s">
        <v>17</v>
      </c>
      <c r="C131" s="308" t="s">
        <v>18</v>
      </c>
      <c r="D131" s="308" t="s">
        <v>19</v>
      </c>
      <c r="E131" s="308" t="s">
        <v>20</v>
      </c>
    </row>
    <row r="132" spans="2:5" ht="20.05" customHeight="1" x14ac:dyDescent="0.35">
      <c r="B132" s="361" t="s">
        <v>3016</v>
      </c>
      <c r="C132" s="362" t="str">
        <f>sample_vvs_dr_mgmt_vc_fqdn</f>
        <v>sfo-m01-vc01.sfo.rainpole.io</v>
      </c>
      <c r="D132" s="337" t="str">
        <f>vvs_dr_mgmt_vc_fqdn</f>
        <v>Value Missing</v>
      </c>
      <c r="E132" s="32"/>
    </row>
    <row r="133" spans="2:5" ht="20.05" customHeight="1" x14ac:dyDescent="0.35">
      <c r="B133" s="361" t="s">
        <v>2726</v>
      </c>
      <c r="C133" s="362" t="s">
        <v>3017</v>
      </c>
      <c r="D133" s="347"/>
      <c r="E133" s="32"/>
    </row>
    <row r="134" spans="2:5" ht="20.05" customHeight="1" x14ac:dyDescent="0.35">
      <c r="B134" s="361" t="s">
        <v>3018</v>
      </c>
      <c r="C134" s="362" t="str">
        <f>IF(mgmt_domain_chosen="First Instance","svc_sfo-m01-vlr01_sfo-m01-vc01","svc_lax-m01-vlr01_lax-m01-vc01")</f>
        <v>svc_sfo-m01-vlr01_sfo-m01-vc01</v>
      </c>
      <c r="D134" s="347"/>
      <c r="E134" s="32"/>
    </row>
    <row r="135" spans="2:5" ht="20.05" customHeight="1" x14ac:dyDescent="0.35">
      <c r="B135" s="361" t="s">
        <v>3019</v>
      </c>
      <c r="C135" s="362" t="s">
        <v>30</v>
      </c>
      <c r="D135" s="347"/>
      <c r="E135" s="32"/>
    </row>
    <row r="136" spans="2:5" ht="16" customHeight="1" x14ac:dyDescent="0.35"/>
    <row r="137" spans="2:5" ht="34" customHeight="1" x14ac:dyDescent="0.35">
      <c r="B137" s="557" t="s">
        <v>3020</v>
      </c>
      <c r="C137" s="557"/>
      <c r="D137" s="557"/>
      <c r="E137" s="557"/>
    </row>
    <row r="138" spans="2:5" ht="20.05" customHeight="1" x14ac:dyDescent="0.35">
      <c r="B138" s="561"/>
      <c r="C138" s="561"/>
      <c r="D138" s="561"/>
      <c r="E138" s="561"/>
    </row>
    <row r="139" spans="2:5" ht="20.05" customHeight="1" x14ac:dyDescent="0.35">
      <c r="B139" s="307" t="s">
        <v>17</v>
      </c>
      <c r="C139" s="308" t="s">
        <v>18</v>
      </c>
      <c r="D139" s="308" t="s">
        <v>19</v>
      </c>
      <c r="E139" s="308" t="s">
        <v>20</v>
      </c>
    </row>
    <row r="140" spans="2:5" ht="20.05" customHeight="1" x14ac:dyDescent="0.35">
      <c r="B140" s="361" t="s">
        <v>3016</v>
      </c>
      <c r="C140" s="362" t="str">
        <f>sample_vvs_dr_mgmt_vc_fqdn</f>
        <v>sfo-m01-vc01.sfo.rainpole.io</v>
      </c>
      <c r="D140" s="337" t="str">
        <f>vvs_dr_mgmt_vc_fqdn</f>
        <v>Value Missing</v>
      </c>
      <c r="E140" s="32"/>
    </row>
    <row r="141" spans="2:5" ht="20.05" customHeight="1" x14ac:dyDescent="0.35">
      <c r="B141" s="361" t="s">
        <v>2726</v>
      </c>
      <c r="C141" s="362" t="str">
        <f>sample_vvs_dr_sso_domain</f>
        <v>vsphere.local</v>
      </c>
      <c r="D141" s="337" t="str">
        <f>vvs_dr_sso_domain</f>
        <v>Value Missing</v>
      </c>
      <c r="E141" s="32"/>
    </row>
    <row r="142" spans="2:5" ht="20.05" customHeight="1" x14ac:dyDescent="0.35">
      <c r="B142" s="361" t="s">
        <v>3021</v>
      </c>
      <c r="C142" s="362" t="str">
        <f>IF(mgmt_domain_chosen="First Instance","svc_sfo-m01-vlr01_sfo-m01-vc01","svc_lax-m01-vlr01_lax-m01-vc01")</f>
        <v>svc_sfo-m01-vlr01_sfo-m01-vc01</v>
      </c>
      <c r="D142" s="337" t="str">
        <f>vvs_dr_vr_username</f>
        <v>Value Missing</v>
      </c>
      <c r="E142" s="32"/>
    </row>
    <row r="143" spans="2:5" ht="16" customHeight="1" x14ac:dyDescent="0.35">
      <c r="B143" s="23"/>
      <c r="C143" s="142"/>
    </row>
    <row r="144" spans="2:5" ht="34" customHeight="1" x14ac:dyDescent="0.35">
      <c r="B144" s="557" t="s">
        <v>3022</v>
      </c>
      <c r="C144" s="557"/>
      <c r="D144" s="557"/>
      <c r="E144" s="557"/>
    </row>
    <row r="145" spans="2:5" ht="20.05" customHeight="1" x14ac:dyDescent="0.35">
      <c r="B145" s="561"/>
      <c r="C145" s="561"/>
      <c r="D145" s="561"/>
      <c r="E145" s="561"/>
    </row>
    <row r="146" spans="2:5" ht="20.05" customHeight="1" x14ac:dyDescent="0.35">
      <c r="B146" s="307" t="s">
        <v>17</v>
      </c>
      <c r="C146" s="308" t="s">
        <v>18</v>
      </c>
      <c r="D146" s="308" t="s">
        <v>19</v>
      </c>
      <c r="E146" s="308" t="s">
        <v>20</v>
      </c>
    </row>
    <row r="147" spans="2:5" ht="20.05" customHeight="1" x14ac:dyDescent="0.35">
      <c r="B147" s="295" t="s">
        <v>3023</v>
      </c>
      <c r="C147" s="362" t="str">
        <f>sample_vvs_mgmt_dr_vlr_fqdn</f>
        <v>sfo-m01-vlr01.sfo.rainpole.io</v>
      </c>
      <c r="D147" s="337" t="str">
        <f>CONCATENATE(vvs_mgmt_dr_vlr_fqdn,":5480")</f>
        <v>Value Missing:5480</v>
      </c>
      <c r="E147" s="32"/>
    </row>
    <row r="148" spans="2:5" ht="20.05" customHeight="1" x14ac:dyDescent="0.35">
      <c r="B148" s="295" t="s">
        <v>2859</v>
      </c>
      <c r="C148" s="362" t="str">
        <f>sample_mgmt_vc_fqdn</f>
        <v>sfo-m01-vc01.sfo.rainpole.io</v>
      </c>
      <c r="D148" s="337" t="str">
        <f>vvs_dr_mgmt_vc_fqdn</f>
        <v>Value Missing</v>
      </c>
      <c r="E148" s="32"/>
    </row>
    <row r="149" spans="2:5" ht="20.05" customHeight="1" x14ac:dyDescent="0.35">
      <c r="B149" s="295" t="s">
        <v>78</v>
      </c>
      <c r="C149" s="362" t="str">
        <f>IF(mgmt_domain_chosen="First Instance","svc_sfo-m01-vlr01_sfo-m01-vc01@vsphere.local","svc_lax-m01-vlr01_lax-m01-vc01@vsphere.local")</f>
        <v>svc_sfo-m01-vlr01_sfo-m01-vc01@vsphere.local</v>
      </c>
      <c r="D149" s="337" t="str">
        <f>CONCATENATE(vvs_dr_vr_username,"@",vvs_dr_sso_domain)</f>
        <v>Value Missing@Value Missing</v>
      </c>
      <c r="E149" s="32"/>
    </row>
    <row r="150" spans="2:5" ht="20.05" customHeight="1" x14ac:dyDescent="0.35">
      <c r="B150" s="295" t="s">
        <v>29</v>
      </c>
      <c r="C150" s="362" t="s">
        <v>30</v>
      </c>
      <c r="D150" s="337" t="str">
        <f>vvs_dr_vr_password</f>
        <v>Value Missing</v>
      </c>
      <c r="E150" s="32"/>
    </row>
    <row r="151" spans="2:5" ht="20.05" customHeight="1" x14ac:dyDescent="0.35">
      <c r="B151" s="295" t="s">
        <v>1657</v>
      </c>
      <c r="C151" s="362" t="str">
        <f>sample_mgmt_vc_fqdn</f>
        <v>sfo-m01-vc01.sfo.rainpole.io</v>
      </c>
      <c r="D151" s="337" t="str">
        <f>vvs_dr_mgmt_vc_fqdn</f>
        <v>Value Missing</v>
      </c>
      <c r="E151" s="32"/>
    </row>
    <row r="152" spans="2:5" ht="20.05" customHeight="1" x14ac:dyDescent="0.35">
      <c r="B152" s="295" t="s">
        <v>2743</v>
      </c>
      <c r="C152" s="362" t="str">
        <f>UPPER(sample_mgmt_sddc_domain)</f>
        <v>SFO-M01</v>
      </c>
      <c r="D152" s="347"/>
      <c r="E152" s="32"/>
    </row>
    <row r="153" spans="2:5" ht="20.05" customHeight="1" x14ac:dyDescent="0.35">
      <c r="B153" s="295" t="s">
        <v>2860</v>
      </c>
      <c r="C153" s="362" t="str">
        <f>CONCATENATE("vlr-administrator@",sample_parent_dns_zone)</f>
        <v>vlr-administrator@rainpole.io</v>
      </c>
      <c r="D153" s="347"/>
      <c r="E153" s="32"/>
    </row>
    <row r="154" spans="2:5" ht="20.05" customHeight="1" x14ac:dyDescent="0.35">
      <c r="B154" s="295" t="s">
        <v>2861</v>
      </c>
      <c r="C154" s="84" t="str">
        <f>sample_vvs_mgmt_dr_vlr_fqdn</f>
        <v>sfo-m01-vlr01.sfo.rainpole.io</v>
      </c>
      <c r="D154" s="253" t="str">
        <f>vvs_mgmt_dr_vlr_fqdn</f>
        <v>Value Missing</v>
      </c>
      <c r="E154" s="32"/>
    </row>
    <row r="155" spans="2:5" ht="16" customHeight="1" x14ac:dyDescent="0.35">
      <c r="B155" s="23"/>
      <c r="C155" s="142"/>
    </row>
    <row r="156" spans="2:5" ht="34" customHeight="1" x14ac:dyDescent="0.35">
      <c r="B156" s="557" t="s">
        <v>3024</v>
      </c>
      <c r="C156" s="557"/>
      <c r="D156" s="557"/>
      <c r="E156" s="557"/>
    </row>
    <row r="157" spans="2:5" ht="20.05" customHeight="1" x14ac:dyDescent="0.35">
      <c r="B157" s="561"/>
      <c r="C157" s="561"/>
      <c r="D157" s="561"/>
      <c r="E157" s="561"/>
    </row>
    <row r="158" spans="2:5" ht="20.05" customHeight="1" x14ac:dyDescent="0.35">
      <c r="B158" s="307" t="s">
        <v>17</v>
      </c>
      <c r="C158" s="308" t="s">
        <v>18</v>
      </c>
      <c r="D158" s="308" t="s">
        <v>19</v>
      </c>
      <c r="E158" s="308" t="s">
        <v>20</v>
      </c>
    </row>
    <row r="159" spans="2:5" ht="20.05" customHeight="1" x14ac:dyDescent="0.35">
      <c r="B159" s="361" t="s">
        <v>368</v>
      </c>
      <c r="C159" s="362" t="str">
        <f>sample_vvs_dr_mgmt_vc_fqdn</f>
        <v>sfo-m01-vc01.sfo.rainpole.io</v>
      </c>
      <c r="D159" s="337" t="str">
        <f>vvs_dr_mgmt_vc_fqdn</f>
        <v>Value Missing</v>
      </c>
      <c r="E159" s="32"/>
    </row>
    <row r="160" spans="2:5" ht="20.05" customHeight="1" x14ac:dyDescent="0.35">
      <c r="B160" s="361" t="s">
        <v>2863</v>
      </c>
      <c r="C160" s="362" t="str">
        <f>sample_mgmt_cl01_vds01_name</f>
        <v>sfo-m01-cl01-vds01</v>
      </c>
      <c r="D160" s="347"/>
      <c r="E160" s="32"/>
    </row>
    <row r="161" spans="2:5" ht="20.05" customHeight="1" x14ac:dyDescent="0.35">
      <c r="B161" s="502" t="s">
        <v>2864</v>
      </c>
      <c r="C161" s="503"/>
      <c r="D161" s="503"/>
      <c r="E161" s="504"/>
    </row>
    <row r="162" spans="2:5" ht="20.05" customHeight="1" x14ac:dyDescent="0.35">
      <c r="B162" s="361" t="s">
        <v>261</v>
      </c>
      <c r="C162" s="80" t="str">
        <f>CONCATENATE(this_instance,"01-m01-cl01-vds01-pg-vrms")</f>
        <v>sfo01-m01-cl01-vds01-pg-vrms</v>
      </c>
      <c r="D162" s="347"/>
      <c r="E162" s="32"/>
    </row>
    <row r="163" spans="2:5" ht="20.05" customHeight="1" x14ac:dyDescent="0.35">
      <c r="B163" s="22" t="s">
        <v>85</v>
      </c>
      <c r="C163" s="80" t="str">
        <f>CONCATENATE(prefix_mgmt_az1_vlan,"09")</f>
        <v>1109</v>
      </c>
      <c r="D163" s="347"/>
      <c r="E163" s="210"/>
    </row>
    <row r="164" spans="2:5" ht="16" customHeight="1" x14ac:dyDescent="0.35"/>
    <row r="165" spans="2:5" ht="34" customHeight="1" x14ac:dyDescent="0.35">
      <c r="B165" s="557" t="s">
        <v>3025</v>
      </c>
      <c r="C165" s="557"/>
      <c r="D165" s="557"/>
      <c r="E165" s="557"/>
    </row>
    <row r="166" spans="2:5" ht="20.05" customHeight="1" x14ac:dyDescent="0.35">
      <c r="B166" s="561"/>
      <c r="C166" s="561"/>
      <c r="D166" s="561"/>
      <c r="E166" s="561"/>
    </row>
    <row r="167" spans="2:5" ht="20.05" customHeight="1" x14ac:dyDescent="0.35">
      <c r="B167" s="307" t="s">
        <v>17</v>
      </c>
      <c r="C167" s="308" t="s">
        <v>18</v>
      </c>
      <c r="D167" s="308" t="s">
        <v>19</v>
      </c>
      <c r="E167" s="308" t="s">
        <v>20</v>
      </c>
    </row>
    <row r="168" spans="2:5" ht="20.05" customHeight="1" x14ac:dyDescent="0.35">
      <c r="B168" s="361" t="s">
        <v>368</v>
      </c>
      <c r="C168" s="362" t="str">
        <f>sample_vvs_dr_mgmt_vc_fqdn</f>
        <v>sfo-m01-vc01.sfo.rainpole.io</v>
      </c>
      <c r="D168" s="337" t="str">
        <f>vvs_dr_mgmt_vc_fqdn</f>
        <v>Value Missing</v>
      </c>
      <c r="E168" s="32"/>
    </row>
    <row r="169" spans="2:5" ht="20.05" customHeight="1" x14ac:dyDescent="0.35">
      <c r="B169" s="361" t="s">
        <v>732</v>
      </c>
      <c r="C169" s="362" t="str">
        <f>CONCATENATE(this_instance,"-m01-cl01")</f>
        <v>sfo-m01-cl01</v>
      </c>
      <c r="D169" s="347"/>
      <c r="E169" s="32"/>
    </row>
    <row r="170" spans="2:5" ht="20.05" customHeight="1" x14ac:dyDescent="0.35">
      <c r="B170" s="4" t="s">
        <v>604</v>
      </c>
      <c r="C170" s="362" t="str">
        <f>sample_mgmt_vrms_pg</f>
        <v>sfo01-m01-cl01-vds01-pg-vrms</v>
      </c>
      <c r="D170" s="337" t="str">
        <f>mgmt_vrms_pg</f>
        <v>Value Missing</v>
      </c>
      <c r="E170" s="32"/>
    </row>
    <row r="171" spans="2:5" ht="20.05" customHeight="1" x14ac:dyDescent="0.35">
      <c r="B171" s="4" t="s">
        <v>188</v>
      </c>
      <c r="C171" s="80" t="str">
        <f>CONCATENATE(prefix_mgmt_az1_cidr,"9.0/24")</f>
        <v>10.11.9.0/24</v>
      </c>
      <c r="D171" s="347"/>
      <c r="E171" s="289"/>
    </row>
    <row r="172" spans="2:5" ht="20.05" customHeight="1" x14ac:dyDescent="0.35">
      <c r="B172" s="152" t="s">
        <v>253</v>
      </c>
      <c r="C172" s="80" t="s">
        <v>128</v>
      </c>
      <c r="D172" s="347"/>
      <c r="E172" s="289"/>
    </row>
    <row r="173" spans="2:5" ht="20.05" customHeight="1" x14ac:dyDescent="0.35">
      <c r="B173" s="4" t="s">
        <v>187</v>
      </c>
      <c r="C173" s="80" t="str">
        <f>CONCATENATE(prefix_mgmt_az1_cidr,"9.1")</f>
        <v>10.11.9.1</v>
      </c>
      <c r="D173" s="347"/>
      <c r="E173" s="289"/>
    </row>
    <row r="174" spans="2:5" ht="20.05" customHeight="1" x14ac:dyDescent="0.35">
      <c r="B174" s="22" t="s">
        <v>160</v>
      </c>
      <c r="C174" s="80">
        <v>9000</v>
      </c>
      <c r="D174" s="347"/>
      <c r="E174" s="289"/>
    </row>
    <row r="175" spans="2:5" ht="20.05" customHeight="1" x14ac:dyDescent="0.35">
      <c r="B175" s="532" t="s">
        <v>2876</v>
      </c>
      <c r="C175" s="533"/>
      <c r="D175" s="533"/>
      <c r="E175" s="534"/>
    </row>
    <row r="176" spans="2:5" ht="20.05" customHeight="1" x14ac:dyDescent="0.35">
      <c r="B176" s="361" t="str">
        <f t="array" ref="B176:B191">mgmt_az1_host_fqdns</f>
        <v>Value Missing</v>
      </c>
      <c r="C176" s="89" t="str">
        <f>CONCATENATE(prefix_mgmt_az1_cidr,"9.101")</f>
        <v>10.11.9.101</v>
      </c>
      <c r="D176" s="347"/>
      <c r="E176" s="100" t="s">
        <v>3026</v>
      </c>
    </row>
    <row r="177" spans="2:5" ht="20.05" customHeight="1" x14ac:dyDescent="0.35">
      <c r="B177" s="361" t="str">
        <v>Value Missing</v>
      </c>
      <c r="C177" s="89" t="str">
        <f>CONCATENATE(prefix_mgmt_az1_cidr,"9.102")</f>
        <v>10.11.9.102</v>
      </c>
      <c r="D177" s="347"/>
      <c r="E177" s="100" t="s">
        <v>3027</v>
      </c>
    </row>
    <row r="178" spans="2:5" ht="20.05" customHeight="1" x14ac:dyDescent="0.35">
      <c r="B178" s="361" t="str">
        <v>Value Missing</v>
      </c>
      <c r="C178" s="89" t="str">
        <f>CONCATENATE(prefix_mgmt_az1_cidr,"9.103")</f>
        <v>10.11.9.103</v>
      </c>
      <c r="D178" s="347"/>
      <c r="E178" s="100" t="s">
        <v>3028</v>
      </c>
    </row>
    <row r="179" spans="2:5" ht="20.05" customHeight="1" x14ac:dyDescent="0.35">
      <c r="B179" s="361" t="str">
        <v>Value Missing</v>
      </c>
      <c r="C179" s="89" t="str">
        <f>CONCATENATE(prefix_mgmt_az1_cidr,"9.104")</f>
        <v>10.11.9.104</v>
      </c>
      <c r="D179" s="347"/>
      <c r="E179" s="100" t="s">
        <v>3029</v>
      </c>
    </row>
    <row r="180" spans="2:5" ht="20.05" customHeight="1" x14ac:dyDescent="0.35">
      <c r="B180" s="361" t="str">
        <v>Value Missing</v>
      </c>
      <c r="C180" s="89" t="str">
        <f>CONCATENATE(prefix_mgmt_az1_cidr,"9.105")</f>
        <v>10.11.9.105</v>
      </c>
      <c r="D180" s="347"/>
      <c r="E180" s="100" t="s">
        <v>3030</v>
      </c>
    </row>
    <row r="181" spans="2:5" ht="20.05" customHeight="1" x14ac:dyDescent="0.35">
      <c r="B181" s="361" t="str">
        <v>Value Missing</v>
      </c>
      <c r="C181" s="89" t="str">
        <f>CONCATENATE(prefix_mgmt_az1_cidr,"9.106")</f>
        <v>10.11.9.106</v>
      </c>
      <c r="D181" s="347"/>
      <c r="E181" s="100" t="s">
        <v>3031</v>
      </c>
    </row>
    <row r="182" spans="2:5" ht="20.05" customHeight="1" x14ac:dyDescent="0.35">
      <c r="B182" s="4" t="str">
        <v>Value Missing</v>
      </c>
      <c r="C182" s="89" t="str">
        <f>CONCATENATE(prefix_mgmt_az1_cidr,"9.107")</f>
        <v>10.11.9.107</v>
      </c>
      <c r="D182" s="347"/>
      <c r="E182" s="100" t="s">
        <v>3032</v>
      </c>
    </row>
    <row r="183" spans="2:5" ht="20.05" customHeight="1" x14ac:dyDescent="0.35">
      <c r="B183" s="4" t="str">
        <v>Value Missing</v>
      </c>
      <c r="C183" s="89" t="str">
        <f>CONCATENATE(prefix_mgmt_az1_cidr,"9.108")</f>
        <v>10.11.9.108</v>
      </c>
      <c r="D183" s="347"/>
      <c r="E183" s="100" t="s">
        <v>3033</v>
      </c>
    </row>
    <row r="184" spans="2:5" ht="20.05" customHeight="1" x14ac:dyDescent="0.35">
      <c r="B184" s="4" t="str">
        <v>Value Missing</v>
      </c>
      <c r="C184" s="89" t="str">
        <f>CONCATENATE(prefix_mgmt_az1_cidr,"9.109")</f>
        <v>10.11.9.109</v>
      </c>
      <c r="D184" s="347"/>
      <c r="E184" s="100" t="s">
        <v>3034</v>
      </c>
    </row>
    <row r="185" spans="2:5" ht="20.05" customHeight="1" x14ac:dyDescent="0.35">
      <c r="B185" s="361" t="str">
        <v>Value Missing</v>
      </c>
      <c r="C185" s="89" t="str">
        <f>CONCATENATE(prefix_mgmt_az1_cidr,"9.110")</f>
        <v>10.11.9.110</v>
      </c>
      <c r="D185" s="347"/>
      <c r="E185" s="100" t="s">
        <v>3035</v>
      </c>
    </row>
    <row r="186" spans="2:5" ht="20.05" customHeight="1" x14ac:dyDescent="0.35">
      <c r="B186" s="361" t="str">
        <v>Value Missing</v>
      </c>
      <c r="C186" s="89" t="str">
        <f>CONCATENATE(prefix_mgmt_az1_cidr,"9.111")</f>
        <v>10.11.9.111</v>
      </c>
      <c r="D186" s="347"/>
      <c r="E186" s="100" t="s">
        <v>3036</v>
      </c>
    </row>
    <row r="187" spans="2:5" ht="20.05" customHeight="1" x14ac:dyDescent="0.35">
      <c r="B187" s="361" t="str">
        <v>Value Missing</v>
      </c>
      <c r="C187" s="89" t="str">
        <f>CONCATENATE(prefix_mgmt_az1_cidr,"9.112")</f>
        <v>10.11.9.112</v>
      </c>
      <c r="D187" s="347"/>
      <c r="E187" s="100" t="s">
        <v>3037</v>
      </c>
    </row>
    <row r="188" spans="2:5" ht="20.05" customHeight="1" x14ac:dyDescent="0.35">
      <c r="B188" s="358" t="str">
        <v>Value Missing</v>
      </c>
      <c r="C188" s="89" t="str">
        <f>CONCATENATE(prefix_mgmt_az1_cidr,"9.113")</f>
        <v>10.11.9.113</v>
      </c>
      <c r="D188" s="347"/>
      <c r="E188" s="100" t="s">
        <v>3038</v>
      </c>
    </row>
    <row r="189" spans="2:5" ht="20.05" customHeight="1" x14ac:dyDescent="0.35">
      <c r="B189" s="358" t="str">
        <v>Value Missing</v>
      </c>
      <c r="C189" s="89" t="str">
        <f>CONCATENATE(prefix_mgmt_az1_cidr,"9.114")</f>
        <v>10.11.9.114</v>
      </c>
      <c r="D189" s="347"/>
      <c r="E189" s="100" t="s">
        <v>3039</v>
      </c>
    </row>
    <row r="190" spans="2:5" ht="20.05" customHeight="1" x14ac:dyDescent="0.35">
      <c r="B190" s="358" t="str">
        <v>Value Missing</v>
      </c>
      <c r="C190" s="89" t="str">
        <f>CONCATENATE(prefix_mgmt_az1_cidr,"9.115")</f>
        <v>10.11.9.115</v>
      </c>
      <c r="D190" s="347"/>
      <c r="E190" s="100" t="s">
        <v>3040</v>
      </c>
    </row>
    <row r="191" spans="2:5" ht="20.05" customHeight="1" x14ac:dyDescent="0.35">
      <c r="B191" s="358" t="str">
        <v>Value Missing</v>
      </c>
      <c r="C191" s="89" t="str">
        <f>CONCATENATE(prefix_mgmt_az1_cidr,"9.116")</f>
        <v>10.11.9.116</v>
      </c>
      <c r="D191" s="347"/>
      <c r="E191" s="100" t="s">
        <v>3041</v>
      </c>
    </row>
    <row r="192" spans="2:5" ht="20.05" customHeight="1" x14ac:dyDescent="0.35">
      <c r="B192" s="532" t="s">
        <v>2893</v>
      </c>
      <c r="C192" s="533"/>
      <c r="D192" s="533"/>
      <c r="E192" s="534"/>
    </row>
    <row r="193" spans="2:5" ht="20.05" customHeight="1" x14ac:dyDescent="0.35">
      <c r="B193" s="361" t="str">
        <f t="array" ref="B193:B208">mgmt_az2_host_fqdns</f>
        <v>Value Missing</v>
      </c>
      <c r="C193" s="89" t="str">
        <f>CONCATENATE(prefix_mgmt_az1_cidr,"9.201")</f>
        <v>10.11.9.201</v>
      </c>
      <c r="D193" s="347"/>
      <c r="E193" s="100" t="s">
        <v>3026</v>
      </c>
    </row>
    <row r="194" spans="2:5" ht="20.05" customHeight="1" x14ac:dyDescent="0.35">
      <c r="B194" s="361" t="str">
        <v>Value Missing</v>
      </c>
      <c r="C194" s="89" t="str">
        <f>CONCATENATE(prefix_mgmt_az1_cidr,"9.202")</f>
        <v>10.11.9.202</v>
      </c>
      <c r="D194" s="347"/>
      <c r="E194" s="100" t="s">
        <v>3027</v>
      </c>
    </row>
    <row r="195" spans="2:5" ht="20.05" customHeight="1" x14ac:dyDescent="0.35">
      <c r="B195" s="361" t="str">
        <v>Value Missing</v>
      </c>
      <c r="C195" s="89" t="str">
        <f>CONCATENATE(prefix_mgmt_az1_cidr,"9.203")</f>
        <v>10.11.9.203</v>
      </c>
      <c r="D195" s="347"/>
      <c r="E195" s="100" t="s">
        <v>3028</v>
      </c>
    </row>
    <row r="196" spans="2:5" ht="20.05" customHeight="1" x14ac:dyDescent="0.35">
      <c r="B196" s="361" t="str">
        <v>Value Missing</v>
      </c>
      <c r="C196" s="89" t="str">
        <f>CONCATENATE(prefix_mgmt_az1_cidr,"9.204")</f>
        <v>10.11.9.204</v>
      </c>
      <c r="D196" s="347"/>
      <c r="E196" s="100" t="s">
        <v>3029</v>
      </c>
    </row>
    <row r="197" spans="2:5" ht="20.05" customHeight="1" x14ac:dyDescent="0.35">
      <c r="B197" s="361" t="str">
        <v>Value Missing</v>
      </c>
      <c r="C197" s="89" t="str">
        <f>CONCATENATE(prefix_mgmt_az1_cidr,"9.205")</f>
        <v>10.11.9.205</v>
      </c>
      <c r="D197" s="347"/>
      <c r="E197" s="100" t="s">
        <v>3030</v>
      </c>
    </row>
    <row r="198" spans="2:5" ht="20.05" customHeight="1" x14ac:dyDescent="0.35">
      <c r="B198" s="361" t="str">
        <v>Value Missing</v>
      </c>
      <c r="C198" s="89" t="str">
        <f>CONCATENATE(prefix_mgmt_az1_cidr,"9.206")</f>
        <v>10.11.9.206</v>
      </c>
      <c r="D198" s="347"/>
      <c r="E198" s="100" t="s">
        <v>3031</v>
      </c>
    </row>
    <row r="199" spans="2:5" ht="20.05" customHeight="1" x14ac:dyDescent="0.35">
      <c r="B199" s="4" t="str">
        <v>Value Missing</v>
      </c>
      <c r="C199" s="89" t="str">
        <f>CONCATENATE(prefix_mgmt_az1_cidr,"9.207")</f>
        <v>10.11.9.207</v>
      </c>
      <c r="D199" s="347"/>
      <c r="E199" s="100" t="s">
        <v>3032</v>
      </c>
    </row>
    <row r="200" spans="2:5" ht="20.05" customHeight="1" x14ac:dyDescent="0.35">
      <c r="B200" s="4" t="str">
        <v>Value Missing</v>
      </c>
      <c r="C200" s="89" t="str">
        <f>CONCATENATE(prefix_mgmt_az1_cidr,"9.208")</f>
        <v>10.11.9.208</v>
      </c>
      <c r="D200" s="347"/>
      <c r="E200" s="100" t="s">
        <v>3033</v>
      </c>
    </row>
    <row r="201" spans="2:5" ht="20.05" customHeight="1" x14ac:dyDescent="0.35">
      <c r="B201" s="4" t="str">
        <v>Value Missing</v>
      </c>
      <c r="C201" s="89" t="str">
        <f>CONCATENATE(prefix_mgmt_az1_cidr,"9.209")</f>
        <v>10.11.9.209</v>
      </c>
      <c r="D201" s="347"/>
      <c r="E201" s="100" t="s">
        <v>3034</v>
      </c>
    </row>
    <row r="202" spans="2:5" ht="20.05" customHeight="1" x14ac:dyDescent="0.35">
      <c r="B202" s="361" t="str">
        <v>Value Missing</v>
      </c>
      <c r="C202" s="89" t="str">
        <f>CONCATENATE(prefix_mgmt_az1_cidr,"9.210")</f>
        <v>10.11.9.210</v>
      </c>
      <c r="D202" s="347"/>
      <c r="E202" s="100" t="s">
        <v>3035</v>
      </c>
    </row>
    <row r="203" spans="2:5" ht="20.05" customHeight="1" x14ac:dyDescent="0.35">
      <c r="B203" s="361" t="str">
        <v>Value Missing</v>
      </c>
      <c r="C203" s="89" t="str">
        <f>CONCATENATE(prefix_mgmt_az1_cidr,"9.211")</f>
        <v>10.11.9.211</v>
      </c>
      <c r="D203" s="347"/>
      <c r="E203" s="100" t="s">
        <v>3036</v>
      </c>
    </row>
    <row r="204" spans="2:5" ht="20.05" customHeight="1" x14ac:dyDescent="0.35">
      <c r="B204" s="361" t="str">
        <v>Value Missing</v>
      </c>
      <c r="C204" s="89" t="str">
        <f>CONCATENATE(prefix_mgmt_az1_cidr,"9.212")</f>
        <v>10.11.9.212</v>
      </c>
      <c r="D204" s="347"/>
      <c r="E204" s="100" t="s">
        <v>3037</v>
      </c>
    </row>
    <row r="205" spans="2:5" ht="20.05" customHeight="1" x14ac:dyDescent="0.35">
      <c r="B205" s="361" t="str">
        <v>Value Missing</v>
      </c>
      <c r="C205" s="89" t="str">
        <f>CONCATENATE(prefix_mgmt_az1_cidr,"9.213")</f>
        <v>10.11.9.213</v>
      </c>
      <c r="D205" s="347"/>
      <c r="E205" s="100" t="s">
        <v>3038</v>
      </c>
    </row>
    <row r="206" spans="2:5" ht="20.05" customHeight="1" x14ac:dyDescent="0.35">
      <c r="B206" s="361" t="str">
        <v>Value Missing</v>
      </c>
      <c r="C206" s="89" t="str">
        <f>CONCATENATE(prefix_mgmt_az1_cidr,"9.214")</f>
        <v>10.11.9.214</v>
      </c>
      <c r="D206" s="347"/>
      <c r="E206" s="100" t="s">
        <v>3039</v>
      </c>
    </row>
    <row r="207" spans="2:5" ht="20.05" customHeight="1" x14ac:dyDescent="0.35">
      <c r="B207" s="361" t="str">
        <v>Value Missing</v>
      </c>
      <c r="C207" s="89" t="str">
        <f>CONCATENATE(prefix_mgmt_az1_cidr,"9.215")</f>
        <v>10.11.9.215</v>
      </c>
      <c r="D207" s="347"/>
      <c r="E207" s="100" t="s">
        <v>3040</v>
      </c>
    </row>
    <row r="208" spans="2:5" ht="20.05" customHeight="1" x14ac:dyDescent="0.35">
      <c r="B208" s="361" t="str">
        <v>Value Missing</v>
      </c>
      <c r="C208" s="89" t="str">
        <f>CONCATENATE(prefix_mgmt_az1_cidr,"9.216")</f>
        <v>10.11.9.216</v>
      </c>
      <c r="D208" s="347"/>
      <c r="E208" s="100" t="s">
        <v>3041</v>
      </c>
    </row>
    <row r="209" spans="2:5" ht="16" customHeight="1" x14ac:dyDescent="0.35"/>
    <row r="210" spans="2:5" ht="34" customHeight="1" x14ac:dyDescent="0.35">
      <c r="B210" s="556" t="s">
        <v>3042</v>
      </c>
      <c r="C210" s="557"/>
      <c r="D210" s="557"/>
      <c r="E210" s="557"/>
    </row>
    <row r="211" spans="2:5" ht="16" customHeight="1" x14ac:dyDescent="0.35"/>
    <row r="212" spans="2:5" ht="34" customHeight="1" x14ac:dyDescent="0.35">
      <c r="B212" s="557" t="s">
        <v>3043</v>
      </c>
      <c r="C212" s="557"/>
      <c r="D212" s="557"/>
      <c r="E212" s="557"/>
    </row>
    <row r="213" spans="2:5" ht="20.05" customHeight="1" x14ac:dyDescent="0.35">
      <c r="B213" s="561"/>
      <c r="C213" s="561"/>
      <c r="D213" s="561"/>
      <c r="E213" s="561"/>
    </row>
    <row r="214" spans="2:5" ht="20.05" customHeight="1" x14ac:dyDescent="0.35">
      <c r="B214" s="307" t="s">
        <v>17</v>
      </c>
      <c r="C214" s="308" t="s">
        <v>18</v>
      </c>
      <c r="D214" s="308" t="s">
        <v>19</v>
      </c>
      <c r="E214" s="308" t="s">
        <v>20</v>
      </c>
    </row>
    <row r="215" spans="2:5" ht="20.05" customHeight="1" x14ac:dyDescent="0.35">
      <c r="B215" s="295" t="s">
        <v>3044</v>
      </c>
      <c r="C215" s="362" t="str">
        <f>sample_vvs_dr_mgmt_vc_fqdn</f>
        <v>sfo-m01-vc01.sfo.rainpole.io</v>
      </c>
      <c r="D215" s="337" t="str">
        <f>vvs_dr_mgmt_vc_fqdn</f>
        <v>Value Missing</v>
      </c>
      <c r="E215" s="32"/>
    </row>
    <row r="216" spans="2:5" ht="20.05" customHeight="1" x14ac:dyDescent="0.35">
      <c r="B216" s="295" t="s">
        <v>2922</v>
      </c>
      <c r="C216" s="362" t="str">
        <f>sample_vvs_dr_mgmt_vc_fqdn</f>
        <v>sfo-m01-vc01.sfo.rainpole.io</v>
      </c>
      <c r="D216" s="337" t="str">
        <f>vvs_dr_mgmt_vc_fqdn</f>
        <v>Value Missing</v>
      </c>
      <c r="E216" s="32"/>
    </row>
    <row r="217" spans="2:5" ht="20.05" customHeight="1" x14ac:dyDescent="0.35">
      <c r="B217" s="295" t="s">
        <v>2859</v>
      </c>
      <c r="C217" s="362" t="str">
        <f>CONCATENATE(other_instance,"-m01-vc01.",other_instance,".",sample_parent_dns_zone)</f>
        <v>lax-m01-vc01.lax.rainpole.io</v>
      </c>
      <c r="D217" s="347"/>
      <c r="E217" s="32"/>
    </row>
    <row r="218" spans="2:5" ht="20.05" customHeight="1" x14ac:dyDescent="0.35">
      <c r="B218" s="295" t="s">
        <v>78</v>
      </c>
      <c r="C218" s="362" t="str">
        <f>IF(mgmt_domain_chosen="First Instance","svc_lax-m01-vlr01_lax-m01-vc01@vsphere.local","svc_sfo-m01-vlr01_sfo-m01-vc01@vsphere.local")</f>
        <v>svc_lax-m01-vlr01_lax-m01-vc01@vsphere.local</v>
      </c>
      <c r="D218" s="347"/>
      <c r="E218" s="32"/>
    </row>
    <row r="219" spans="2:5" ht="20.05" customHeight="1" x14ac:dyDescent="0.35">
      <c r="B219" s="295" t="s">
        <v>29</v>
      </c>
      <c r="C219" s="362" t="s">
        <v>30</v>
      </c>
      <c r="D219" s="347"/>
      <c r="E219" s="32"/>
    </row>
    <row r="220" spans="2:5" ht="20.05" customHeight="1" x14ac:dyDescent="0.35">
      <c r="B220" s="295" t="s">
        <v>2925</v>
      </c>
      <c r="C220" s="362" t="str">
        <f>sample_mgmt_srm_recovery_vcenter_fqdn</f>
        <v>lax-m01-vc01.lax.rainpole.io</v>
      </c>
      <c r="D220" s="337" t="str">
        <f>mgmt_srm_recovery_vcenter_fqdn</f>
        <v>Value Missing</v>
      </c>
      <c r="E220" s="32"/>
    </row>
    <row r="221" spans="2:5" ht="16" customHeight="1" x14ac:dyDescent="0.35">
      <c r="B221" s="298"/>
      <c r="C221" s="142"/>
    </row>
    <row r="222" spans="2:5" ht="34" customHeight="1" x14ac:dyDescent="0.35">
      <c r="B222" s="557" t="s">
        <v>3045</v>
      </c>
      <c r="C222" s="557"/>
      <c r="D222" s="557"/>
      <c r="E222" s="557"/>
    </row>
    <row r="223" spans="2:5" ht="20.05" customHeight="1" x14ac:dyDescent="0.35">
      <c r="B223" s="561"/>
      <c r="C223" s="561"/>
      <c r="D223" s="561"/>
      <c r="E223" s="561"/>
    </row>
    <row r="224" spans="2:5" ht="20.05" customHeight="1" x14ac:dyDescent="0.35">
      <c r="B224" s="307" t="s">
        <v>17</v>
      </c>
      <c r="C224" s="308" t="s">
        <v>18</v>
      </c>
      <c r="D224" s="308" t="s">
        <v>19</v>
      </c>
      <c r="E224" s="308" t="s">
        <v>20</v>
      </c>
    </row>
    <row r="225" spans="2:5" ht="20.05" customHeight="1" x14ac:dyDescent="0.35">
      <c r="B225" s="295" t="s">
        <v>3044</v>
      </c>
      <c r="C225" s="362" t="str">
        <f>sample_vvs_dr_mgmt_vc_fqdn</f>
        <v>sfo-m01-vc01.sfo.rainpole.io</v>
      </c>
      <c r="D225" s="337" t="str">
        <f>vvs_dr_mgmt_vc_fqdn</f>
        <v>Value Missing</v>
      </c>
      <c r="E225" s="32"/>
    </row>
    <row r="226" spans="2:5" ht="20.05" customHeight="1" x14ac:dyDescent="0.35">
      <c r="B226" s="295" t="s">
        <v>1657</v>
      </c>
      <c r="C226" s="362" t="str">
        <f>sample_vvs_dr_mgmt_vc_fqdn</f>
        <v>sfo-m01-vc01.sfo.rainpole.io</v>
      </c>
      <c r="D226" s="337" t="str">
        <f>vvs_dr_mgmt_vc_fqdn</f>
        <v>Value Missing</v>
      </c>
      <c r="E226" s="32"/>
    </row>
    <row r="227" spans="2:5" ht="20.05" customHeight="1" x14ac:dyDescent="0.35">
      <c r="B227" s="295" t="s">
        <v>3046</v>
      </c>
      <c r="C227" s="362" t="str">
        <f>sample_vvs_mgmt_dr_vlr_fqdn</f>
        <v>sfo-m01-vlr01.sfo.rainpole.io</v>
      </c>
      <c r="D227" s="337" t="str">
        <f>vvs_mgmt_dr_vlr_fqdn</f>
        <v>Value Missing</v>
      </c>
      <c r="E227" s="32"/>
    </row>
    <row r="228" spans="2:5" ht="20.05" customHeight="1" x14ac:dyDescent="0.35">
      <c r="B228" s="295" t="s">
        <v>3047</v>
      </c>
      <c r="C228" s="362" t="s">
        <v>3048</v>
      </c>
      <c r="D228" s="347"/>
      <c r="E228" s="32"/>
    </row>
    <row r="229" spans="2:5" ht="20.05" customHeight="1" x14ac:dyDescent="0.35">
      <c r="B229" s="295" t="s">
        <v>3049</v>
      </c>
      <c r="C229" s="362" t="s">
        <v>3048</v>
      </c>
      <c r="D229" s="347"/>
      <c r="E229" s="32"/>
    </row>
    <row r="230" spans="2:5" ht="16" customHeight="1" x14ac:dyDescent="0.35"/>
    <row r="231" spans="2:5" ht="34" customHeight="1" x14ac:dyDescent="0.35">
      <c r="B231" s="557" t="s">
        <v>3050</v>
      </c>
      <c r="C231" s="557"/>
      <c r="D231" s="557"/>
      <c r="E231" s="557"/>
    </row>
    <row r="232" spans="2:5" ht="20.05" customHeight="1" x14ac:dyDescent="0.35">
      <c r="B232" s="561"/>
      <c r="C232" s="561"/>
      <c r="D232" s="561"/>
      <c r="E232" s="561"/>
    </row>
    <row r="233" spans="2:5" ht="20.05" customHeight="1" x14ac:dyDescent="0.35">
      <c r="B233" s="307" t="s">
        <v>17</v>
      </c>
      <c r="C233" s="308" t="s">
        <v>18</v>
      </c>
      <c r="D233" s="308" t="s">
        <v>19</v>
      </c>
      <c r="E233" s="308" t="s">
        <v>20</v>
      </c>
    </row>
    <row r="234" spans="2:5" ht="20.05" customHeight="1" x14ac:dyDescent="0.35">
      <c r="B234" s="295" t="s">
        <v>3044</v>
      </c>
      <c r="C234" s="362" t="str">
        <f>sample_vvs_dr_mgmt_vc_fqdn</f>
        <v>sfo-m01-vc01.sfo.rainpole.io</v>
      </c>
      <c r="D234" s="337" t="str">
        <f>vvs_dr_mgmt_vc_fqdn</f>
        <v>Value Missing</v>
      </c>
      <c r="E234" s="32"/>
    </row>
    <row r="235" spans="2:5" ht="20.05" customHeight="1" x14ac:dyDescent="0.35">
      <c r="B235" s="295" t="s">
        <v>3051</v>
      </c>
      <c r="C235" s="362" t="str">
        <f>CONCATENATE(sample_mgmt_vc_fqdn," &lt;--&gt; ",sample_mgmt_srm_recovery_vcenter_fqdn)</f>
        <v>sfo-m01-vc01.sfo.rainpole.io &lt;--&gt; lax-m01-vc01.lax.rainpole.io</v>
      </c>
      <c r="D235" s="337" t="str">
        <f>CONCATENATE(vvs_dr_mgmt_vc_fqdn," &lt;--&gt; ",mgmt_srm_recovery_vcenter_fqdn)</f>
        <v>Value Missing &lt;--&gt; Value Missing</v>
      </c>
      <c r="E235" s="32"/>
    </row>
    <row r="236" spans="2:5" ht="20.05" customHeight="1" x14ac:dyDescent="0.35">
      <c r="B236" s="4" t="s">
        <v>3052</v>
      </c>
      <c r="C236" s="362" t="str">
        <f>CONCATENATE(sample_mgmt_cl01_vds01_name," --&gt; ",sample_flt_custom_network_x_reg_pg)</f>
        <v>sfo-m01-cl01-vds01 --&gt; sfo-m01-cl01-vds01-pg-vm-mgmt</v>
      </c>
      <c r="D236" s="347"/>
      <c r="E236" s="32"/>
    </row>
    <row r="237" spans="2:5" ht="20.05" customHeight="1" x14ac:dyDescent="0.35">
      <c r="B237" s="4" t="s">
        <v>3053</v>
      </c>
      <c r="C237" s="362" t="str">
        <f>CONCATENATE(other_instance,"-m01-cl01-vds01"," --&gt; ",other_instance,"-m01-cl01-vds01-pg-vm-fleet")</f>
        <v>lax-m01-cl01-vds01 --&gt; lax-m01-cl01-vds01-pg-vm-fleet</v>
      </c>
      <c r="D237" s="347"/>
      <c r="E237" s="32"/>
    </row>
    <row r="238" spans="2:5" ht="20.05" customHeight="1" x14ac:dyDescent="0.35">
      <c r="B238" s="4" t="s">
        <v>3054</v>
      </c>
      <c r="C238" s="362" t="str">
        <f>CONCATENATE(sample_mgmt_srm_recovery_vcenter_fqdn," --&gt; ",this_instance,"-m01-DC")</f>
        <v>lax-m01-vc01.lax.rainpole.io --&gt; sfo-m01-DC</v>
      </c>
      <c r="D238" s="347"/>
      <c r="E238" s="32"/>
    </row>
    <row r="239" spans="2:5" ht="20.05" customHeight="1" x14ac:dyDescent="0.35">
      <c r="B239" s="4" t="s">
        <v>3055</v>
      </c>
      <c r="C239" s="362" t="str">
        <f>CONCATENATE(sample_mgmt_srm_recovery_vcenter_fqdn," --&gt; ",other_instance,"-m01-DC")</f>
        <v>lax-m01-vc01.lax.rainpole.io --&gt; lax-m01-DC</v>
      </c>
      <c r="D239" s="347"/>
      <c r="E239" s="32"/>
    </row>
    <row r="240" spans="2:5" ht="20.05" customHeight="1" x14ac:dyDescent="0.35">
      <c r="B240" s="4" t="s">
        <v>3056</v>
      </c>
      <c r="C240" s="362" t="str">
        <f>CONCATENATE(this_instance,"-m01-DC"," --&gt; ",this_instance,"-m01-cl01")</f>
        <v>sfo-m01-DC --&gt; sfo-m01-cl01</v>
      </c>
      <c r="D240" s="347"/>
      <c r="E240" s="32"/>
    </row>
    <row r="241" spans="2:5" ht="20.05" customHeight="1" x14ac:dyDescent="0.35">
      <c r="B241" s="4" t="s">
        <v>3057</v>
      </c>
      <c r="C241" s="362" t="str">
        <f>CONCATENATE(other_instance,"-m01-DC"," --&gt; ",other_instance,"-m01-cl01")</f>
        <v>lax-m01-DC --&gt; lax-m01-cl01</v>
      </c>
      <c r="D241" s="347"/>
      <c r="E241" s="32"/>
    </row>
    <row r="242" spans="2:5" ht="16" customHeight="1" x14ac:dyDescent="0.35"/>
    <row r="243" spans="2:5" ht="34" customHeight="1" x14ac:dyDescent="0.35">
      <c r="B243" s="557" t="s">
        <v>3058</v>
      </c>
      <c r="C243" s="557"/>
      <c r="D243" s="557"/>
      <c r="E243" s="557"/>
    </row>
    <row r="244" spans="2:5" ht="20.05" customHeight="1" x14ac:dyDescent="0.35">
      <c r="B244" s="561"/>
      <c r="C244" s="561"/>
      <c r="D244" s="561"/>
      <c r="E244" s="561"/>
    </row>
    <row r="245" spans="2:5" ht="20.05" customHeight="1" x14ac:dyDescent="0.35">
      <c r="B245" s="307" t="s">
        <v>17</v>
      </c>
      <c r="C245" s="308" t="s">
        <v>18</v>
      </c>
      <c r="D245" s="308" t="s">
        <v>19</v>
      </c>
      <c r="E245" s="308" t="s">
        <v>20</v>
      </c>
    </row>
    <row r="246" spans="2:5" ht="20.05" customHeight="1" x14ac:dyDescent="0.35">
      <c r="B246" s="295" t="s">
        <v>3023</v>
      </c>
      <c r="C246" s="362" t="str">
        <f>sample_vvs_mgmt_dr_vlr_fqdn</f>
        <v>sfo-m01-vlr01.sfo.rainpole.io</v>
      </c>
      <c r="D246" s="337" t="str">
        <f>vvs_mgmt_dr_vlr_fqdn</f>
        <v>Value Missing</v>
      </c>
      <c r="E246" s="32"/>
    </row>
    <row r="247" spans="2:5" ht="20.05" customHeight="1" x14ac:dyDescent="0.35">
      <c r="B247" s="4" t="s">
        <v>3051</v>
      </c>
      <c r="C247" s="362" t="str">
        <f>CONCATENATE(sample_mgmt_vc_fqdn," &lt;--&gt; ",sample_mgmt_srm_recovery_vcenter_fqdn)</f>
        <v>sfo-m01-vc01.sfo.rainpole.io &lt;--&gt; lax-m01-vc01.lax.rainpole.io</v>
      </c>
      <c r="D247" s="337" t="str">
        <f>vs_dr_site_pair</f>
        <v>Value Missing &lt;--&gt; Value Missing</v>
      </c>
      <c r="E247" s="32"/>
    </row>
    <row r="248" spans="2:5" ht="20.05" customHeight="1" x14ac:dyDescent="0.35">
      <c r="B248" s="361" t="s">
        <v>3059</v>
      </c>
      <c r="C248" s="362" t="str">
        <f>CONCATENATE(prefix_portable_component,"-fm01")</f>
        <v>flt-fm01</v>
      </c>
      <c r="D248" s="337" t="str">
        <f t="array" ref="D248">vvs_dr_flt_fleet_manager_hostname</f>
        <v>Value Missing</v>
      </c>
      <c r="E248" s="32"/>
    </row>
    <row r="249" spans="2:5" ht="20.05" customHeight="1" x14ac:dyDescent="0.35">
      <c r="B249" s="361" t="s">
        <v>3059</v>
      </c>
      <c r="C249" s="362" t="str">
        <f>CONCATENATE(prefix_portable_component,"-ops01a")</f>
        <v>flt-ops01a</v>
      </c>
      <c r="D249" s="337" t="str">
        <f t="array" ref="D249">vvs_dr_flt_ops_nodea_hostname</f>
        <v>Value Missing</v>
      </c>
      <c r="E249" s="32"/>
    </row>
    <row r="250" spans="2:5" ht="20.05" customHeight="1" x14ac:dyDescent="0.35">
      <c r="B250" s="361" t="s">
        <v>3059</v>
      </c>
      <c r="C250" s="362" t="str">
        <f>CONCATENATE(prefix_portable_component,"-ops01b")</f>
        <v>flt-ops01b</v>
      </c>
      <c r="D250" s="337" t="str">
        <f t="array" ref="D250">vvs_dr_flt_ops_nodeb_hostname</f>
        <v>Value Missing</v>
      </c>
      <c r="E250" s="32"/>
    </row>
    <row r="251" spans="2:5" ht="20.05" customHeight="1" x14ac:dyDescent="0.35">
      <c r="B251" s="361" t="s">
        <v>3059</v>
      </c>
      <c r="C251" s="362" t="str">
        <f>CONCATENATE(prefix_portable_component,"-ops01c")</f>
        <v>flt-ops01c</v>
      </c>
      <c r="D251" s="337" t="str">
        <f t="array" ref="D251">vvs_dr_flt_ops_nodec_hostname</f>
        <v>Value Missing</v>
      </c>
      <c r="E251" s="32"/>
    </row>
    <row r="252" spans="2:5" ht="20.05" customHeight="1" x14ac:dyDescent="0.35">
      <c r="B252" s="361" t="s">
        <v>3060</v>
      </c>
      <c r="C252" s="362" t="str">
        <f>CONCATENATE(other_instance,"-m01-cl01-ds-vsan01")</f>
        <v>lax-m01-cl01-ds-vsan01</v>
      </c>
      <c r="D252" s="347"/>
      <c r="E252" s="32"/>
    </row>
    <row r="253" spans="2:5" ht="20.05" customHeight="1" x14ac:dyDescent="0.35">
      <c r="B253" s="361" t="s">
        <v>3061</v>
      </c>
      <c r="C253" s="362">
        <v>15</v>
      </c>
      <c r="D253" s="347"/>
      <c r="E253" s="32"/>
    </row>
    <row r="254" spans="2:5" ht="20.05" customHeight="1" x14ac:dyDescent="0.35">
      <c r="B254" s="361" t="s">
        <v>1978</v>
      </c>
      <c r="C254" s="362">
        <v>3</v>
      </c>
      <c r="D254" s="347"/>
      <c r="E254" s="32"/>
    </row>
    <row r="255" spans="2:5" ht="20.05" customHeight="1" x14ac:dyDescent="0.35">
      <c r="B255" s="4" t="s">
        <v>1984</v>
      </c>
      <c r="C255" s="362">
        <v>1</v>
      </c>
      <c r="D255" s="347"/>
      <c r="E255" s="32"/>
    </row>
    <row r="256" spans="2:5" ht="20.05" customHeight="1" x14ac:dyDescent="0.35">
      <c r="B256" s="4" t="s">
        <v>3062</v>
      </c>
      <c r="C256" s="362" t="s">
        <v>3063</v>
      </c>
      <c r="D256" s="347"/>
      <c r="E256" s="32"/>
    </row>
    <row r="257" spans="2:5" ht="20.05" customHeight="1" x14ac:dyDescent="0.35">
      <c r="B257" s="361" t="s">
        <v>3064</v>
      </c>
      <c r="C257" s="362" t="s">
        <v>3065</v>
      </c>
      <c r="D257" s="347"/>
      <c r="E257" s="32"/>
    </row>
    <row r="258" spans="2:5" ht="16" customHeight="1" x14ac:dyDescent="0.35"/>
    <row r="259" spans="2:5" ht="34" customHeight="1" x14ac:dyDescent="0.35">
      <c r="B259" s="557" t="s">
        <v>3066</v>
      </c>
      <c r="C259" s="557"/>
      <c r="D259" s="557"/>
      <c r="E259" s="557"/>
    </row>
    <row r="260" spans="2:5" ht="20.05" customHeight="1" x14ac:dyDescent="0.35">
      <c r="B260" s="561"/>
      <c r="C260" s="561"/>
      <c r="D260" s="561"/>
      <c r="E260" s="561"/>
    </row>
    <row r="261" spans="2:5" ht="20.05" customHeight="1" x14ac:dyDescent="0.35">
      <c r="B261" s="307" t="s">
        <v>17</v>
      </c>
      <c r="C261" s="308" t="s">
        <v>18</v>
      </c>
      <c r="D261" s="308" t="s">
        <v>19</v>
      </c>
      <c r="E261" s="308" t="s">
        <v>20</v>
      </c>
    </row>
    <row r="262" spans="2:5" ht="20.05" customHeight="1" x14ac:dyDescent="0.35">
      <c r="B262" s="295" t="s">
        <v>3023</v>
      </c>
      <c r="C262" s="362" t="str">
        <f>CONCATENATE(sample_vvs_mgmt_dr_vlr_fqdn,"/dr")</f>
        <v>sfo-m01-vlr01.sfo.rainpole.io/dr</v>
      </c>
      <c r="D262" s="337" t="str">
        <f>CONCATENATE(vvs_mgmt_dr_vlr_fqdn,"/dr")</f>
        <v>Value Missing/dr</v>
      </c>
      <c r="E262" s="32"/>
    </row>
    <row r="263" spans="2:5" ht="20.05" customHeight="1" x14ac:dyDescent="0.35">
      <c r="B263" s="295" t="s">
        <v>3051</v>
      </c>
      <c r="C263" s="362" t="str">
        <f>CONCATENATE(sample_mgmt_vc_fqdn," &lt;--&gt; ",sample_mgmt_srm_recovery_vcenter_fqdn)</f>
        <v>sfo-m01-vc01.sfo.rainpole.io &lt;--&gt; lax-m01-vc01.lax.rainpole.io</v>
      </c>
      <c r="D263" s="337" t="str">
        <f>vs_dr_site_pair</f>
        <v>Value Missing &lt;--&gt; Value Missing</v>
      </c>
      <c r="E263" s="32"/>
    </row>
    <row r="264" spans="2:5" ht="20.05" customHeight="1" x14ac:dyDescent="0.35">
      <c r="B264" s="295" t="s">
        <v>3067</v>
      </c>
      <c r="C264" s="362" t="str">
        <f>sample_mgmt_srm_vrops_rp</f>
        <v>VCF-OPS-RP</v>
      </c>
      <c r="D264" s="337" t="str">
        <f>mgmt_srm_vrops_rp</f>
        <v>Value Missing</v>
      </c>
      <c r="E264" s="32"/>
    </row>
    <row r="265" spans="2:5" ht="20.05" customHeight="1" x14ac:dyDescent="0.35">
      <c r="B265" s="295" t="s">
        <v>3068</v>
      </c>
      <c r="C265" s="362" t="str">
        <f>CONCATENATE(prefix_portable_component,"-fm01")</f>
        <v>flt-fm01</v>
      </c>
      <c r="D265" s="337" t="str">
        <f>vvs_dr_flt_fleet_manager_hostname</f>
        <v>Value Missing</v>
      </c>
      <c r="E265" s="32"/>
    </row>
    <row r="266" spans="2:5" ht="20.05" customHeight="1" x14ac:dyDescent="0.35">
      <c r="B266" s="295" t="s">
        <v>3069</v>
      </c>
      <c r="C266" s="362" t="str">
        <f>CONCATENATE(prefix_portable_component,"-ops01a")</f>
        <v>flt-ops01a</v>
      </c>
      <c r="D266" s="337" t="str">
        <f t="array" ref="D266">vvs_dr_flt_ops_nodea_hostname</f>
        <v>Value Missing</v>
      </c>
      <c r="E266" s="32"/>
    </row>
    <row r="267" spans="2:5" ht="20.05" customHeight="1" x14ac:dyDescent="0.35">
      <c r="B267" s="295" t="s">
        <v>3070</v>
      </c>
      <c r="C267" s="362" t="str">
        <f>CONCATENATE(prefix_portable_component,"-ops01b")</f>
        <v>flt-ops01b</v>
      </c>
      <c r="D267" s="337" t="str">
        <f t="array" ref="D267">vvs_dr_flt_ops_nodeb_hostname</f>
        <v>Value Missing</v>
      </c>
      <c r="E267" s="32"/>
    </row>
    <row r="268" spans="2:5" ht="20.05" customHeight="1" x14ac:dyDescent="0.35">
      <c r="B268" s="295" t="s">
        <v>3071</v>
      </c>
      <c r="C268" s="362" t="str">
        <f>CONCATENATE(prefix_portable_component,"-ops01c")</f>
        <v>flt-ops01c</v>
      </c>
      <c r="D268" s="337" t="str">
        <f t="array" ref="D268">vvs_dr_flt_ops_nodec_hostname</f>
        <v>Value Missing</v>
      </c>
      <c r="E268" s="32"/>
    </row>
    <row r="269" spans="2:5" ht="16" customHeight="1" x14ac:dyDescent="0.35"/>
    <row r="270" spans="2:5" ht="34" customHeight="1" x14ac:dyDescent="0.35">
      <c r="B270" s="557" t="s">
        <v>3072</v>
      </c>
      <c r="C270" s="557"/>
      <c r="D270" s="557"/>
      <c r="E270" s="557"/>
    </row>
    <row r="271" spans="2:5" ht="20.05" customHeight="1" x14ac:dyDescent="0.35">
      <c r="B271" s="561"/>
      <c r="C271" s="561"/>
      <c r="D271" s="561"/>
      <c r="E271" s="561"/>
    </row>
    <row r="272" spans="2:5" ht="20.05" customHeight="1" x14ac:dyDescent="0.35">
      <c r="B272" s="307" t="s">
        <v>17</v>
      </c>
      <c r="C272" s="308" t="s">
        <v>18</v>
      </c>
      <c r="D272" s="308" t="s">
        <v>19</v>
      </c>
      <c r="E272" s="308" t="s">
        <v>20</v>
      </c>
    </row>
    <row r="273" spans="2:5" ht="20.05" customHeight="1" x14ac:dyDescent="0.35">
      <c r="B273" s="295" t="s">
        <v>3023</v>
      </c>
      <c r="C273" s="362" t="str">
        <f>CONCATENATE(sample_vvs_mgmt_dr_vlr_fqdn,"/dr")</f>
        <v>sfo-m01-vlr01.sfo.rainpole.io/dr</v>
      </c>
      <c r="D273" s="337" t="str">
        <f>CONCATENATE(vvs_mgmt_dr_vlr_fqdn,"/dr")</f>
        <v>Value Missing/dr</v>
      </c>
      <c r="E273" s="32"/>
    </row>
    <row r="274" spans="2:5" ht="20.05" customHeight="1" x14ac:dyDescent="0.35">
      <c r="B274" s="295" t="s">
        <v>3051</v>
      </c>
      <c r="C274" s="362" t="str">
        <f>CONCATENATE(sample_mgmt_vc_fqdn," &lt;--&gt; ",sample_mgmt_srm_recovery_vcenter_fqdn)</f>
        <v>sfo-m01-vc01.sfo.rainpole.io &lt;--&gt; lax-m01-vc01.lax.rainpole.io</v>
      </c>
      <c r="D274" s="337" t="str">
        <f>vs_dr_site_pair</f>
        <v>Value Missing &lt;--&gt; Value Missing</v>
      </c>
      <c r="E274" s="32"/>
    </row>
    <row r="275" spans="2:5" ht="20.05" customHeight="1" x14ac:dyDescent="0.35">
      <c r="B275" s="295" t="s">
        <v>3073</v>
      </c>
      <c r="C275" s="362" t="str">
        <f>CONCATENATE(prefix_portable_component,"-logs01a")</f>
        <v>flt-logs01a</v>
      </c>
      <c r="D275" s="337" t="str">
        <f>vvs_dr_flt_logs_nodea_hostname</f>
        <v>Value Missing</v>
      </c>
      <c r="E275" s="32"/>
    </row>
    <row r="276" spans="2:5" ht="20.05" customHeight="1" x14ac:dyDescent="0.35">
      <c r="B276" s="295" t="s">
        <v>3074</v>
      </c>
      <c r="C276" s="362" t="str">
        <f>CONCATENATE(prefix_portable_component,"-logs01b")</f>
        <v>flt-logs01b</v>
      </c>
      <c r="D276" s="337" t="str">
        <f>vvs_dr_flt_logs_nodeb_hostname</f>
        <v>Value Missing</v>
      </c>
      <c r="E276" s="32"/>
    </row>
    <row r="277" spans="2:5" ht="20.05" customHeight="1" x14ac:dyDescent="0.35">
      <c r="B277" s="295" t="s">
        <v>3075</v>
      </c>
      <c r="C277" s="362" t="str">
        <f>CONCATENATE(prefix_portable_component,"-logs01c")</f>
        <v>flt-logs01c</v>
      </c>
      <c r="D277" s="337" t="str">
        <f>vvs_dr_flt_logs_nodec_hostname</f>
        <v>Value Missing</v>
      </c>
      <c r="E277" s="32"/>
    </row>
    <row r="278" spans="2:5" ht="20.05" customHeight="1" x14ac:dyDescent="0.35">
      <c r="B278" s="295" t="s">
        <v>3060</v>
      </c>
      <c r="C278" s="362" t="str">
        <f>sample_mgmt_srm_recovery_datastore</f>
        <v>lax-m01-cl01-ds-vsan01</v>
      </c>
      <c r="D278" s="337" t="str">
        <f>mgmt_srm_recovery_datastore</f>
        <v>Value Missing</v>
      </c>
      <c r="E278" s="32"/>
    </row>
    <row r="279" spans="2:5" ht="20.05" customHeight="1" x14ac:dyDescent="0.35">
      <c r="B279" s="295" t="s">
        <v>3061</v>
      </c>
      <c r="C279" s="362">
        <f>sample_mgmt_srm_rpo</f>
        <v>15</v>
      </c>
      <c r="D279" s="337" t="str">
        <f>mgmt_srm_rpo</f>
        <v>Value Missing</v>
      </c>
      <c r="E279" s="32"/>
    </row>
    <row r="280" spans="2:5" ht="20.05" customHeight="1" x14ac:dyDescent="0.35">
      <c r="B280" s="295" t="s">
        <v>1978</v>
      </c>
      <c r="C280" s="362">
        <f>sample_mgmt_srm_instances_per_day</f>
        <v>3</v>
      </c>
      <c r="D280" s="337" t="str">
        <f>mgmt_srm_instances_per_day</f>
        <v>Value Missing</v>
      </c>
      <c r="E280" s="32"/>
    </row>
    <row r="281" spans="2:5" ht="20.05" customHeight="1" x14ac:dyDescent="0.35">
      <c r="B281" s="295" t="s">
        <v>1984</v>
      </c>
      <c r="C281" s="362">
        <f>sample_mgmt_srm_days</f>
        <v>1</v>
      </c>
      <c r="D281" s="337" t="str">
        <f>mgmt_srm_days</f>
        <v>Value Missing</v>
      </c>
      <c r="E281" s="32"/>
    </row>
    <row r="282" spans="2:5" ht="20.05" customHeight="1" x14ac:dyDescent="0.35">
      <c r="B282" s="295" t="s">
        <v>3062</v>
      </c>
      <c r="C282" s="362" t="s">
        <v>3076</v>
      </c>
      <c r="D282" s="347"/>
      <c r="E282" s="32"/>
    </row>
    <row r="283" spans="2:5" ht="20.05" customHeight="1" x14ac:dyDescent="0.35">
      <c r="B283" s="295" t="s">
        <v>3064</v>
      </c>
      <c r="C283" s="362" t="s">
        <v>3077</v>
      </c>
      <c r="D283" s="347"/>
      <c r="E283" s="32"/>
    </row>
    <row r="284" spans="2:5" ht="16" customHeight="1" x14ac:dyDescent="0.35">
      <c r="B284" s="298"/>
      <c r="C284" s="142"/>
    </row>
    <row r="285" spans="2:5" ht="34" customHeight="1" x14ac:dyDescent="0.35">
      <c r="B285" s="557" t="s">
        <v>3078</v>
      </c>
      <c r="C285" s="557"/>
      <c r="D285" s="557"/>
      <c r="E285" s="557"/>
    </row>
    <row r="286" spans="2:5" ht="20.05" customHeight="1" x14ac:dyDescent="0.35">
      <c r="B286" s="561"/>
      <c r="C286" s="561"/>
      <c r="D286" s="561"/>
      <c r="E286" s="561"/>
    </row>
    <row r="287" spans="2:5" ht="20.05" customHeight="1" x14ac:dyDescent="0.35">
      <c r="B287" s="43" t="s">
        <v>261</v>
      </c>
      <c r="C287" s="43" t="s">
        <v>262</v>
      </c>
      <c r="D287" s="130" t="s">
        <v>19</v>
      </c>
      <c r="E287" s="43" t="s">
        <v>20</v>
      </c>
    </row>
    <row r="288" spans="2:5" ht="20.05" customHeight="1" x14ac:dyDescent="0.35">
      <c r="B288" s="295" t="s">
        <v>3023</v>
      </c>
      <c r="C288" s="362" t="str">
        <f>CONCATENATE(sample_vvs_mgmt_dr_vlr_fqdn,"/dr")</f>
        <v>sfo-m01-vlr01.sfo.rainpole.io/dr</v>
      </c>
      <c r="D288" s="337" t="str">
        <f>CONCATENATE(vvs_mgmt_dr_vlr_fqdn,"/dr")</f>
        <v>Value Missing/dr</v>
      </c>
      <c r="E288" s="32"/>
    </row>
    <row r="289" spans="2:5" ht="20.05" customHeight="1" x14ac:dyDescent="0.35">
      <c r="B289" s="295" t="s">
        <v>3051</v>
      </c>
      <c r="C289" s="362" t="str">
        <f>CONCATENATE(sample_mgmt_vc_fqdn," &lt;--&gt; ",sample_mgmt_srm_recovery_vcenter_fqdn)</f>
        <v>sfo-m01-vc01.sfo.rainpole.io &lt;--&gt; lax-m01-vc01.lax.rainpole.io</v>
      </c>
      <c r="D289" s="337" t="str">
        <f>vs_dr_site_pair</f>
        <v>Value Missing &lt;--&gt; Value Missing</v>
      </c>
      <c r="E289" s="32"/>
    </row>
    <row r="290" spans="2:5" ht="20.05" customHeight="1" x14ac:dyDescent="0.35">
      <c r="B290" s="295" t="s">
        <v>3067</v>
      </c>
      <c r="C290" s="362" t="str">
        <f>sample_mgmt_srm_logs_rp</f>
        <v>VCF-OPS-LOGS-RP</v>
      </c>
      <c r="D290" s="337" t="str">
        <f t="array" ref="D290">mgmt_srm_logs_rp</f>
        <v>Value Missing</v>
      </c>
      <c r="E290" s="32"/>
    </row>
    <row r="291" spans="2:5" ht="20.05" customHeight="1" x14ac:dyDescent="0.35">
      <c r="B291" s="295" t="s">
        <v>3073</v>
      </c>
      <c r="C291" s="362" t="str">
        <f>CONCATENATE(prefix_portable_component,"-logs01a")</f>
        <v>flt-logs01a</v>
      </c>
      <c r="D291" s="337" t="str">
        <f>vvs_dr_flt_logs_nodea_hostname</f>
        <v>Value Missing</v>
      </c>
      <c r="E291" s="32"/>
    </row>
    <row r="292" spans="2:5" ht="20.05" customHeight="1" x14ac:dyDescent="0.35">
      <c r="B292" s="295" t="s">
        <v>3074</v>
      </c>
      <c r="C292" s="362" t="str">
        <f>CONCATENATE(prefix_portable_component,"-logs01b")</f>
        <v>flt-logs01b</v>
      </c>
      <c r="D292" s="337" t="str">
        <f>vvs_dr_flt_logs_nodeb_hostname</f>
        <v>Value Missing</v>
      </c>
      <c r="E292" s="32"/>
    </row>
    <row r="293" spans="2:5" ht="20.05" customHeight="1" x14ac:dyDescent="0.35">
      <c r="B293" s="295" t="s">
        <v>3075</v>
      </c>
      <c r="C293" s="362" t="str">
        <f>CONCATENATE(prefix_portable_component,"-logs01c")</f>
        <v>flt-logs01c</v>
      </c>
      <c r="D293" s="337" t="str">
        <f>vvs_dr_flt_logs_nodec_hostname</f>
        <v>Value Missing</v>
      </c>
      <c r="E293" s="32"/>
    </row>
    <row r="294" spans="2:5" ht="16" customHeight="1" x14ac:dyDescent="0.35">
      <c r="B294" s="298"/>
      <c r="C294" s="142"/>
    </row>
    <row r="295" spans="2:5" ht="34" customHeight="1" x14ac:dyDescent="0.35">
      <c r="B295" s="557" t="s">
        <v>3079</v>
      </c>
      <c r="C295" s="557"/>
      <c r="D295" s="557"/>
      <c r="E295" s="557"/>
    </row>
    <row r="296" spans="2:5" ht="20.05" customHeight="1" x14ac:dyDescent="0.35">
      <c r="B296" s="561"/>
      <c r="C296" s="561"/>
      <c r="D296" s="561"/>
      <c r="E296" s="561"/>
    </row>
    <row r="297" spans="2:5" ht="20.05" customHeight="1" x14ac:dyDescent="0.35">
      <c r="B297" s="307" t="s">
        <v>17</v>
      </c>
      <c r="C297" s="308" t="s">
        <v>18</v>
      </c>
      <c r="D297" s="308" t="s">
        <v>19</v>
      </c>
      <c r="E297" s="308" t="s">
        <v>20</v>
      </c>
    </row>
    <row r="298" spans="2:5" ht="20.05" customHeight="1" x14ac:dyDescent="0.35">
      <c r="B298" s="295" t="s">
        <v>3023</v>
      </c>
      <c r="C298" s="362" t="str">
        <f>CONCATENATE(sample_vvs_mgmt_dr_vlr_fqdn,"/dr")</f>
        <v>sfo-m01-vlr01.sfo.rainpole.io/dr</v>
      </c>
      <c r="D298" s="337" t="str">
        <f>CONCATENATE(vvs_mgmt_dr_vlr_fqdn,"/dr")</f>
        <v>Value Missing/dr</v>
      </c>
      <c r="E298" s="32"/>
    </row>
    <row r="299" spans="2:5" ht="20.05" customHeight="1" x14ac:dyDescent="0.35">
      <c r="B299" s="295" t="s">
        <v>3051</v>
      </c>
      <c r="C299" s="362" t="str">
        <f>CONCATENATE(sample_mgmt_vc_fqdn," &lt;--&gt; ",sample_mgmt_srm_recovery_vcenter_fqdn)</f>
        <v>sfo-m01-vc01.sfo.rainpole.io &lt;--&gt; lax-m01-vc01.lax.rainpole.io</v>
      </c>
      <c r="D299" s="337" t="str">
        <f>vs_dr_site_pair</f>
        <v>Value Missing &lt;--&gt; Value Missing</v>
      </c>
      <c r="E299" s="32"/>
    </row>
    <row r="300" spans="2:5" ht="20.05" customHeight="1" x14ac:dyDescent="0.35">
      <c r="B300" s="295" t="s">
        <v>3080</v>
      </c>
      <c r="C300" s="362" t="str">
        <f>CONCATENATE(prefix_portable_component,"-net01a")</f>
        <v>flt-net01a</v>
      </c>
      <c r="D300" s="337" t="str">
        <f>vvs_dr_flt_net_nodea_hostname</f>
        <v>Value Missing</v>
      </c>
      <c r="E300" s="32"/>
    </row>
    <row r="301" spans="2:5" ht="20.05" customHeight="1" x14ac:dyDescent="0.35">
      <c r="B301" s="295" t="s">
        <v>3081</v>
      </c>
      <c r="C301" s="362" t="str">
        <f>CONCATENATE(prefix_portable_component,"-net01b")</f>
        <v>flt-net01b</v>
      </c>
      <c r="D301" s="337" t="str">
        <f>vvs_dr_flt_net_nodeb_hostname</f>
        <v>Value Missing</v>
      </c>
      <c r="E301" s="32"/>
    </row>
    <row r="302" spans="2:5" ht="20.05" customHeight="1" x14ac:dyDescent="0.35">
      <c r="B302" s="295" t="s">
        <v>3082</v>
      </c>
      <c r="C302" s="362" t="str">
        <f>CONCATENATE(prefix_portable_component,"-net01c")</f>
        <v>flt-net01c</v>
      </c>
      <c r="D302" s="337" t="str">
        <f>vvs_dr_flt_net_nodec_hostname</f>
        <v>Value Missing</v>
      </c>
      <c r="E302" s="32"/>
    </row>
    <row r="303" spans="2:5" ht="20.05" customHeight="1" x14ac:dyDescent="0.35">
      <c r="B303" s="295" t="s">
        <v>3060</v>
      </c>
      <c r="C303" s="362" t="str">
        <f>sample_mgmt_srm_recovery_datastore</f>
        <v>lax-m01-cl01-ds-vsan01</v>
      </c>
      <c r="D303" s="337" t="str">
        <f>mgmt_srm_recovery_datastore</f>
        <v>Value Missing</v>
      </c>
      <c r="E303" s="32"/>
    </row>
    <row r="304" spans="2:5" ht="20.05" customHeight="1" x14ac:dyDescent="0.35">
      <c r="B304" s="295" t="s">
        <v>3061</v>
      </c>
      <c r="C304" s="362">
        <f>sample_mgmt_srm_rpo</f>
        <v>15</v>
      </c>
      <c r="D304" s="337" t="str">
        <f>mgmt_srm_rpo</f>
        <v>Value Missing</v>
      </c>
      <c r="E304" s="32"/>
    </row>
    <row r="305" spans="2:5" ht="20.05" customHeight="1" x14ac:dyDescent="0.35">
      <c r="B305" s="295" t="s">
        <v>1978</v>
      </c>
      <c r="C305" s="362">
        <f>sample_mgmt_srm_instances_per_day</f>
        <v>3</v>
      </c>
      <c r="D305" s="337" t="str">
        <f>mgmt_srm_instances_per_day</f>
        <v>Value Missing</v>
      </c>
      <c r="E305" s="32"/>
    </row>
    <row r="306" spans="2:5" ht="20.05" customHeight="1" x14ac:dyDescent="0.35">
      <c r="B306" s="295" t="s">
        <v>1984</v>
      </c>
      <c r="C306" s="362">
        <f>sample_mgmt_srm_days</f>
        <v>1</v>
      </c>
      <c r="D306" s="337" t="str">
        <f>mgmt_srm_days</f>
        <v>Value Missing</v>
      </c>
      <c r="E306" s="32"/>
    </row>
    <row r="307" spans="2:5" ht="20.05" customHeight="1" x14ac:dyDescent="0.35">
      <c r="B307" s="295" t="s">
        <v>3062</v>
      </c>
      <c r="C307" s="362" t="s">
        <v>3083</v>
      </c>
      <c r="D307" s="347"/>
      <c r="E307" s="32"/>
    </row>
    <row r="308" spans="2:5" ht="20.05" customHeight="1" x14ac:dyDescent="0.35">
      <c r="B308" s="295" t="s">
        <v>3064</v>
      </c>
      <c r="C308" s="362" t="s">
        <v>3084</v>
      </c>
      <c r="D308" s="347"/>
      <c r="E308" s="32"/>
    </row>
    <row r="309" spans="2:5" ht="16" customHeight="1" x14ac:dyDescent="0.35">
      <c r="B309" s="298"/>
    </row>
    <row r="310" spans="2:5" ht="34" customHeight="1" x14ac:dyDescent="0.35">
      <c r="B310" s="557" t="s">
        <v>3085</v>
      </c>
      <c r="C310" s="557"/>
      <c r="D310" s="557"/>
      <c r="E310" s="557"/>
    </row>
    <row r="311" spans="2:5" ht="20.05" customHeight="1" x14ac:dyDescent="0.35">
      <c r="B311" s="561"/>
      <c r="C311" s="561"/>
      <c r="D311" s="561"/>
      <c r="E311" s="561"/>
    </row>
    <row r="312" spans="2:5" ht="20.05" customHeight="1" x14ac:dyDescent="0.35">
      <c r="B312" s="307" t="s">
        <v>17</v>
      </c>
      <c r="C312" s="308" t="s">
        <v>18</v>
      </c>
      <c r="D312" s="308" t="s">
        <v>19</v>
      </c>
      <c r="E312" s="308" t="s">
        <v>20</v>
      </c>
    </row>
    <row r="313" spans="2:5" ht="20.05" customHeight="1" x14ac:dyDescent="0.35">
      <c r="B313" s="295" t="s">
        <v>3023</v>
      </c>
      <c r="C313" s="362" t="str">
        <f>CONCATENATE(sample_vvs_mgmt_dr_vlr_fqdn,"/dr")</f>
        <v>sfo-m01-vlr01.sfo.rainpole.io/dr</v>
      </c>
      <c r="D313" s="337" t="str">
        <f>CONCATENATE(vvs_mgmt_dr_vlr_fqdn,"/dr")</f>
        <v>Value Missing/dr</v>
      </c>
      <c r="E313" s="32"/>
    </row>
    <row r="314" spans="2:5" ht="20.05" customHeight="1" x14ac:dyDescent="0.35">
      <c r="B314" s="295" t="s">
        <v>3051</v>
      </c>
      <c r="C314" s="362" t="str">
        <f>CONCATENATE(sample_mgmt_vc_fqdn," &lt;--&gt; ",sample_mgmt_srm_recovery_vcenter_fqdn)</f>
        <v>sfo-m01-vc01.sfo.rainpole.io &lt;--&gt; lax-m01-vc01.lax.rainpole.io</v>
      </c>
      <c r="D314" s="337" t="str">
        <f>vs_dr_site_pair</f>
        <v>Value Missing &lt;--&gt; Value Missing</v>
      </c>
      <c r="E314" s="32"/>
    </row>
    <row r="315" spans="2:5" ht="20.05" customHeight="1" x14ac:dyDescent="0.35">
      <c r="B315" s="295" t="s">
        <v>3067</v>
      </c>
      <c r="C315" s="362" t="str">
        <f>sample_mgmt_srm_net_rp</f>
        <v>VCF-OPS-NET-RP</v>
      </c>
      <c r="D315" s="347"/>
      <c r="E315" s="32"/>
    </row>
    <row r="316" spans="2:5" ht="20.05" customHeight="1" x14ac:dyDescent="0.35">
      <c r="B316" s="295" t="s">
        <v>3080</v>
      </c>
      <c r="C316" s="362" t="str">
        <f>CONCATENATE(prefix_portable_component,"-net01a")</f>
        <v>flt-net01a</v>
      </c>
      <c r="D316" s="337" t="str">
        <f>vvs_dr_flt_net_nodea_hostname</f>
        <v>Value Missing</v>
      </c>
      <c r="E316" s="32"/>
    </row>
    <row r="317" spans="2:5" ht="20.05" customHeight="1" x14ac:dyDescent="0.35">
      <c r="B317" s="295" t="s">
        <v>3081</v>
      </c>
      <c r="C317" s="362" t="str">
        <f>CONCATENATE(prefix_portable_component,"-net01b")</f>
        <v>flt-net01b</v>
      </c>
      <c r="D317" s="337" t="str">
        <f>vvs_dr_flt_net_nodeb_hostname</f>
        <v>Value Missing</v>
      </c>
      <c r="E317" s="32"/>
    </row>
    <row r="318" spans="2:5" ht="20.05" customHeight="1" x14ac:dyDescent="0.35">
      <c r="B318" s="295" t="s">
        <v>3082</v>
      </c>
      <c r="C318" s="362" t="str">
        <f>CONCATENATE(prefix_portable_component,"-net01c")</f>
        <v>flt-net01c</v>
      </c>
      <c r="D318" s="337" t="str">
        <f>vvs_dr_flt_net_nodec_hostname</f>
        <v>Value Missing</v>
      </c>
      <c r="E318" s="32"/>
    </row>
    <row r="319" spans="2:5" ht="16" customHeight="1" x14ac:dyDescent="0.4">
      <c r="B319" s="298"/>
      <c r="C319" s="290"/>
    </row>
    <row r="320" spans="2:5" ht="34" customHeight="1" x14ac:dyDescent="0.35">
      <c r="B320" s="557" t="s">
        <v>3086</v>
      </c>
      <c r="C320" s="557"/>
      <c r="D320" s="557"/>
      <c r="E320" s="557"/>
    </row>
    <row r="321" spans="2:5" ht="20.05" customHeight="1" x14ac:dyDescent="0.35">
      <c r="B321" s="561"/>
      <c r="C321" s="561"/>
      <c r="D321" s="561"/>
      <c r="E321" s="561"/>
    </row>
    <row r="322" spans="2:5" ht="20.05" customHeight="1" x14ac:dyDescent="0.35">
      <c r="B322" s="307" t="s">
        <v>17</v>
      </c>
      <c r="C322" s="308" t="s">
        <v>18</v>
      </c>
      <c r="D322" s="308" t="s">
        <v>19</v>
      </c>
      <c r="E322" s="308" t="s">
        <v>20</v>
      </c>
    </row>
    <row r="323" spans="2:5" ht="20.05" customHeight="1" x14ac:dyDescent="0.35">
      <c r="B323" s="295" t="s">
        <v>2767</v>
      </c>
      <c r="C323" s="362" t="str">
        <f>sample_mgmt_srm_recovery_vcenter_fqdn</f>
        <v>lax-m01-vc01.lax.rainpole.io</v>
      </c>
      <c r="D323" s="337" t="str">
        <f>mgmt_srm_recovery_vcenter_fqdn</f>
        <v>Value Missing</v>
      </c>
      <c r="E323" s="32"/>
    </row>
    <row r="324" spans="2:5" ht="20.05" customHeight="1" x14ac:dyDescent="0.35">
      <c r="B324" s="295" t="s">
        <v>732</v>
      </c>
      <c r="C324" s="362" t="str">
        <f>CONCATENATE(other_instance,"-m01-cl01")</f>
        <v>lax-m01-cl01</v>
      </c>
      <c r="D324" s="347"/>
      <c r="E324" s="32"/>
    </row>
    <row r="325" spans="2:5" ht="20.05" customHeight="1" x14ac:dyDescent="0.35">
      <c r="B325" s="295" t="s">
        <v>3087</v>
      </c>
      <c r="C325" s="362" t="s">
        <v>3088</v>
      </c>
      <c r="D325" s="347"/>
      <c r="E325" s="32"/>
    </row>
    <row r="326" spans="2:5" ht="20.05" customHeight="1" x14ac:dyDescent="0.35">
      <c r="B326" s="295" t="s">
        <v>3089</v>
      </c>
      <c r="C326" s="362" t="str">
        <f>CONCATENATE(prefix_portable_component,"-ops01a")</f>
        <v>flt-ops01a</v>
      </c>
      <c r="D326" s="337" t="str">
        <f t="array" ref="D326">vvs_dr_flt_ops_nodea_hostname</f>
        <v>Value Missing</v>
      </c>
      <c r="E326" s="32"/>
    </row>
    <row r="327" spans="2:5" ht="20.05" customHeight="1" x14ac:dyDescent="0.35">
      <c r="B327" s="295" t="s">
        <v>3090</v>
      </c>
      <c r="C327" s="362" t="str">
        <f>CONCATENATE(prefix_portable_component,"-ops01b")</f>
        <v>flt-ops01b</v>
      </c>
      <c r="D327" s="337" t="str">
        <f t="array" ref="D327">vvs_dr_flt_ops_nodeb_hostname</f>
        <v>Value Missing</v>
      </c>
      <c r="E327" s="32"/>
    </row>
    <row r="328" spans="2:5" ht="20.05" customHeight="1" x14ac:dyDescent="0.35">
      <c r="B328" s="295" t="s">
        <v>3091</v>
      </c>
      <c r="C328" s="362" t="str">
        <f>CONCATENATE(prefix_portable_component,"-ops01c")</f>
        <v>flt-ops01c</v>
      </c>
      <c r="D328" s="337" t="str">
        <f t="array" ref="D328">vvs_dr_flt_ops_nodec_hostname</f>
        <v>Value Missing</v>
      </c>
      <c r="E328" s="32"/>
    </row>
    <row r="329" spans="2:5" ht="20.05" customHeight="1" x14ac:dyDescent="0.35">
      <c r="B329" s="295" t="s">
        <v>3092</v>
      </c>
      <c r="C329" s="362" t="s">
        <v>3093</v>
      </c>
      <c r="D329" s="347"/>
      <c r="E329" s="32"/>
    </row>
    <row r="330" spans="2:5" ht="20.05" customHeight="1" x14ac:dyDescent="0.35">
      <c r="B330" s="295" t="s">
        <v>3094</v>
      </c>
      <c r="C330" s="362" t="str">
        <f>CONCATENATE(prefix_portable_component,"-logs01a")</f>
        <v>flt-logs01a</v>
      </c>
      <c r="D330" s="337" t="str">
        <f>vvs_dr_flt_logs_nodea_hostname</f>
        <v>Value Missing</v>
      </c>
      <c r="E330" s="32"/>
    </row>
    <row r="331" spans="2:5" ht="20.05" customHeight="1" x14ac:dyDescent="0.35">
      <c r="B331" s="295" t="s">
        <v>3095</v>
      </c>
      <c r="C331" s="362" t="str">
        <f>CONCATENATE(prefix_portable_component,"-logs01b")</f>
        <v>flt-logs01b</v>
      </c>
      <c r="D331" s="337" t="str">
        <f>vvs_dr_flt_logs_nodeb_hostname</f>
        <v>Value Missing</v>
      </c>
      <c r="E331" s="32"/>
    </row>
    <row r="332" spans="2:5" ht="20.05" customHeight="1" x14ac:dyDescent="0.35">
      <c r="B332" s="295" t="s">
        <v>3096</v>
      </c>
      <c r="C332" s="362" t="str">
        <f>CONCATENATE(prefix_portable_component,"-logs01c")</f>
        <v>flt-logs01c</v>
      </c>
      <c r="D332" s="337" t="str">
        <f>vvs_dr_flt_logs_nodec_hostname</f>
        <v>Value Missing</v>
      </c>
      <c r="E332" s="32"/>
    </row>
    <row r="333" spans="2:5" ht="20.05" customHeight="1" x14ac:dyDescent="0.35">
      <c r="B333" s="295" t="s">
        <v>3097</v>
      </c>
      <c r="C333" s="362" t="s">
        <v>3098</v>
      </c>
      <c r="D333" s="347"/>
      <c r="E333" s="32"/>
    </row>
    <row r="334" spans="2:5" ht="20.05" customHeight="1" x14ac:dyDescent="0.35">
      <c r="B334" s="295" t="s">
        <v>3099</v>
      </c>
      <c r="C334" s="362" t="str">
        <f>CONCATENATE(prefix_portable_component,"-net01a")</f>
        <v>flt-net01a</v>
      </c>
      <c r="D334" s="337" t="str">
        <f>vvs_dr_flt_net_nodea_hostname</f>
        <v>Value Missing</v>
      </c>
      <c r="E334" s="32"/>
    </row>
    <row r="335" spans="2:5" ht="20.05" customHeight="1" x14ac:dyDescent="0.35">
      <c r="B335" s="295" t="s">
        <v>3100</v>
      </c>
      <c r="C335" s="362" t="str">
        <f>CONCATENATE(prefix_portable_component,"-net01b")</f>
        <v>flt-net01b</v>
      </c>
      <c r="D335" s="337" t="str">
        <f>vvs_dr_flt_net_nodeb_hostname</f>
        <v>Value Missing</v>
      </c>
      <c r="E335" s="32"/>
    </row>
    <row r="336" spans="2:5" ht="20.05" customHeight="1" x14ac:dyDescent="0.35">
      <c r="B336" s="295" t="s">
        <v>3101</v>
      </c>
      <c r="C336" s="362" t="str">
        <f>CONCATENATE(prefix_portable_component,"-net01c")</f>
        <v>flt-net01c</v>
      </c>
      <c r="D336" s="337" t="str">
        <f>vvs_dr_flt_net_nodec_hostname</f>
        <v>Value Missing</v>
      </c>
      <c r="E336" s="32"/>
    </row>
    <row r="337" spans="2:5" ht="16" customHeight="1" x14ac:dyDescent="0.35">
      <c r="B337" s="298"/>
      <c r="C337" s="142"/>
    </row>
    <row r="338" spans="2:5" ht="34" customHeight="1" x14ac:dyDescent="0.35">
      <c r="B338" s="557" t="s">
        <v>3102</v>
      </c>
      <c r="C338" s="557"/>
      <c r="D338" s="557"/>
      <c r="E338" s="557"/>
    </row>
    <row r="339" spans="2:5" ht="20.05" customHeight="1" x14ac:dyDescent="0.35">
      <c r="B339" s="561"/>
      <c r="C339" s="561"/>
      <c r="D339" s="561"/>
      <c r="E339" s="561"/>
    </row>
    <row r="340" spans="2:5" ht="20.05" customHeight="1" x14ac:dyDescent="0.35">
      <c r="B340" s="307" t="s">
        <v>17</v>
      </c>
      <c r="C340" s="308" t="s">
        <v>18</v>
      </c>
      <c r="D340" s="308" t="s">
        <v>19</v>
      </c>
      <c r="E340" s="308" t="s">
        <v>20</v>
      </c>
    </row>
    <row r="341" spans="2:5" ht="20.05" customHeight="1" x14ac:dyDescent="0.35">
      <c r="B341" s="4" t="s">
        <v>2767</v>
      </c>
      <c r="C341" s="362" t="str">
        <f>sample_mgmt_srm_recovery_vcenter_fqdn</f>
        <v>lax-m01-vc01.lax.rainpole.io</v>
      </c>
      <c r="D341" s="337" t="str">
        <f>mgmt_srm_recovery_vcenter_fqdn</f>
        <v>Value Missing</v>
      </c>
      <c r="E341" s="32"/>
    </row>
    <row r="342" spans="2:5" ht="20.05" customHeight="1" x14ac:dyDescent="0.35">
      <c r="B342" s="4" t="s">
        <v>732</v>
      </c>
      <c r="C342" s="84" t="str">
        <f>sample_mgmt_srm_recovery_cluster</f>
        <v>lax-m01-cl01</v>
      </c>
      <c r="D342" s="211" t="str">
        <f>mgmt_srm_recovery_cluster</f>
        <v>Value Missing</v>
      </c>
      <c r="E342" s="32"/>
    </row>
    <row r="343" spans="2:5" ht="20.05" customHeight="1" x14ac:dyDescent="0.35">
      <c r="B343" s="532" t="s">
        <v>3103</v>
      </c>
      <c r="C343" s="533"/>
      <c r="D343" s="533"/>
      <c r="E343" s="534"/>
    </row>
    <row r="344" spans="2:5" ht="20.05" customHeight="1" x14ac:dyDescent="0.35">
      <c r="B344" s="4" t="s">
        <v>3087</v>
      </c>
      <c r="C344" s="362" t="str">
        <f>CONCATENATE(prefix_portable_component,"-vm-group-","vcf-operations")</f>
        <v>flt-vm-group-vcf-operations</v>
      </c>
      <c r="D344" s="347"/>
      <c r="E344" s="32"/>
    </row>
    <row r="345" spans="2:5" ht="20.05" customHeight="1" x14ac:dyDescent="0.35">
      <c r="B345" s="4" t="s">
        <v>3089</v>
      </c>
      <c r="C345" s="362" t="str">
        <f>CONCATENATE(prefix_portable_component,"-ops01a")</f>
        <v>flt-ops01a</v>
      </c>
      <c r="D345" s="337" t="str">
        <f t="array" ref="D345">vvs_dr_flt_ops_nodea_hostname</f>
        <v>Value Missing</v>
      </c>
      <c r="E345" s="32"/>
    </row>
    <row r="346" spans="2:5" ht="20.05" customHeight="1" x14ac:dyDescent="0.35">
      <c r="B346" s="4" t="s">
        <v>3090</v>
      </c>
      <c r="C346" s="362" t="str">
        <f>CONCATENATE(prefix_portable_component,"-ops01b")</f>
        <v>flt-ops01b</v>
      </c>
      <c r="D346" s="337" t="str">
        <f t="array" ref="D346">vvs_dr_flt_ops_nodeb_hostname</f>
        <v>Value Missing</v>
      </c>
      <c r="E346" s="32"/>
    </row>
    <row r="347" spans="2:5" ht="20.05" customHeight="1" x14ac:dyDescent="0.35">
      <c r="B347" s="4" t="s">
        <v>3091</v>
      </c>
      <c r="C347" s="362" t="str">
        <f>CONCATENATE(prefix_portable_component,"-ops01c")</f>
        <v>flt-ops01c</v>
      </c>
      <c r="D347" s="337" t="str">
        <f t="array" ref="D347">vvs_dr_flt_ops_nodec_hostname</f>
        <v>Value Missing</v>
      </c>
      <c r="E347" s="32"/>
    </row>
    <row r="348" spans="2:5" ht="20.05" customHeight="1" x14ac:dyDescent="0.35">
      <c r="B348" s="4" t="s">
        <v>3068</v>
      </c>
      <c r="C348" s="362" t="str">
        <f>sample_vvs_dr_flt_fleet_manager_hostname</f>
        <v>flt-fm01</v>
      </c>
      <c r="D348" s="337" t="str">
        <f>vvs_dr_flt_fleet_manager_hostname</f>
        <v>Value Missing</v>
      </c>
      <c r="E348" s="32"/>
    </row>
    <row r="349" spans="2:5" ht="20.05" customHeight="1" x14ac:dyDescent="0.35">
      <c r="B349" s="532" t="s">
        <v>3104</v>
      </c>
      <c r="C349" s="533"/>
      <c r="D349" s="533"/>
      <c r="E349" s="534"/>
    </row>
    <row r="350" spans="2:5" ht="20.05" customHeight="1" x14ac:dyDescent="0.35">
      <c r="B350" s="295" t="s">
        <v>3105</v>
      </c>
      <c r="C350" s="362" t="str">
        <f>CONCATENATE(prefix_portable_component,"-vm-group-","vcf-logs")</f>
        <v>flt-vm-group-vcf-logs</v>
      </c>
      <c r="D350" s="347"/>
      <c r="E350" s="32"/>
    </row>
    <row r="351" spans="2:5" ht="20.05" customHeight="1" x14ac:dyDescent="0.35">
      <c r="B351" s="295" t="s">
        <v>3106</v>
      </c>
      <c r="C351" s="362" t="str">
        <f>CONCATENATE(prefix_portable_component,"-logs01a")</f>
        <v>flt-logs01a</v>
      </c>
      <c r="D351" s="337" t="str">
        <f>vvs_dr_flt_logs_nodea_hostname</f>
        <v>Value Missing</v>
      </c>
      <c r="E351" s="32"/>
    </row>
    <row r="352" spans="2:5" ht="20.05" customHeight="1" x14ac:dyDescent="0.35">
      <c r="B352" s="295" t="s">
        <v>3107</v>
      </c>
      <c r="C352" s="362" t="str">
        <f>CONCATENATE(prefix_portable_component,"-logs01b")</f>
        <v>flt-logs01b</v>
      </c>
      <c r="D352" s="337" t="str">
        <f>vvs_dr_flt_logs_nodeb_hostname</f>
        <v>Value Missing</v>
      </c>
      <c r="E352" s="32"/>
    </row>
    <row r="353" spans="2:5" ht="20.05" customHeight="1" x14ac:dyDescent="0.35">
      <c r="B353" s="295" t="s">
        <v>3108</v>
      </c>
      <c r="C353" s="362" t="str">
        <f>CONCATENATE(prefix_portable_component,"-logs01c")</f>
        <v>flt-logs01c</v>
      </c>
      <c r="D353" s="337" t="str">
        <f>vvs_dr_flt_logs_nodec_hostname</f>
        <v>Value Missing</v>
      </c>
      <c r="E353" s="32"/>
    </row>
    <row r="354" spans="2:5" ht="20.05" customHeight="1" x14ac:dyDescent="0.35">
      <c r="B354" s="532" t="s">
        <v>3104</v>
      </c>
      <c r="C354" s="533"/>
      <c r="D354" s="533"/>
      <c r="E354" s="534"/>
    </row>
    <row r="355" spans="2:5" ht="20.05" customHeight="1" x14ac:dyDescent="0.35">
      <c r="B355" s="295" t="s">
        <v>3109</v>
      </c>
      <c r="C355" s="362" t="str">
        <f>CONCATENATE(prefix_portable_component,"-vm-group-","vcf-neworks")</f>
        <v>flt-vm-group-vcf-neworks</v>
      </c>
      <c r="D355" s="347"/>
      <c r="E355" s="32"/>
    </row>
    <row r="356" spans="2:5" ht="20.05" customHeight="1" x14ac:dyDescent="0.35">
      <c r="B356" s="295" t="s">
        <v>3110</v>
      </c>
      <c r="C356" s="362" t="str">
        <f>CONCATENATE(prefix_portable_component,"-net01a")</f>
        <v>flt-net01a</v>
      </c>
      <c r="D356" s="337" t="str">
        <f>vvs_dr_flt_net_nodea_hostname</f>
        <v>Value Missing</v>
      </c>
      <c r="E356" s="32"/>
    </row>
    <row r="357" spans="2:5" ht="20.05" customHeight="1" x14ac:dyDescent="0.35">
      <c r="B357" s="295" t="s">
        <v>3111</v>
      </c>
      <c r="C357" s="362" t="str">
        <f>CONCATENATE(prefix_portable_component,"-net01b")</f>
        <v>flt-net01b</v>
      </c>
      <c r="D357" s="337" t="str">
        <f>vvs_dr_flt_net_nodeb_hostname</f>
        <v>Value Missing</v>
      </c>
      <c r="E357" s="32"/>
    </row>
    <row r="358" spans="2:5" ht="20.05" customHeight="1" x14ac:dyDescent="0.35">
      <c r="B358" s="295" t="s">
        <v>3112</v>
      </c>
      <c r="C358" s="362" t="str">
        <f>CONCATENATE(prefix_portable_component,"-net01c")</f>
        <v>flt-net01c</v>
      </c>
      <c r="D358" s="337" t="str">
        <f>vvs_dr_flt_net_nodec_hostname</f>
        <v>Value Missing</v>
      </c>
      <c r="E358" s="32"/>
    </row>
    <row r="359" spans="2:5" ht="20.05" customHeight="1" x14ac:dyDescent="0.35">
      <c r="B359" s="532" t="s">
        <v>3104</v>
      </c>
      <c r="C359" s="533"/>
      <c r="D359" s="533"/>
      <c r="E359" s="534"/>
    </row>
    <row r="360" spans="2:5" ht="20.05" customHeight="1" x14ac:dyDescent="0.35">
      <c r="B360" s="295" t="s">
        <v>3113</v>
      </c>
      <c r="C360" s="362" t="s">
        <v>3114</v>
      </c>
      <c r="D360" s="347"/>
      <c r="E360" s="337"/>
    </row>
    <row r="361" spans="2:5" ht="20.05" customHeight="1" x14ac:dyDescent="0.35">
      <c r="B361" s="295" t="s">
        <v>3115</v>
      </c>
      <c r="C361" s="362" t="str">
        <f>C344</f>
        <v>flt-vm-group-vcf-operations</v>
      </c>
      <c r="D361" s="347"/>
      <c r="E361" s="337"/>
    </row>
    <row r="362" spans="2:5" ht="20.05" customHeight="1" x14ac:dyDescent="0.35">
      <c r="B362" s="295" t="s">
        <v>3116</v>
      </c>
      <c r="C362" s="362" t="s">
        <v>3117</v>
      </c>
      <c r="D362" s="347"/>
      <c r="E362" s="337"/>
    </row>
    <row r="363" spans="2:5" ht="20.05" customHeight="1" x14ac:dyDescent="0.35">
      <c r="B363" s="295" t="s">
        <v>3118</v>
      </c>
      <c r="C363" s="362" t="s">
        <v>3119</v>
      </c>
      <c r="D363" s="347"/>
      <c r="E363" s="337"/>
    </row>
    <row r="364" spans="2:5" ht="20.05" customHeight="1" x14ac:dyDescent="0.35">
      <c r="B364" s="295" t="s">
        <v>3120</v>
      </c>
      <c r="C364" s="362" t="s">
        <v>3121</v>
      </c>
      <c r="D364" s="347"/>
      <c r="E364" s="337"/>
    </row>
    <row r="365" spans="2:5" ht="20.05" customHeight="1" x14ac:dyDescent="0.35">
      <c r="B365" s="295" t="s">
        <v>3116</v>
      </c>
      <c r="C365" s="362" t="s">
        <v>3117</v>
      </c>
      <c r="D365" s="347"/>
      <c r="E365" s="32"/>
    </row>
    <row r="366" spans="2:5" ht="16" customHeight="1" x14ac:dyDescent="0.35">
      <c r="B366" s="298"/>
      <c r="C366" s="142"/>
    </row>
    <row r="367" spans="2:5" ht="34" customHeight="1" x14ac:dyDescent="0.35">
      <c r="B367" s="556" t="s">
        <v>3122</v>
      </c>
      <c r="C367" s="557"/>
      <c r="D367" s="557"/>
      <c r="E367" s="557"/>
    </row>
    <row r="368" spans="2:5" ht="16" customHeight="1" x14ac:dyDescent="0.35">
      <c r="B368" s="298"/>
      <c r="C368" s="142"/>
    </row>
    <row r="369" spans="2:5" ht="34" customHeight="1" x14ac:dyDescent="0.35">
      <c r="B369" s="557" t="s">
        <v>3123</v>
      </c>
      <c r="C369" s="557"/>
      <c r="D369" s="557"/>
      <c r="E369" s="557"/>
    </row>
    <row r="370" spans="2:5" ht="20.05" customHeight="1" x14ac:dyDescent="0.35">
      <c r="B370" s="561"/>
      <c r="C370" s="561"/>
      <c r="D370" s="561"/>
      <c r="E370" s="561"/>
    </row>
    <row r="371" spans="2:5" ht="20.05" customHeight="1" x14ac:dyDescent="0.35">
      <c r="B371" s="307" t="s">
        <v>17</v>
      </c>
      <c r="C371" s="308" t="s">
        <v>18</v>
      </c>
      <c r="D371" s="308" t="s">
        <v>19</v>
      </c>
      <c r="E371" s="308" t="s">
        <v>20</v>
      </c>
    </row>
    <row r="372" spans="2:5" ht="20.05" customHeight="1" x14ac:dyDescent="0.35">
      <c r="B372" s="4" t="s">
        <v>2988</v>
      </c>
      <c r="C372" s="362" t="str">
        <f>sample_vvs_dr_flt_ops_nodea_fqdn</f>
        <v>flt-ops01a.rainpole.io</v>
      </c>
      <c r="D372" s="337" t="str">
        <f>vvs_dr_flt_ops_nodea_fqdn</f>
        <v>Value Missing</v>
      </c>
      <c r="E372" s="32"/>
    </row>
    <row r="373" spans="2:5" ht="20.05" customHeight="1" x14ac:dyDescent="0.35">
      <c r="B373" s="532" t="s">
        <v>3124</v>
      </c>
      <c r="C373" s="533"/>
      <c r="D373" s="533"/>
      <c r="E373" s="534"/>
    </row>
    <row r="374" spans="2:5" ht="20.05" customHeight="1" x14ac:dyDescent="0.35">
      <c r="B374" s="295" t="s">
        <v>814</v>
      </c>
      <c r="C374" s="362" t="str">
        <f>sample_mgmt_srm_recovery_vcenter_fqdn</f>
        <v>lax-m01-vc01.lax.rainpole.io</v>
      </c>
      <c r="D374" s="337" t="str">
        <f>mgmt_srm_recovery_vcenter_fqdn</f>
        <v>Value Missing</v>
      </c>
      <c r="E374" s="32"/>
    </row>
    <row r="375" spans="2:5" ht="20.05" customHeight="1" x14ac:dyDescent="0.35">
      <c r="B375" s="295" t="s">
        <v>732</v>
      </c>
      <c r="C375" s="362" t="str">
        <f>sample_mgmt_srm_recovery_cluster</f>
        <v>lax-m01-cl01</v>
      </c>
      <c r="D375" s="337" t="str">
        <f>mgmt_srm_recovery_cluster</f>
        <v>Value Missing</v>
      </c>
      <c r="E375" s="32"/>
    </row>
    <row r="376" spans="2:5" ht="20.05" customHeight="1" x14ac:dyDescent="0.35">
      <c r="B376" s="295" t="s">
        <v>252</v>
      </c>
      <c r="C376" s="362" t="str">
        <f>IF(OR(flt_custom_network_chosen="NSX Overlay segment",flt_custom_network_chosen="NSX VLAN segment"),CONCATENATE(prefix_portable_component,"-m01-seg01"),IF(flt_custom_network_chosen="Dedicated Management Network",CONCATENATE(other_instance,"-m01-cl01-vds01-pg-flt-mgmt"),CONCATENATE(other_instance,"-m01-cl01-vds01-pg-vm-mgmt")))</f>
        <v>lax-m01-cl01-vds01-pg-vm-mgmt</v>
      </c>
      <c r="D376" s="161"/>
      <c r="E376" s="32"/>
    </row>
    <row r="377" spans="2:5" ht="20.05" customHeight="1" x14ac:dyDescent="0.35">
      <c r="B377" s="295" t="s">
        <v>103</v>
      </c>
      <c r="C377" s="362" t="str">
        <f>sample_mgmt_srm_recovery_datastore</f>
        <v>lax-m01-cl01-ds-vsan01</v>
      </c>
      <c r="D377" s="337" t="str">
        <f>mgmt_srm_recovery_datastore</f>
        <v>Value Missing</v>
      </c>
      <c r="E377" s="32"/>
    </row>
    <row r="378" spans="2:5" ht="20.05" customHeight="1" x14ac:dyDescent="0.35">
      <c r="B378" s="532" t="s">
        <v>252</v>
      </c>
      <c r="C378" s="533"/>
      <c r="D378" s="533"/>
      <c r="E378" s="534"/>
    </row>
    <row r="379" spans="2:5" ht="20.05" customHeight="1" x14ac:dyDescent="0.35">
      <c r="B379" s="295" t="s">
        <v>606</v>
      </c>
      <c r="C379" s="362" t="str">
        <f>sample_parent_dns_zone</f>
        <v>rainpole.io</v>
      </c>
      <c r="D379" s="337" t="str">
        <f>vvs_dr_parent_dns_zone</f>
        <v>Value Missing</v>
      </c>
      <c r="E379" s="32"/>
    </row>
    <row r="380" spans="2:5" ht="20.05" customHeight="1" x14ac:dyDescent="0.35">
      <c r="B380" s="295" t="s">
        <v>607</v>
      </c>
      <c r="C380" s="362" t="str">
        <f>sample_parent_dns_zone</f>
        <v>rainpole.io</v>
      </c>
      <c r="D380" s="337" t="str">
        <f>vvs_dr_parent_dns_zone</f>
        <v>Value Missing</v>
      </c>
      <c r="E380" s="32"/>
    </row>
    <row r="381" spans="2:5" ht="20.05" customHeight="1" x14ac:dyDescent="0.35">
      <c r="B381" s="295" t="s">
        <v>608</v>
      </c>
      <c r="C381" s="362" t="str">
        <f>CONCATENATE(sample_vvs_dr_dns1_ip,",",sample_vvs_dr_dns2_ip)</f>
        <v>10.21.10.4,10.21.10.5</v>
      </c>
      <c r="D381" s="337" t="str">
        <f>CONCATENATE(vvs_dr_dns1_ip,",",vvs_dr_dns2_ip)</f>
        <v>Value Missing,Value Missing</v>
      </c>
      <c r="E381" s="32"/>
    </row>
    <row r="382" spans="2:5" ht="20.05" customHeight="1" x14ac:dyDescent="0.35">
      <c r="B382" s="295" t="s">
        <v>611</v>
      </c>
      <c r="C382"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382" s="337"/>
      <c r="E382" s="32"/>
    </row>
    <row r="383" spans="2:5" ht="20.05" customHeight="1" x14ac:dyDescent="0.35">
      <c r="B383" s="295" t="s">
        <v>612</v>
      </c>
      <c r="C383" s="362" t="s">
        <v>128</v>
      </c>
      <c r="D383" s="337"/>
      <c r="E383" s="32"/>
    </row>
    <row r="384" spans="2:5" ht="20.05" customHeight="1" x14ac:dyDescent="0.35">
      <c r="B384" s="532" t="s">
        <v>2998</v>
      </c>
      <c r="C384" s="533"/>
      <c r="D384" s="533"/>
      <c r="E384" s="534"/>
    </row>
    <row r="385" spans="1:12" ht="20.05" customHeight="1" x14ac:dyDescent="0.35">
      <c r="B385" s="295" t="s">
        <v>38</v>
      </c>
      <c r="C385" s="87" t="str">
        <f>sample_flt_vidb_vip_fqdn</f>
        <v>flt-idb01.rainpole.io</v>
      </c>
      <c r="D385" s="337"/>
      <c r="E385" s="32"/>
    </row>
    <row r="386" spans="1:12" ht="20.05" customHeight="1" x14ac:dyDescent="0.35">
      <c r="B386" s="295" t="s">
        <v>3125</v>
      </c>
      <c r="C386" s="87" t="str">
        <f>sample_flt_vidb_cert_alias</f>
        <v>flt-idb01-cert</v>
      </c>
      <c r="D386" s="337"/>
      <c r="E386" s="32"/>
    </row>
    <row r="387" spans="1:12" ht="20.05" customHeight="1" x14ac:dyDescent="0.35">
      <c r="B387" s="295" t="s">
        <v>722</v>
      </c>
      <c r="C387" s="292" t="str">
        <f>sample_flt_vidb_password_alias</f>
        <v>flt-idb01-password</v>
      </c>
      <c r="D387" s="337"/>
      <c r="E387" s="32"/>
    </row>
    <row r="388" spans="1:12" ht="20.05" customHeight="1" x14ac:dyDescent="0.35">
      <c r="B388" s="295" t="s">
        <v>3126</v>
      </c>
      <c r="C388" s="87" t="str">
        <f>sample_flt_vidb_vip_fqdn</f>
        <v>flt-idb01.rainpole.io</v>
      </c>
      <c r="D388" s="337"/>
      <c r="E388" s="32"/>
    </row>
    <row r="389" spans="1:12" ht="20.05" customHeight="1" x14ac:dyDescent="0.35">
      <c r="B389" s="295" t="s">
        <v>566</v>
      </c>
      <c r="C389" s="87" t="str">
        <f>sample_flt_vidb_node_prefix</f>
        <v>flt-idb</v>
      </c>
      <c r="D389" s="337"/>
      <c r="E389" s="32"/>
    </row>
    <row r="390" spans="1:12" ht="20.05" customHeight="1" x14ac:dyDescent="0.35">
      <c r="B390" s="295" t="s">
        <v>629</v>
      </c>
      <c r="C390" s="87" t="s">
        <v>645</v>
      </c>
      <c r="D390" s="337"/>
      <c r="E390" s="32"/>
    </row>
    <row r="391" spans="1:12" ht="20.05" customHeight="1" x14ac:dyDescent="0.35">
      <c r="B391" s="295" t="s">
        <v>628</v>
      </c>
      <c r="C391" s="362" t="str">
        <f>IF(flt_custom_network_chosen="Shared Management Network",IF(mgmt_dpg_reuse_result="Included",CONCATENATE(prefix_mgmt_az1_cidr,"20.23"),CONCATENATE(prefix_mgmt_az1_cidr,"20.23")),IF(flt_custom_network_chosen="NSX Overlay Segment",CONCATENATE(prefix_xreg_cidr,".23"),CONCATENATE(prefix_flt_shared_cidr,".23")))</f>
        <v>10.11.20.23</v>
      </c>
      <c r="D391" s="337"/>
      <c r="E391" s="32"/>
    </row>
    <row r="392" spans="1:12" ht="20.05" customHeight="1" x14ac:dyDescent="0.35">
      <c r="B392" s="295" t="s">
        <v>3127</v>
      </c>
      <c r="C392" s="362" t="str">
        <f>CONCATENATE(IF(flt_custom_network_chosen="Shared Management Network",IF(mgmt_dpg_reuse_result="Included",CONCATENATE(prefix_mgmt_az1_cidr,"20.55"),CONCATENATE(prefix_mgmt_az1_cidr,"20.55")),IF(flt_custom_network_chosen="NSX Overlay Segment",CONCATENATE(prefix_xreg_cidr,".55"),CONCATENATE(prefix_flt_shared_cidr,".55"))),"-",IF(flt_custom_network_chosen="Shared Management Network",IF(mgmt_dpg_reuse_result="Included",CONCATENATE(prefix_mgmt_az1_cidr,"20.58"),CONCATENATE(prefix_mgmt_az1_cidr,"20.58")),IF(flt_custom_network_chosen="NSX Overlay Segment",CONCATENATE(prefix_xreg_cidr,".58"),CONCATENATE(prefix_flt_shared_cidr,".58"))))</f>
        <v>10.11.20.55-10.11.20.58</v>
      </c>
      <c r="D392" s="337"/>
      <c r="E392" s="32"/>
    </row>
    <row r="393" spans="1:12" ht="16" customHeight="1" x14ac:dyDescent="0.35">
      <c r="B393" s="298"/>
    </row>
    <row r="394" spans="1:12" ht="34" customHeight="1" x14ac:dyDescent="0.35">
      <c r="A394" s="120"/>
      <c r="B394" s="563" t="s">
        <v>3128</v>
      </c>
      <c r="C394" s="564"/>
      <c r="D394" s="564"/>
      <c r="E394" s="625"/>
      <c r="F394" s="120"/>
      <c r="G394" s="120"/>
      <c r="H394" s="120"/>
      <c r="I394" s="120"/>
      <c r="J394" s="120"/>
      <c r="K394" s="120"/>
      <c r="L394" s="120"/>
    </row>
    <row r="395" spans="1:12" ht="20.05" customHeight="1" x14ac:dyDescent="0.35">
      <c r="B395" s="561"/>
      <c r="C395" s="561"/>
      <c r="D395" s="561"/>
      <c r="E395" s="561"/>
    </row>
    <row r="396" spans="1:12" ht="20.05" customHeight="1" x14ac:dyDescent="0.35">
      <c r="A396" s="120"/>
      <c r="B396" s="307" t="s">
        <v>17</v>
      </c>
      <c r="C396" s="308" t="s">
        <v>18</v>
      </c>
      <c r="D396" s="308" t="s">
        <v>19</v>
      </c>
      <c r="E396" s="308" t="s">
        <v>20</v>
      </c>
      <c r="F396" s="120"/>
      <c r="G396" s="120"/>
      <c r="H396" s="120"/>
      <c r="I396" s="120"/>
      <c r="J396" s="120"/>
      <c r="K396" s="120"/>
      <c r="L396" s="120"/>
    </row>
    <row r="397" spans="1:12" ht="20.05" customHeight="1" x14ac:dyDescent="0.35">
      <c r="A397" s="120"/>
      <c r="B397" s="4" t="s">
        <v>2988</v>
      </c>
      <c r="C397" s="362" t="str">
        <f>sample_vvs_dr_flt_ops_nodea_fqdn</f>
        <v>flt-ops01a.rainpole.io</v>
      </c>
      <c r="D397" s="161" t="str">
        <f>vvs_dr_flt_ops_nodea_fqdn</f>
        <v>Value Missing</v>
      </c>
      <c r="E397" s="160"/>
      <c r="F397" s="120"/>
      <c r="G397" s="120"/>
      <c r="H397" s="120"/>
      <c r="I397" s="120"/>
      <c r="J397" s="120"/>
      <c r="K397" s="120"/>
      <c r="L397" s="120"/>
    </row>
    <row r="398" spans="1:12" ht="20.05" customHeight="1" x14ac:dyDescent="0.35">
      <c r="A398" s="120"/>
      <c r="B398" s="566" t="s">
        <v>3124</v>
      </c>
      <c r="C398" s="567"/>
      <c r="D398" s="567"/>
      <c r="E398" s="568"/>
      <c r="F398" s="120"/>
      <c r="G398" s="120"/>
      <c r="H398" s="120"/>
      <c r="I398" s="120"/>
      <c r="J398" s="120"/>
      <c r="K398" s="120"/>
      <c r="L398" s="120"/>
    </row>
    <row r="399" spans="1:12" ht="20.05" customHeight="1" x14ac:dyDescent="0.35">
      <c r="A399" s="120"/>
      <c r="B399" s="291" t="s">
        <v>814</v>
      </c>
      <c r="C399" s="362" t="s">
        <v>3129</v>
      </c>
      <c r="D399" s="161" t="str">
        <f>mgmt_srm_recovery_vcenter_fqdn</f>
        <v>Value Missing</v>
      </c>
      <c r="E399" s="160"/>
      <c r="F399" s="120"/>
      <c r="G399" s="120"/>
      <c r="H399" s="120"/>
      <c r="I399" s="120"/>
      <c r="J399" s="120"/>
      <c r="K399" s="120"/>
      <c r="L399" s="120"/>
    </row>
    <row r="400" spans="1:12" ht="20.05" customHeight="1" x14ac:dyDescent="0.35">
      <c r="A400" s="120"/>
      <c r="B400" s="291" t="s">
        <v>732</v>
      </c>
      <c r="C400" s="362" t="s">
        <v>3130</v>
      </c>
      <c r="D400" s="161" t="str">
        <f>mgmt_srm_recovery_cluster</f>
        <v>Value Missing</v>
      </c>
      <c r="E400" s="160"/>
      <c r="F400" s="120"/>
      <c r="G400" s="120"/>
      <c r="H400" s="120"/>
      <c r="I400" s="120"/>
      <c r="J400" s="120"/>
      <c r="K400" s="120"/>
      <c r="L400" s="120"/>
    </row>
    <row r="401" spans="1:12" ht="20.05" customHeight="1" x14ac:dyDescent="0.35">
      <c r="A401" s="120"/>
      <c r="B401" s="291" t="s">
        <v>252</v>
      </c>
      <c r="C401" s="362" t="str">
        <f>sample_mgmt_srm_recovery_pg</f>
        <v>lax-m01-cl01-vds01-pg-vm-mgmt</v>
      </c>
      <c r="D401" s="161" t="str">
        <f t="array" ref="D401">mgmt_srm_recovery_pg</f>
        <v>Value Missing</v>
      </c>
      <c r="E401" s="160"/>
      <c r="F401" s="120"/>
      <c r="G401" s="120"/>
      <c r="H401" s="120"/>
      <c r="I401" s="120"/>
      <c r="J401" s="120"/>
      <c r="K401" s="120"/>
      <c r="L401" s="120"/>
    </row>
    <row r="402" spans="1:12" ht="20.05" customHeight="1" x14ac:dyDescent="0.35">
      <c r="A402" s="120"/>
      <c r="B402" s="291" t="s">
        <v>103</v>
      </c>
      <c r="C402" s="362" t="s">
        <v>3131</v>
      </c>
      <c r="D402" s="161" t="str">
        <f>mgmt_srm_recovery_datastore</f>
        <v>Value Missing</v>
      </c>
      <c r="E402" s="160"/>
      <c r="F402" s="120"/>
      <c r="G402" s="120"/>
      <c r="H402" s="120"/>
      <c r="I402" s="120"/>
      <c r="J402" s="120"/>
      <c r="K402" s="120"/>
      <c r="L402" s="120"/>
    </row>
    <row r="403" spans="1:12" ht="20.05" customHeight="1" x14ac:dyDescent="0.35">
      <c r="A403" s="120"/>
      <c r="B403" s="566" t="s">
        <v>252</v>
      </c>
      <c r="C403" s="567"/>
      <c r="D403" s="567"/>
      <c r="E403" s="568"/>
      <c r="F403" s="120"/>
      <c r="G403" s="120"/>
      <c r="H403" s="120"/>
      <c r="I403" s="120"/>
      <c r="J403" s="120"/>
      <c r="K403" s="120"/>
      <c r="L403" s="120"/>
    </row>
    <row r="404" spans="1:12" ht="20.05" customHeight="1" x14ac:dyDescent="0.35">
      <c r="A404" s="120"/>
      <c r="B404" s="291" t="s">
        <v>606</v>
      </c>
      <c r="C404" s="362" t="s">
        <v>1625</v>
      </c>
      <c r="D404" s="337" t="str">
        <f>vvs_dr_parent_dns_zone</f>
        <v>Value Missing</v>
      </c>
      <c r="E404" s="160"/>
      <c r="F404" s="120"/>
      <c r="G404" s="120"/>
      <c r="H404" s="120"/>
      <c r="I404" s="120"/>
      <c r="J404" s="120"/>
      <c r="K404" s="120"/>
      <c r="L404" s="120"/>
    </row>
    <row r="405" spans="1:12" ht="20.05" customHeight="1" x14ac:dyDescent="0.35">
      <c r="A405" s="120"/>
      <c r="B405" s="291" t="s">
        <v>607</v>
      </c>
      <c r="C405" s="362" t="s">
        <v>1625</v>
      </c>
      <c r="D405" s="337" t="str">
        <f>vvs_dr_parent_dns_zone</f>
        <v>Value Missing</v>
      </c>
      <c r="E405" s="160"/>
      <c r="F405" s="120"/>
      <c r="G405" s="120"/>
      <c r="H405" s="120"/>
      <c r="I405" s="120"/>
      <c r="J405" s="120"/>
      <c r="K405" s="120"/>
      <c r="L405" s="120"/>
    </row>
    <row r="406" spans="1:12" ht="20.05" customHeight="1" x14ac:dyDescent="0.35">
      <c r="A406" s="120"/>
      <c r="B406" s="291" t="s">
        <v>608</v>
      </c>
      <c r="C406" s="362" t="str">
        <f>CONCATENATE(sample_vvs_dr_dns1_ip,",",sample_vvs_dr_dns2_ip)</f>
        <v>10.21.10.4,10.21.10.5</v>
      </c>
      <c r="D406" s="337" t="str">
        <f>CONCATENATE(vvs_dr_dns1_ip,",",vvs_dr_dns2_ip)</f>
        <v>Value Missing,Value Missing</v>
      </c>
      <c r="E406" s="160"/>
      <c r="F406" s="120"/>
      <c r="G406" s="120"/>
      <c r="H406" s="120"/>
      <c r="I406" s="120"/>
      <c r="J406" s="120"/>
      <c r="K406" s="120"/>
      <c r="L406" s="120"/>
    </row>
    <row r="407" spans="1:12" ht="20.05" customHeight="1" x14ac:dyDescent="0.35">
      <c r="A407" s="120"/>
      <c r="B407" s="291" t="s">
        <v>611</v>
      </c>
      <c r="C407" s="362" t="str">
        <f>IF(flt_custom_network_chosen="Shared Management Network",IF(mgmt_dpg_reuse_result="Included",CONCATENATE(prefix_mgmt_az1_cidr,"20.1"),CONCATENATE(prefix_mgmt_az1_cidr,"20.1")),IF(flt_custom_network_chosen="NSX Overlay Segment",CONCATENATE(prefix_xreg_cidr,".1"),CONCATENATE(prefix_flt_shared_cidr,".1")))</f>
        <v>10.11.20.1</v>
      </c>
      <c r="D407" s="161"/>
      <c r="E407" s="160"/>
      <c r="F407" s="120"/>
      <c r="G407" s="120"/>
      <c r="H407" s="120"/>
      <c r="I407" s="120"/>
      <c r="J407" s="120"/>
      <c r="K407" s="120"/>
      <c r="L407" s="120"/>
    </row>
    <row r="408" spans="1:12" ht="20.05" customHeight="1" x14ac:dyDescent="0.35">
      <c r="A408" s="120"/>
      <c r="B408" s="291" t="s">
        <v>612</v>
      </c>
      <c r="C408" s="362" t="str">
        <f>sample_mgmt_srm_recovery_mask</f>
        <v>255.255.255.0</v>
      </c>
      <c r="D408" s="161" t="str">
        <f>mgmt_srm_recovery_mask</f>
        <v>Value Missing</v>
      </c>
      <c r="E408" s="160"/>
      <c r="F408" s="120"/>
      <c r="G408" s="120"/>
      <c r="H408" s="120"/>
      <c r="I408" s="120"/>
      <c r="J408" s="120"/>
      <c r="K408" s="120"/>
      <c r="L408" s="120"/>
    </row>
    <row r="409" spans="1:12" ht="20.05" customHeight="1" x14ac:dyDescent="0.35">
      <c r="A409" s="120"/>
      <c r="B409" s="566" t="s">
        <v>2998</v>
      </c>
      <c r="C409" s="567"/>
      <c r="D409" s="567"/>
      <c r="E409" s="568"/>
      <c r="F409" s="120"/>
      <c r="G409" s="120"/>
      <c r="H409" s="120"/>
      <c r="I409" s="120"/>
      <c r="J409" s="120"/>
      <c r="K409" s="120"/>
      <c r="L409" s="120"/>
    </row>
    <row r="410" spans="1:12" ht="20.05" customHeight="1" x14ac:dyDescent="0.35">
      <c r="A410" s="120"/>
      <c r="B410" s="291" t="s">
        <v>38</v>
      </c>
      <c r="C410" s="87" t="str">
        <f>sample_vcf_automation_vip_fqdn</f>
        <v>flt-auto01.rainpole.io</v>
      </c>
      <c r="D410" s="161"/>
      <c r="E410" s="160"/>
      <c r="F410" s="120"/>
      <c r="G410" s="120"/>
      <c r="H410" s="120"/>
      <c r="I410" s="120"/>
      <c r="J410" s="120"/>
      <c r="K410" s="120"/>
      <c r="L410" s="120"/>
    </row>
    <row r="411" spans="1:12" ht="20.05" customHeight="1" x14ac:dyDescent="0.35">
      <c r="A411" s="120"/>
      <c r="B411" s="291" t="s">
        <v>3125</v>
      </c>
      <c r="C411" s="87" t="str">
        <f>sample_vcf_automation_cert_alias</f>
        <v>flt-auto01-cert</v>
      </c>
      <c r="D411" s="161"/>
      <c r="E411" s="160"/>
      <c r="F411" s="120"/>
      <c r="G411" s="120"/>
      <c r="H411" s="120"/>
      <c r="I411" s="120"/>
      <c r="J411" s="120"/>
      <c r="K411" s="120"/>
      <c r="L411" s="120"/>
    </row>
    <row r="412" spans="1:12" ht="20.05" customHeight="1" x14ac:dyDescent="0.35">
      <c r="A412" s="120"/>
      <c r="B412" s="291" t="s">
        <v>722</v>
      </c>
      <c r="C412" s="292" t="str">
        <f>sample_vcf_automation_root_password_alias</f>
        <v>flt-auto01-password</v>
      </c>
      <c r="D412" s="161"/>
      <c r="E412" s="160"/>
      <c r="F412" s="120"/>
      <c r="G412" s="120"/>
      <c r="H412" s="120"/>
      <c r="I412" s="120"/>
      <c r="J412" s="120"/>
      <c r="K412" s="120"/>
      <c r="L412" s="120"/>
    </row>
    <row r="413" spans="1:12" ht="20.05" customHeight="1" x14ac:dyDescent="0.35">
      <c r="A413" s="120"/>
      <c r="B413" s="291" t="s">
        <v>3126</v>
      </c>
      <c r="C413" s="87" t="str">
        <f>sample_vcf_automation_vip_fqdn</f>
        <v>flt-auto01.rainpole.io</v>
      </c>
      <c r="D413" s="161"/>
      <c r="E413" s="160"/>
      <c r="F413" s="120"/>
      <c r="G413" s="120"/>
      <c r="H413" s="120"/>
      <c r="I413" s="120"/>
      <c r="J413" s="120"/>
      <c r="K413" s="120"/>
      <c r="L413" s="120"/>
    </row>
    <row r="414" spans="1:12" ht="20.05" customHeight="1" x14ac:dyDescent="0.35">
      <c r="A414" s="120"/>
      <c r="B414" s="291" t="s">
        <v>625</v>
      </c>
      <c r="C414" s="87" t="s">
        <v>626</v>
      </c>
      <c r="D414" s="161"/>
      <c r="E414" s="160"/>
      <c r="F414" s="120"/>
      <c r="G414" s="120"/>
      <c r="H414" s="120"/>
      <c r="I414" s="120"/>
      <c r="J414" s="120"/>
      <c r="K414" s="120"/>
      <c r="L414" s="120"/>
    </row>
    <row r="415" spans="1:12" ht="20.05" customHeight="1" x14ac:dyDescent="0.35">
      <c r="A415" s="120"/>
      <c r="B415" s="291" t="s">
        <v>566</v>
      </c>
      <c r="C415" s="87" t="str">
        <f>CONCATENATE(prefix_portable_component,"-auto")</f>
        <v>flt-auto</v>
      </c>
      <c r="D415" s="161"/>
      <c r="E415" s="160"/>
      <c r="F415" s="120"/>
      <c r="G415" s="120"/>
      <c r="H415" s="120"/>
      <c r="I415" s="120"/>
      <c r="J415" s="120"/>
      <c r="K415" s="120"/>
      <c r="L415" s="120"/>
    </row>
    <row r="416" spans="1:12" ht="20.05" customHeight="1" x14ac:dyDescent="0.35">
      <c r="A416" s="120"/>
      <c r="B416" s="291" t="s">
        <v>628</v>
      </c>
      <c r="C416" s="362" t="str">
        <f>IF(flt_custom_network_chosen="Shared Management Network",IF(mgmt_dpg_reuse_result="Included",CONCATENATE(prefix_mgmt_az1_cidr,"20.25"),CONCATENATE(prefix_mgmt_az1_cidr,"20.25")),IF(flt_custom_network_chosen="NSX Overlay Segment",CONCATENATE(prefix_xreg_cidr,".25"),CONCATENATE(prefix_flt_shared_cidr,".25")))</f>
        <v>10.11.20.25</v>
      </c>
      <c r="D416" s="161"/>
      <c r="E416" s="160"/>
      <c r="F416" s="120"/>
      <c r="G416" s="120"/>
      <c r="H416" s="120"/>
      <c r="I416" s="120"/>
      <c r="J416" s="120"/>
      <c r="K416" s="120"/>
      <c r="L416" s="120"/>
    </row>
    <row r="417" spans="1:12" ht="20.05" customHeight="1" x14ac:dyDescent="0.35">
      <c r="A417" s="120"/>
      <c r="B417" s="291" t="s">
        <v>629</v>
      </c>
      <c r="C417" s="87" t="s">
        <v>645</v>
      </c>
      <c r="D417" s="161"/>
      <c r="E417" s="160"/>
      <c r="F417" s="120"/>
      <c r="G417" s="120"/>
      <c r="H417" s="120"/>
      <c r="I417" s="120"/>
      <c r="J417" s="120"/>
      <c r="K417" s="120"/>
      <c r="L417" s="120"/>
    </row>
    <row r="418" spans="1:12" ht="20.05" customHeight="1" x14ac:dyDescent="0.35">
      <c r="A418" s="120"/>
      <c r="B418" s="291" t="s">
        <v>3127</v>
      </c>
      <c r="C418" s="362" t="str">
        <f>CONCATENATE(IF(flt_custom_network_chosen="Shared Management Network",IF(mgmt_dpg_reuse_result="Included",CONCATENATE(prefix_mgmt_az1_cidr,"20.46"),CONCATENATE(prefix_mgmt_az1_cidr,"20.46")),IF(flt_custom_network_chosen="NSX Overlay Segment",CONCATENATE(prefix_xreg_cidr,".46"),CONCATENATE(prefix_flt_shared_cidr,".46"))),"-",IF(flt_custom_network_chosen="Shared Management Network",IF(mgmt_dpg_reuse_result="Included",CONCATENATE(prefix_mgmt_az1_cidr,"20.51"),CONCATENATE(prefix_mgmt_az1_cidr,"20.51")),IF(flt_custom_network_chosen="NSX Overlay Segment",CONCATENATE(prefix_xreg_cidr,".51"),CONCATENATE(prefix_flt_shared_cidr,".51"))))</f>
        <v>10.11.20.46-10.11.20.51</v>
      </c>
      <c r="D418" s="161"/>
      <c r="E418" s="160"/>
      <c r="F418" s="120"/>
      <c r="G418" s="120"/>
      <c r="H418" s="120"/>
      <c r="I418" s="120"/>
      <c r="J418" s="120"/>
      <c r="K418" s="120"/>
      <c r="L418" s="120"/>
    </row>
    <row r="419" spans="1:12" ht="16" customHeight="1" x14ac:dyDescent="0.35">
      <c r="B419" s="298"/>
    </row>
    <row r="420" spans="1:12" ht="34" customHeight="1" x14ac:dyDescent="0.35">
      <c r="B420" s="557" t="s">
        <v>3132</v>
      </c>
      <c r="C420" s="557"/>
      <c r="D420" s="557"/>
      <c r="E420" s="557"/>
    </row>
    <row r="421" spans="1:12" ht="20.05" customHeight="1" x14ac:dyDescent="0.35">
      <c r="B421" s="561"/>
      <c r="C421" s="561"/>
      <c r="D421" s="561"/>
      <c r="E421" s="561"/>
    </row>
    <row r="422" spans="1:12" ht="20.05" customHeight="1" x14ac:dyDescent="0.35">
      <c r="B422" s="307" t="s">
        <v>17</v>
      </c>
      <c r="C422" s="308" t="s">
        <v>18</v>
      </c>
      <c r="D422" s="308" t="s">
        <v>19</v>
      </c>
      <c r="E422" s="308" t="s">
        <v>20</v>
      </c>
    </row>
    <row r="423" spans="1:12" ht="20.05" customHeight="1" x14ac:dyDescent="0.35">
      <c r="B423" s="4" t="s">
        <v>2988</v>
      </c>
      <c r="C423" s="362" t="str">
        <f>sample_vvs_dr_flt_ops_nodea_fqdn</f>
        <v>flt-ops01a.rainpole.io</v>
      </c>
      <c r="D423" s="161" t="str">
        <f>vvs_dr_flt_ops_nodea_fqdn</f>
        <v>Value Missing</v>
      </c>
      <c r="E423" s="32"/>
    </row>
    <row r="424" spans="1:12" ht="20.05" customHeight="1" x14ac:dyDescent="0.35">
      <c r="B424" s="532" t="s">
        <v>3124</v>
      </c>
      <c r="C424" s="533"/>
      <c r="D424" s="533"/>
      <c r="E424" s="534"/>
    </row>
    <row r="425" spans="1:12" ht="20.05" customHeight="1" x14ac:dyDescent="0.35">
      <c r="B425" s="295" t="s">
        <v>814</v>
      </c>
      <c r="C425" s="362" t="str">
        <f>sample_mgmt_srm_recovery_vcenter_fqdn</f>
        <v>lax-m01-vc01.lax.rainpole.io</v>
      </c>
      <c r="D425" s="337" t="str">
        <f>mgmt_srm_recovery_vcenter_fqdn</f>
        <v>Value Missing</v>
      </c>
      <c r="E425" s="32"/>
    </row>
    <row r="426" spans="1:12" ht="20.05" customHeight="1" x14ac:dyDescent="0.35">
      <c r="B426" s="295" t="s">
        <v>732</v>
      </c>
      <c r="C426" s="362" t="str">
        <f>sample_mgmt_srm_recovery_cluster</f>
        <v>lax-m01-cl01</v>
      </c>
      <c r="D426" s="337" t="str">
        <f>mgmt_srm_recovery_cluster</f>
        <v>Value Missing</v>
      </c>
      <c r="E426" s="32"/>
    </row>
    <row r="427" spans="1:12" ht="20.05" customHeight="1" x14ac:dyDescent="0.35">
      <c r="B427" s="295" t="s">
        <v>252</v>
      </c>
      <c r="C427" s="362" t="str">
        <f>sample_mgmt_srm_recovery_pg</f>
        <v>lax-m01-cl01-vds01-pg-vm-mgmt</v>
      </c>
      <c r="D427" s="337" t="str">
        <f t="array" ref="D427">mgmt_srm_recovery_pg</f>
        <v>Value Missing</v>
      </c>
      <c r="E427" s="32"/>
    </row>
    <row r="428" spans="1:12" ht="20.05" customHeight="1" x14ac:dyDescent="0.35">
      <c r="B428" s="295" t="s">
        <v>103</v>
      </c>
      <c r="C428" s="362" t="str">
        <f>sample_mgmt_srm_recovery_datastore</f>
        <v>lax-m01-cl01-ds-vsan01</v>
      </c>
      <c r="D428" s="337" t="str">
        <f>mgmt_srm_recovery_datastore</f>
        <v>Value Missing</v>
      </c>
      <c r="E428" s="32"/>
    </row>
    <row r="429" spans="1:12" ht="20.05" customHeight="1" x14ac:dyDescent="0.35">
      <c r="B429" s="532" t="s">
        <v>252</v>
      </c>
      <c r="C429" s="533"/>
      <c r="D429" s="533"/>
      <c r="E429" s="534"/>
    </row>
    <row r="430" spans="1:12" ht="20.05" customHeight="1" x14ac:dyDescent="0.35">
      <c r="B430" s="295" t="s">
        <v>606</v>
      </c>
      <c r="C430" s="362" t="str">
        <f>sample_parent_dns_zone</f>
        <v>rainpole.io</v>
      </c>
      <c r="D430" s="337" t="str">
        <f>vvs_dr_parent_dns_zone</f>
        <v>Value Missing</v>
      </c>
      <c r="E430" s="32"/>
    </row>
    <row r="431" spans="1:12" ht="20.05" customHeight="1" x14ac:dyDescent="0.35">
      <c r="B431" s="295" t="s">
        <v>607</v>
      </c>
      <c r="C431" s="362" t="str">
        <f>sample_parent_dns_zone</f>
        <v>rainpole.io</v>
      </c>
      <c r="D431" s="337" t="str">
        <f>vvs_dr_parent_dns_zone</f>
        <v>Value Missing</v>
      </c>
      <c r="E431" s="32"/>
    </row>
    <row r="432" spans="1:12" ht="20.05" customHeight="1" x14ac:dyDescent="0.35">
      <c r="B432" s="295" t="s">
        <v>608</v>
      </c>
      <c r="C432" s="362" t="str">
        <f>CONCATENATE(sample_vvs_dr_dns1_ip,",",sample_vvs_dr_dns2_ip)</f>
        <v>10.21.10.4,10.21.10.5</v>
      </c>
      <c r="D432" s="337" t="str">
        <f>CONCATENATE(vvs_dr_dns1_ip,",",vvs_dr_dns2_ip)</f>
        <v>Value Missing,Value Missing</v>
      </c>
      <c r="E432" s="32"/>
    </row>
    <row r="433" spans="2:5" ht="20.05" customHeight="1" x14ac:dyDescent="0.35">
      <c r="B433" s="295" t="s">
        <v>611</v>
      </c>
      <c r="C433" s="362" t="str">
        <f>IF(flt_custom_network_chosen="Shared Management Network",IF(mgmt_dpg_reuse_result="Included",CONCATENATE(prefix_mgmt_az1_cidr,"20.1"),CONCATENATE(prefix_mgmt_az1_cidr,"21.1")),IF(flt_custom_network_chosen="NSX Overlay Segment",CONCATENATE(prefix_xreg_cidr,".1"),CONCATENATE(prefix_flt_shared_cidr,".1")))</f>
        <v>10.11.20.1</v>
      </c>
      <c r="D433" s="337"/>
      <c r="E433" s="32"/>
    </row>
    <row r="434" spans="2:5" ht="20.05" customHeight="1" x14ac:dyDescent="0.35">
      <c r="B434" s="295" t="s">
        <v>612</v>
      </c>
      <c r="C434" s="362" t="s">
        <v>128</v>
      </c>
      <c r="D434" s="337" t="str">
        <f>mgmt_srm_recovery_mask</f>
        <v>Value Missing</v>
      </c>
      <c r="E434" s="32"/>
    </row>
    <row r="435" spans="2:5" ht="20.05" customHeight="1" x14ac:dyDescent="0.35">
      <c r="B435" s="532" t="s">
        <v>2998</v>
      </c>
      <c r="C435" s="533"/>
      <c r="D435" s="533"/>
      <c r="E435" s="534"/>
    </row>
    <row r="436" spans="2:5" ht="20.05" customHeight="1" x14ac:dyDescent="0.35">
      <c r="B436" s="295" t="s">
        <v>38</v>
      </c>
      <c r="C436" s="87" t="str">
        <f>sample_flt_vidb_vip_fqdn</f>
        <v>flt-idb01.rainpole.io</v>
      </c>
      <c r="D436" s="337"/>
      <c r="E436" s="32"/>
    </row>
    <row r="437" spans="2:5" ht="20.05" customHeight="1" x14ac:dyDescent="0.35">
      <c r="B437" s="295" t="s">
        <v>3125</v>
      </c>
      <c r="C437" s="87" t="str">
        <f>sample_flt_vidb_cert_alias</f>
        <v>flt-idb01-cert</v>
      </c>
      <c r="D437" s="337"/>
      <c r="E437" s="32"/>
    </row>
    <row r="438" spans="2:5" ht="20.05" customHeight="1" x14ac:dyDescent="0.35">
      <c r="B438" s="295" t="s">
        <v>722</v>
      </c>
      <c r="C438" s="292" t="str">
        <f>sample_flt_vidb_password_alias</f>
        <v>flt-idb01-password</v>
      </c>
      <c r="D438" s="337"/>
      <c r="E438" s="32"/>
    </row>
    <row r="439" spans="2:5" ht="20.05" customHeight="1" x14ac:dyDescent="0.35">
      <c r="B439" s="295" t="s">
        <v>3126</v>
      </c>
      <c r="C439" s="87" t="str">
        <f>sample_flt_vidb_vip_fqdn</f>
        <v>flt-idb01.rainpole.io</v>
      </c>
      <c r="D439" s="337"/>
      <c r="E439" s="32"/>
    </row>
    <row r="440" spans="2:5" ht="20.05" customHeight="1" x14ac:dyDescent="0.35">
      <c r="B440" s="295" t="s">
        <v>566</v>
      </c>
      <c r="C440" s="87" t="str">
        <f>sample_flt_vidb_node_prefix</f>
        <v>flt-idb</v>
      </c>
      <c r="D440" s="337"/>
      <c r="E440" s="32"/>
    </row>
    <row r="441" spans="2:5" ht="20.05" customHeight="1" x14ac:dyDescent="0.35">
      <c r="B441" s="295" t="s">
        <v>629</v>
      </c>
      <c r="C441" s="87" t="s">
        <v>630</v>
      </c>
      <c r="D441" s="337"/>
      <c r="E441" s="32"/>
    </row>
    <row r="442" spans="2:5" ht="20.05" customHeight="1" x14ac:dyDescent="0.35">
      <c r="B442" s="295" t="s">
        <v>628</v>
      </c>
      <c r="C442" s="362" t="str">
        <f>IF(flt_custom_network_chosen="Shared Management Network",IF(mgmt_dpg_reuse_result="Included",CONCATENATE(prefix_mgmt_az1_cidr,"20.23"),CONCATENATE(prefix_mgmt_az1_cidr,"20.23")),IF(flt_custom_network_chosen="NSX Overlay Segment",CONCATENATE(prefix_xreg_cidr,".23"),CONCATENATE(prefix_flt_shared_cidr,".23")))</f>
        <v>10.11.20.23</v>
      </c>
      <c r="D442" s="337"/>
      <c r="E442" s="32"/>
    </row>
    <row r="443" spans="2:5" ht="20.05" customHeight="1" x14ac:dyDescent="0.35">
      <c r="B443" s="295" t="s">
        <v>3127</v>
      </c>
      <c r="C443" s="362" t="str">
        <f>CONCATENATE(IF(flt_custom_network_chosen="Shared Management Network",IF(mgmt_dpg_reuse_result="Included",CONCATENATE(prefix_mgmt_az1_cidr,"20.55"),CONCATENATE(prefix_mgmt_az1_cidr,"20.55")),IF(flt_custom_network_chosen="NSX Overlay Segment",CONCATENATE(prefix_xreg_cidr,".55"),CONCATENATE(prefix_flt_shared_cidr,".55"))),"-",IF(flt_custom_network_chosen="Shared Management Network",IF(mgmt_dpg_reuse_result="Included",CONCATENATE(prefix_mgmt_az1_cidr,"20.58"),CONCATENATE(prefix_mgmt_az1_cidr,"20.58")),IF(flt_custom_network_chosen="NSX Overlay Segment",CONCATENATE(prefix_xreg_cidr,".58"),CONCATENATE(prefix_flt_shared_cidr,".58"))))</f>
        <v>10.11.20.55-10.11.20.58</v>
      </c>
      <c r="D443" s="337"/>
      <c r="E443" s="32"/>
    </row>
    <row r="444" spans="2:5" ht="16" customHeight="1" x14ac:dyDescent="0.35">
      <c r="B444" s="298"/>
    </row>
    <row r="445" spans="2:5" ht="34" customHeight="1" x14ac:dyDescent="0.35">
      <c r="B445" s="563" t="s">
        <v>3133</v>
      </c>
      <c r="C445" s="564"/>
      <c r="D445" s="564"/>
      <c r="E445" s="625"/>
    </row>
    <row r="446" spans="2:5" ht="20.05" customHeight="1" x14ac:dyDescent="0.35">
      <c r="B446" s="561"/>
      <c r="C446" s="561"/>
      <c r="D446" s="561"/>
      <c r="E446" s="561"/>
    </row>
    <row r="447" spans="2:5" ht="20.05" customHeight="1" x14ac:dyDescent="0.35">
      <c r="B447" s="307" t="s">
        <v>17</v>
      </c>
      <c r="C447" s="308" t="s">
        <v>18</v>
      </c>
      <c r="D447" s="308" t="s">
        <v>19</v>
      </c>
      <c r="E447" s="308" t="s">
        <v>20</v>
      </c>
    </row>
    <row r="448" spans="2:5" ht="20.05" customHeight="1" x14ac:dyDescent="0.35">
      <c r="B448" s="291" t="s">
        <v>2997</v>
      </c>
      <c r="C448" s="362" t="str">
        <f>sample_vvs_dr_flt_ops_nodea_fqdn</f>
        <v>flt-ops01a.rainpole.io</v>
      </c>
      <c r="D448" s="161" t="str">
        <f>vvs_dr_flt_ops_nodea_fqdn</f>
        <v>Value Missing</v>
      </c>
      <c r="E448" s="160"/>
    </row>
    <row r="449" spans="2:5" ht="20.05" customHeight="1" x14ac:dyDescent="0.35">
      <c r="B449" s="626" t="s">
        <v>3124</v>
      </c>
      <c r="C449" s="627"/>
      <c r="D449" s="627"/>
      <c r="E449" s="628"/>
    </row>
    <row r="450" spans="2:5" ht="20.05" customHeight="1" x14ac:dyDescent="0.35">
      <c r="B450" s="291" t="s">
        <v>814</v>
      </c>
      <c r="C450" s="362" t="s">
        <v>3129</v>
      </c>
      <c r="D450" s="337" t="str">
        <f>mgmt_srm_recovery_vcenter_fqdn</f>
        <v>Value Missing</v>
      </c>
      <c r="E450" s="160"/>
    </row>
    <row r="451" spans="2:5" ht="20.05" customHeight="1" x14ac:dyDescent="0.35">
      <c r="B451" s="291" t="s">
        <v>732</v>
      </c>
      <c r="C451" s="362" t="s">
        <v>3130</v>
      </c>
      <c r="D451" s="337" t="str">
        <f>mgmt_srm_recovery_cluster</f>
        <v>Value Missing</v>
      </c>
      <c r="E451" s="160"/>
    </row>
    <row r="452" spans="2:5" ht="20.05" customHeight="1" x14ac:dyDescent="0.35">
      <c r="B452" s="291" t="s">
        <v>252</v>
      </c>
      <c r="C452" s="362" t="str">
        <f>sample_mgmt_srm_recovery_pg</f>
        <v>lax-m01-cl01-vds01-pg-vm-mgmt</v>
      </c>
      <c r="D452" s="337" t="str">
        <f t="array" ref="D452">mgmt_srm_recovery_pg</f>
        <v>Value Missing</v>
      </c>
      <c r="E452" s="160"/>
    </row>
    <row r="453" spans="2:5" ht="20.05" customHeight="1" x14ac:dyDescent="0.35">
      <c r="B453" s="291" t="s">
        <v>103</v>
      </c>
      <c r="C453" s="362" t="s">
        <v>3131</v>
      </c>
      <c r="D453" s="337" t="str">
        <f>mgmt_srm_recovery_datastore</f>
        <v>Value Missing</v>
      </c>
      <c r="E453" s="160"/>
    </row>
    <row r="454" spans="2:5" ht="20.05" customHeight="1" x14ac:dyDescent="0.35">
      <c r="B454" s="626" t="s">
        <v>252</v>
      </c>
      <c r="C454" s="627"/>
      <c r="D454" s="627"/>
      <c r="E454" s="628"/>
    </row>
    <row r="455" spans="2:5" ht="20.05" customHeight="1" x14ac:dyDescent="0.35">
      <c r="B455" s="291" t="s">
        <v>606</v>
      </c>
      <c r="C455" s="362" t="s">
        <v>1625</v>
      </c>
      <c r="D455" s="161" t="str">
        <f>vvs_dr_parent_dns_zone</f>
        <v>Value Missing</v>
      </c>
      <c r="E455" s="160"/>
    </row>
    <row r="456" spans="2:5" ht="20.05" customHeight="1" x14ac:dyDescent="0.35">
      <c r="B456" s="291" t="s">
        <v>607</v>
      </c>
      <c r="C456" s="362" t="s">
        <v>1625</v>
      </c>
      <c r="D456" s="161" t="str">
        <f>vvs_dr_parent_dns_zone</f>
        <v>Value Missing</v>
      </c>
      <c r="E456" s="160"/>
    </row>
    <row r="457" spans="2:5" ht="20.05" customHeight="1" x14ac:dyDescent="0.35">
      <c r="B457" s="291" t="s">
        <v>608</v>
      </c>
      <c r="C457" s="362" t="str">
        <f>CONCATENATE(sample_vvs_dr_dns1_ip,",",sample_vvs_dr_dns2_ip)</f>
        <v>10.21.10.4,10.21.10.5</v>
      </c>
      <c r="D457" s="337" t="str">
        <f>CONCATENATE(vvs_dr_dns1_ip,",",vvs_dr_dns2_ip)</f>
        <v>Value Missing,Value Missing</v>
      </c>
      <c r="E457" s="160"/>
    </row>
    <row r="458" spans="2:5" ht="20.05" customHeight="1" x14ac:dyDescent="0.35">
      <c r="B458" s="291" t="s">
        <v>611</v>
      </c>
      <c r="C458" s="362" t="str">
        <f>IF(flt_custom_network_chosen="Shared Management Network",IF(mgmt_dpg_reuse_result="Included",CONCATENATE(prefix_mgmt_az1_cidr,"20.1"),CONCATENATE(prefix_mgmt_az1_cidr,"21.1")),IF(flt_custom_network_chosen="NSX Overlay Segment",CONCATENATE(prefix_xreg_cidr,".1"),CONCATENATE(prefix_flt_shared_cidr,".1")))</f>
        <v>10.11.20.1</v>
      </c>
      <c r="D458" s="337"/>
      <c r="E458" s="160"/>
    </row>
    <row r="459" spans="2:5" ht="20.05" customHeight="1" x14ac:dyDescent="0.35">
      <c r="B459" s="291" t="s">
        <v>612</v>
      </c>
      <c r="C459" s="362" t="s">
        <v>128</v>
      </c>
      <c r="D459" s="337" t="str">
        <f>mgmt_srm_recovery_mask</f>
        <v>Value Missing</v>
      </c>
      <c r="E459" s="160"/>
    </row>
    <row r="460" spans="2:5" ht="20.05" customHeight="1" x14ac:dyDescent="0.35">
      <c r="B460" s="626" t="s">
        <v>2998</v>
      </c>
      <c r="C460" s="627"/>
      <c r="D460" s="627"/>
      <c r="E460" s="628"/>
    </row>
    <row r="461" spans="2:5" ht="20.05" customHeight="1" x14ac:dyDescent="0.35">
      <c r="B461" s="291" t="s">
        <v>38</v>
      </c>
      <c r="C461" s="87" t="str">
        <f>sample_vcf_automation_vip_fqdn</f>
        <v>flt-auto01.rainpole.io</v>
      </c>
      <c r="D461" s="161"/>
      <c r="E461" s="160"/>
    </row>
    <row r="462" spans="2:5" ht="20.05" customHeight="1" x14ac:dyDescent="0.35">
      <c r="B462" s="291" t="s">
        <v>3125</v>
      </c>
      <c r="C462" s="87" t="str">
        <f>sample_vcf_automation_cert_alias</f>
        <v>flt-auto01-cert</v>
      </c>
      <c r="D462" s="161"/>
      <c r="E462" s="160"/>
    </row>
    <row r="463" spans="2:5" ht="20.05" customHeight="1" x14ac:dyDescent="0.35">
      <c r="B463" s="291" t="s">
        <v>722</v>
      </c>
      <c r="C463" s="292" t="str">
        <f>sample_vcf_automation_root_password_alias</f>
        <v>flt-auto01-password</v>
      </c>
      <c r="D463" s="161"/>
      <c r="E463" s="160"/>
    </row>
    <row r="464" spans="2:5" ht="20.05" customHeight="1" x14ac:dyDescent="0.35">
      <c r="B464" s="291" t="s">
        <v>3126</v>
      </c>
      <c r="C464" s="87" t="str">
        <f>sample_vcf_automation_vip_fqdn</f>
        <v>flt-auto01.rainpole.io</v>
      </c>
      <c r="D464" s="161"/>
      <c r="E464" s="160"/>
    </row>
    <row r="465" spans="2:5" ht="20.05" customHeight="1" x14ac:dyDescent="0.35">
      <c r="B465" s="291" t="s">
        <v>625</v>
      </c>
      <c r="C465" s="87" t="s">
        <v>626</v>
      </c>
      <c r="D465" s="161"/>
      <c r="E465" s="160"/>
    </row>
    <row r="466" spans="2:5" ht="20.05" customHeight="1" x14ac:dyDescent="0.35">
      <c r="B466" s="291" t="s">
        <v>566</v>
      </c>
      <c r="C466" s="87" t="str">
        <f>CONCATENATE(prefix_portable_component,"-auto")</f>
        <v>flt-auto</v>
      </c>
      <c r="D466" s="161"/>
      <c r="E466" s="160"/>
    </row>
    <row r="467" spans="2:5" ht="20.05" customHeight="1" x14ac:dyDescent="0.35">
      <c r="B467" s="291" t="s">
        <v>628</v>
      </c>
      <c r="C467" s="362" t="str">
        <f>IF(flt_custom_network_chosen="Shared Management Network",IF(mgmt_dpg_reuse_result="Included",CONCATENATE(prefix_mgmt_az1_cidr,"20.25"),CONCATENATE(prefix_mgmt_az1_cidr,"20.25")),IF(flt_custom_network_chosen="NSX Overlay Segment",CONCATENATE(prefix_xreg_cidr,".25"),CONCATENATE(prefix_flt_shared_cidr,".25")))</f>
        <v>10.11.20.25</v>
      </c>
      <c r="D467" s="161"/>
      <c r="E467" s="160"/>
    </row>
    <row r="468" spans="2:5" ht="20.05" customHeight="1" x14ac:dyDescent="0.35">
      <c r="B468" s="291" t="s">
        <v>629</v>
      </c>
      <c r="C468" s="87" t="s">
        <v>630</v>
      </c>
      <c r="D468" s="161"/>
      <c r="E468" s="160"/>
    </row>
    <row r="469" spans="2:5" ht="20.05" customHeight="1" x14ac:dyDescent="0.35">
      <c r="B469" s="291" t="s">
        <v>3127</v>
      </c>
      <c r="C469" s="362" t="str">
        <f>CONCATENATE(IF(flt_custom_network_chosen="Shared Management Network",IF(mgmt_dpg_reuse_result="Included",CONCATENATE(prefix_mgmt_az1_cidr,"20.46"),CONCATENATE(prefix_mgmt_az1_cidr,"20.46")),IF(flt_custom_network_chosen="NSX Overlay Segment",CONCATENATE(prefix_xreg_cidr,".46"),CONCATENATE(prefix_flt_shared_cidr,".46"))),"-",IF(flt_custom_network_chosen="Shared Management Network",IF(mgmt_dpg_reuse_result="Included",CONCATENATE(prefix_mgmt_az1_cidr,"20.51"),CONCATENATE(prefix_mgmt_az1_cidr,"20.51")),IF(flt_custom_network_chosen="NSX Overlay Segment",CONCATENATE(prefix_xreg_cidr,".51"),CONCATENATE(prefix_flt_shared_cidr,".51"))))</f>
        <v>10.11.20.46-10.11.20.51</v>
      </c>
      <c r="D469" s="161"/>
      <c r="E469" s="160"/>
    </row>
    <row r="470" spans="2:5" ht="16" customHeight="1" x14ac:dyDescent="0.35">
      <c r="B470" s="293"/>
      <c r="C470" s="120"/>
      <c r="D470" s="35"/>
      <c r="E470" s="120"/>
    </row>
    <row r="471" spans="2:5" ht="34" customHeight="1" x14ac:dyDescent="0.35">
      <c r="B471" s="557" t="s">
        <v>2981</v>
      </c>
      <c r="C471" s="557"/>
      <c r="D471" s="557"/>
      <c r="E471" s="557"/>
    </row>
    <row r="472" spans="2:5" ht="16" customHeight="1" x14ac:dyDescent="0.35">
      <c r="B472" s="293"/>
      <c r="C472" s="120"/>
      <c r="D472" s="35"/>
      <c r="E472" s="120"/>
    </row>
    <row r="473" spans="2:5" ht="34" customHeight="1" x14ac:dyDescent="0.35">
      <c r="B473" s="557" t="s">
        <v>3134</v>
      </c>
      <c r="C473" s="557"/>
      <c r="D473" s="557"/>
      <c r="E473" s="557"/>
    </row>
    <row r="474" spans="2:5" ht="20.05" customHeight="1" x14ac:dyDescent="0.35">
      <c r="B474" s="561"/>
      <c r="C474" s="561"/>
      <c r="D474" s="561"/>
      <c r="E474" s="561"/>
    </row>
    <row r="475" spans="2:5" ht="20.05" customHeight="1" x14ac:dyDescent="0.35">
      <c r="B475" s="307" t="s">
        <v>17</v>
      </c>
      <c r="C475" s="308" t="s">
        <v>18</v>
      </c>
      <c r="D475" s="308" t="s">
        <v>19</v>
      </c>
      <c r="E475" s="308" t="s">
        <v>20</v>
      </c>
    </row>
    <row r="476" spans="2:5" ht="20.05" customHeight="1" x14ac:dyDescent="0.35">
      <c r="B476" s="361" t="s">
        <v>3016</v>
      </c>
      <c r="C476" s="362" t="str">
        <f>sample_vvs_dr_mgmt_vc_fqdn</f>
        <v>sfo-m01-vc01.sfo.rainpole.io</v>
      </c>
      <c r="D476" s="337" t="str">
        <f>vvs_dr_mgmt_vc_fqdn</f>
        <v>Value Missing</v>
      </c>
      <c r="E476" s="32"/>
    </row>
    <row r="477" spans="2:5" ht="20.05" customHeight="1" x14ac:dyDescent="0.35">
      <c r="B477" s="361" t="s">
        <v>2726</v>
      </c>
      <c r="C477" s="362" t="str">
        <f>sample_vvs_dr_sso_domain</f>
        <v>vsphere.local</v>
      </c>
      <c r="D477" s="337" t="str">
        <f>vvs_dr_sso_domain</f>
        <v>Value Missing</v>
      </c>
      <c r="E477" s="32"/>
    </row>
    <row r="478" spans="2:5" ht="20.05" customHeight="1" x14ac:dyDescent="0.35">
      <c r="B478" s="4" t="s">
        <v>3135</v>
      </c>
      <c r="C478" s="362" t="s">
        <v>3136</v>
      </c>
      <c r="D478" s="347"/>
      <c r="E478" s="4"/>
    </row>
    <row r="479" spans="2:5" ht="20.05" customHeight="1" x14ac:dyDescent="0.35">
      <c r="B479" s="4" t="s">
        <v>3137</v>
      </c>
      <c r="C479" s="362" t="s">
        <v>30</v>
      </c>
      <c r="D479" s="347"/>
      <c r="E479" s="4"/>
    </row>
    <row r="480" spans="2:5" ht="20.05" customHeight="1" x14ac:dyDescent="0.35">
      <c r="B480" s="4" t="s">
        <v>3138</v>
      </c>
      <c r="C480" s="362" t="s">
        <v>3139</v>
      </c>
      <c r="D480" s="347"/>
      <c r="E480" s="4"/>
    </row>
    <row r="481" spans="2:5" ht="20.05" customHeight="1" x14ac:dyDescent="0.35">
      <c r="B481" s="4" t="s">
        <v>3140</v>
      </c>
      <c r="C481" s="362" t="s">
        <v>30</v>
      </c>
      <c r="D481" s="347"/>
      <c r="E481" s="4"/>
    </row>
    <row r="482" spans="2:5" ht="16" customHeight="1" x14ac:dyDescent="0.35"/>
    <row r="483" spans="2:5" ht="34" customHeight="1" x14ac:dyDescent="0.35">
      <c r="B483" s="557" t="s">
        <v>3141</v>
      </c>
      <c r="C483" s="557"/>
      <c r="D483" s="557"/>
      <c r="E483" s="557"/>
    </row>
    <row r="484" spans="2:5" ht="20.05" customHeight="1" x14ac:dyDescent="0.35">
      <c r="B484" s="561"/>
      <c r="C484" s="561"/>
      <c r="D484" s="561"/>
      <c r="E484" s="561"/>
    </row>
    <row r="485" spans="2:5" ht="20.05" customHeight="1" x14ac:dyDescent="0.35">
      <c r="B485" s="307" t="s">
        <v>17</v>
      </c>
      <c r="C485" s="308" t="s">
        <v>18</v>
      </c>
      <c r="D485" s="308" t="s">
        <v>19</v>
      </c>
      <c r="E485" s="308" t="s">
        <v>20</v>
      </c>
    </row>
    <row r="486" spans="2:5" ht="20.05" customHeight="1" x14ac:dyDescent="0.35">
      <c r="B486" s="4" t="s">
        <v>3016</v>
      </c>
      <c r="C486" s="362" t="str">
        <f>sample_vvs_dr_mgmt_vc_fqdn</f>
        <v>sfo-m01-vc01.sfo.rainpole.io</v>
      </c>
      <c r="D486" s="337" t="str">
        <f>vvs_dr_mgmt_vc_fqdn</f>
        <v>Value Missing</v>
      </c>
      <c r="E486" s="4"/>
    </row>
    <row r="487" spans="2:5" ht="20.05" customHeight="1" x14ac:dyDescent="0.35">
      <c r="B487" s="4" t="s">
        <v>2726</v>
      </c>
      <c r="C487" s="362" t="str">
        <f>sample_vvs_dr_sso_domain</f>
        <v>vsphere.local</v>
      </c>
      <c r="D487" s="337" t="str">
        <f>vvs_dr_sso_domain</f>
        <v>Value Missing</v>
      </c>
      <c r="E487" s="4"/>
    </row>
    <row r="488" spans="2:5" ht="20.05" customHeight="1" x14ac:dyDescent="0.35">
      <c r="B488" s="4" t="s">
        <v>3142</v>
      </c>
      <c r="C488" s="362" t="str">
        <f>sample_xreg_vrops_vrms_sso_username</f>
        <v>svc-vcfops-vlsr</v>
      </c>
      <c r="D488" s="337" t="str">
        <f>xreg_vrops_vrms_sso_username</f>
        <v>Value Missing</v>
      </c>
      <c r="E488" s="4"/>
    </row>
    <row r="489" spans="2:5" ht="20.05" customHeight="1" x14ac:dyDescent="0.35">
      <c r="B489" s="4" t="s">
        <v>3143</v>
      </c>
      <c r="C489" s="362" t="s">
        <v>3144</v>
      </c>
      <c r="D489" s="337" t="str">
        <f>C489</f>
        <v>Read-Only</v>
      </c>
      <c r="E489" s="4"/>
    </row>
    <row r="490" spans="2:5" ht="20.05" customHeight="1" x14ac:dyDescent="0.35">
      <c r="B490" s="4" t="s">
        <v>3145</v>
      </c>
      <c r="C490" s="362" t="str">
        <f>sample_xreg_vrops_srm_sso_username</f>
        <v>svc-vcfops-vr</v>
      </c>
      <c r="D490" s="337" t="str">
        <f>xreg_vrops_srm_sso_username</f>
        <v>Value Missing</v>
      </c>
      <c r="E490" s="4"/>
    </row>
    <row r="491" spans="2:5" ht="20.05" customHeight="1" x14ac:dyDescent="0.35">
      <c r="B491" s="4" t="s">
        <v>3146</v>
      </c>
      <c r="C491" s="362" t="s">
        <v>3147</v>
      </c>
      <c r="D491" s="337" t="str">
        <f>C491</f>
        <v>VRM replication viewer</v>
      </c>
      <c r="E491" s="4"/>
    </row>
    <row r="492" spans="2:5" ht="16" customHeight="1" x14ac:dyDescent="0.35"/>
    <row r="493" spans="2:5" ht="34" customHeight="1" x14ac:dyDescent="0.35">
      <c r="B493" s="557" t="s">
        <v>3148</v>
      </c>
      <c r="C493" s="557"/>
      <c r="D493" s="557"/>
      <c r="E493" s="557"/>
    </row>
    <row r="494" spans="2:5" ht="20.05" customHeight="1" x14ac:dyDescent="0.35">
      <c r="B494" s="561"/>
      <c r="C494" s="561"/>
      <c r="D494" s="561"/>
      <c r="E494" s="561"/>
    </row>
    <row r="495" spans="2:5" ht="20.05" customHeight="1" x14ac:dyDescent="0.35">
      <c r="B495" s="307" t="s">
        <v>17</v>
      </c>
      <c r="C495" s="308" t="s">
        <v>18</v>
      </c>
      <c r="D495" s="308" t="s">
        <v>19</v>
      </c>
      <c r="E495" s="308" t="s">
        <v>20</v>
      </c>
    </row>
    <row r="496" spans="2:5" ht="20.05" customHeight="1" x14ac:dyDescent="0.35">
      <c r="B496" s="4" t="s">
        <v>3149</v>
      </c>
      <c r="C496" s="362" t="str">
        <f>sample_vvs_dr_flt_ops_nodea_fqdn</f>
        <v>flt-ops01a.rainpole.io</v>
      </c>
      <c r="D496" s="161" t="str">
        <f>vvs_dr_flt_ops_nodea_fqdn</f>
        <v>Value Missing</v>
      </c>
      <c r="E496" s="32"/>
    </row>
    <row r="497" spans="2:5" ht="20.05" customHeight="1" x14ac:dyDescent="0.35">
      <c r="B497" s="4" t="s">
        <v>3150</v>
      </c>
      <c r="C497" s="362" t="s">
        <v>3151</v>
      </c>
      <c r="D497" s="347"/>
      <c r="E497" s="32"/>
    </row>
    <row r="498" spans="2:5" ht="16" customHeight="1" x14ac:dyDescent="0.35"/>
    <row r="499" spans="2:5" ht="34" customHeight="1" x14ac:dyDescent="0.35">
      <c r="B499" s="557" t="s">
        <v>3152</v>
      </c>
      <c r="C499" s="557"/>
      <c r="D499" s="557"/>
      <c r="E499" s="557"/>
    </row>
    <row r="500" spans="2:5" ht="20.05" customHeight="1" x14ac:dyDescent="0.35">
      <c r="B500" s="561"/>
      <c r="C500" s="561"/>
      <c r="D500" s="561"/>
      <c r="E500" s="561"/>
    </row>
    <row r="501" spans="2:5" ht="20.05" customHeight="1" x14ac:dyDescent="0.35">
      <c r="B501" s="307" t="s">
        <v>17</v>
      </c>
      <c r="C501" s="308" t="s">
        <v>18</v>
      </c>
      <c r="D501" s="308" t="s">
        <v>19</v>
      </c>
      <c r="E501" s="308" t="s">
        <v>20</v>
      </c>
    </row>
    <row r="502" spans="2:5" ht="20.05" customHeight="1" x14ac:dyDescent="0.35">
      <c r="B502" s="361" t="s">
        <v>2997</v>
      </c>
      <c r="C502" s="362" t="str">
        <f>sample_vvs_dr_flt_ops_nodea_fqdn</f>
        <v>flt-ops01a.rainpole.io</v>
      </c>
      <c r="D502" s="161" t="str">
        <f>vvs_dr_flt_ops_nodea_fqdn</f>
        <v>Value Missing</v>
      </c>
      <c r="E502" s="32"/>
    </row>
    <row r="503" spans="2:5" ht="20.05" customHeight="1" x14ac:dyDescent="0.35">
      <c r="B503" s="361" t="s">
        <v>3153</v>
      </c>
      <c r="C503" s="362" t="str">
        <f>CONCATENATE(this_instance,"-m01-vslr")</f>
        <v>sfo-m01-vslr</v>
      </c>
      <c r="D503" s="347"/>
      <c r="E503" s="32"/>
    </row>
    <row r="504" spans="2:5" ht="20.05" customHeight="1" x14ac:dyDescent="0.35">
      <c r="B504" s="361" t="s">
        <v>3154</v>
      </c>
      <c r="C504" s="362" t="str">
        <f>sample_vvs_mgmt_dr_vlr_fqdn</f>
        <v>sfo-m01-vlr01.sfo.rainpole.io</v>
      </c>
      <c r="D504" s="337" t="str">
        <f>vvs_mgmt_dr_vlr_fqdn</f>
        <v>Value Missing</v>
      </c>
      <c r="E504" s="32"/>
    </row>
    <row r="505" spans="2:5" ht="20.05" customHeight="1" x14ac:dyDescent="0.35">
      <c r="B505" s="361" t="s">
        <v>3155</v>
      </c>
      <c r="C505" s="362">
        <v>443</v>
      </c>
      <c r="D505" s="347"/>
      <c r="E505" s="32"/>
    </row>
    <row r="506" spans="2:5" ht="20.05" customHeight="1" x14ac:dyDescent="0.35">
      <c r="B506" s="361" t="s">
        <v>3156</v>
      </c>
      <c r="C506" s="362" t="str">
        <f>sample_xreg_vrops_srm_sso_username</f>
        <v>svc-vcfops-vr</v>
      </c>
      <c r="D506" s="337" t="str">
        <f>xreg_vrops_srm_sso_username</f>
        <v>Value Missing</v>
      </c>
      <c r="E506" s="32"/>
    </row>
    <row r="507" spans="2:5" ht="20.05" customHeight="1" x14ac:dyDescent="0.35">
      <c r="B507" s="361" t="s">
        <v>3157</v>
      </c>
      <c r="C507" s="362" t="str">
        <f>CONCATENATE(sample_xreg_vrops_srm_sso_username,"@vsphere.local")</f>
        <v>svc-vcfops-vr@vsphere.local</v>
      </c>
      <c r="D507" s="337" t="str">
        <f>CONCATENATE(xreg_vrops_srm_sso_username,"@",vvs_dr_sso_domain)</f>
        <v>Value Missing@Value Missing</v>
      </c>
      <c r="E507" s="32"/>
    </row>
    <row r="508" spans="2:5" ht="20.05" customHeight="1" x14ac:dyDescent="0.35">
      <c r="B508" s="361" t="s">
        <v>3158</v>
      </c>
      <c r="C508" s="362" t="str">
        <f>sample_xreg_vrops_srm_sso_password</f>
        <v>VMw@re1!</v>
      </c>
      <c r="D508" s="337" t="str">
        <f>xreg_vrops_srm_sso_password</f>
        <v>Value Missing</v>
      </c>
      <c r="E508" s="32"/>
    </row>
    <row r="509" spans="2:5" ht="20.05" customHeight="1" x14ac:dyDescent="0.35">
      <c r="B509" s="361" t="s">
        <v>3159</v>
      </c>
      <c r="C509" s="362" t="str">
        <f>CONCATENATE(sample_mgmt_sddc_domain,"-collector-group")</f>
        <v>sfo-m01-collector-group</v>
      </c>
      <c r="D509" s="337" t="str">
        <f>CONCATENATE(mgmt_sddc_domain,"-collector-group")</f>
        <v>Value Missing-collector-group</v>
      </c>
      <c r="E509" s="32"/>
    </row>
    <row r="510" spans="2:5" ht="16" customHeight="1" x14ac:dyDescent="0.35"/>
    <row r="511" spans="2:5" ht="34" customHeight="1" x14ac:dyDescent="0.35">
      <c r="B511" s="557" t="s">
        <v>3160</v>
      </c>
      <c r="C511" s="557"/>
      <c r="D511" s="557"/>
      <c r="E511" s="557"/>
    </row>
    <row r="512" spans="2:5" ht="20.05" customHeight="1" x14ac:dyDescent="0.35">
      <c r="B512" s="561"/>
      <c r="C512" s="561"/>
      <c r="D512" s="561"/>
      <c r="E512" s="561"/>
    </row>
    <row r="513" spans="2:5" ht="20.05" customHeight="1" x14ac:dyDescent="0.35">
      <c r="B513" s="307" t="s">
        <v>17</v>
      </c>
      <c r="C513" s="308" t="s">
        <v>18</v>
      </c>
      <c r="D513" s="308" t="s">
        <v>19</v>
      </c>
      <c r="E513" s="308" t="s">
        <v>20</v>
      </c>
    </row>
    <row r="514" spans="2:5" ht="20.05" customHeight="1" x14ac:dyDescent="0.35">
      <c r="B514" s="361" t="s">
        <v>2997</v>
      </c>
      <c r="C514" s="362" t="str">
        <f>sample_vvs_dr_flt_ops_nodea_fqdn</f>
        <v>flt-ops01a.rainpole.io</v>
      </c>
      <c r="D514" s="161" t="str">
        <f>vvs_dr_flt_ops_nodea_fqdn</f>
        <v>Value Missing</v>
      </c>
      <c r="E514" s="32"/>
    </row>
    <row r="515" spans="2:5" ht="20.05" customHeight="1" x14ac:dyDescent="0.35">
      <c r="B515" s="361" t="s">
        <v>3153</v>
      </c>
      <c r="C515" s="362" t="str">
        <f>CONCATENATE(this_instance,"-m01-vr")</f>
        <v>sfo-m01-vr</v>
      </c>
      <c r="D515" s="347"/>
      <c r="E515" s="32"/>
    </row>
    <row r="516" spans="2:5" ht="20.05" customHeight="1" x14ac:dyDescent="0.35">
      <c r="B516" s="213" t="s">
        <v>3161</v>
      </c>
      <c r="C516" s="362" t="str">
        <f>sample_vvs_dr_mgmt_vc_fqdn</f>
        <v>sfo-m01-vc01.sfo.rainpole.io</v>
      </c>
      <c r="D516" s="337" t="str">
        <f>vvs_dr_mgmt_vc_fqdn</f>
        <v>Value Missing</v>
      </c>
      <c r="E516" s="32"/>
    </row>
    <row r="517" spans="2:5" ht="20.05" customHeight="1" x14ac:dyDescent="0.35">
      <c r="B517" s="361" t="s">
        <v>3156</v>
      </c>
      <c r="C517" s="362" t="str">
        <f>CONCATENATE(sample_xreg_vrops_vrms_sso_username,"@vsphere.local")</f>
        <v>svc-vcfops-vlsr@vsphere.local</v>
      </c>
      <c r="D517" s="337" t="str">
        <f>CONCATENATE(xreg_vrops_vrms_sso_username,"@",vvs_dr_sso_domain)</f>
        <v>Value Missing@Value Missing</v>
      </c>
      <c r="E517" s="32"/>
    </row>
    <row r="518" spans="2:5" ht="20.05" customHeight="1" x14ac:dyDescent="0.35">
      <c r="B518" s="361" t="s">
        <v>3162</v>
      </c>
      <c r="C518" s="362" t="str">
        <f>CONCATENATE(sample_xreg_vrops_vrms_sso_username,"@vsphere.local")</f>
        <v>svc-vcfops-vlsr@vsphere.local</v>
      </c>
      <c r="D518" s="337" t="str">
        <f>CONCATENATE(xreg_vrops_vrms_sso_username,"@",vvs_dr_sso_domain)</f>
        <v>Value Missing@Value Missing</v>
      </c>
      <c r="E518" s="32"/>
    </row>
    <row r="519" spans="2:5" ht="20.05" customHeight="1" x14ac:dyDescent="0.35">
      <c r="B519" s="361" t="s">
        <v>3158</v>
      </c>
      <c r="C519" s="362" t="str">
        <f>sample_xreg_vrops_vrms_sso_password</f>
        <v>VMw@re1!</v>
      </c>
      <c r="D519" s="337" t="str">
        <f>xreg_vrops_vrms_sso_password</f>
        <v>Value Missing</v>
      </c>
      <c r="E519" s="32"/>
    </row>
    <row r="520" spans="2:5" ht="20.05" customHeight="1" x14ac:dyDescent="0.35">
      <c r="B520" s="361" t="s">
        <v>3159</v>
      </c>
      <c r="C520" s="362" t="str">
        <f>CONCATENATE(sample_mgmt_sddc_domain,"-collector-group")</f>
        <v>sfo-m01-collector-group</v>
      </c>
      <c r="D520" s="337" t="str">
        <f>CONCATENATE(mgmt_sddc_domain,"-collector-group")</f>
        <v>Value Missing-collector-group</v>
      </c>
      <c r="E520" s="32"/>
    </row>
    <row r="521" spans="2:5" ht="16" customHeight="1" x14ac:dyDescent="0.35"/>
    <row r="522" spans="2:5" ht="34" customHeight="1" x14ac:dyDescent="0.35">
      <c r="B522" s="557" t="s">
        <v>3163</v>
      </c>
      <c r="C522" s="557"/>
      <c r="D522" s="557"/>
      <c r="E522" s="557"/>
    </row>
    <row r="523" spans="2:5" ht="20.05" customHeight="1" x14ac:dyDescent="0.35">
      <c r="B523" s="561"/>
      <c r="C523" s="561"/>
      <c r="D523" s="561"/>
      <c r="E523" s="561"/>
    </row>
    <row r="524" spans="2:5" ht="20.05" customHeight="1" x14ac:dyDescent="0.35">
      <c r="B524" s="307" t="s">
        <v>17</v>
      </c>
      <c r="C524" s="308" t="s">
        <v>18</v>
      </c>
      <c r="D524" s="308" t="s">
        <v>19</v>
      </c>
      <c r="E524" s="308" t="s">
        <v>20</v>
      </c>
    </row>
    <row r="525" spans="2:5" ht="20.05" customHeight="1" x14ac:dyDescent="0.35">
      <c r="B525" s="4" t="s">
        <v>3149</v>
      </c>
      <c r="C525" s="362" t="str">
        <f>sample_vvs_dr_flt_ops_nodea_fqdn</f>
        <v>flt-ops01a.rainpole.io</v>
      </c>
      <c r="D525" s="337" t="str">
        <f>vvs_dr_flt_ops_nodea_fqdn</f>
        <v>Value Missing</v>
      </c>
      <c r="E525" s="32"/>
    </row>
    <row r="526" spans="2:5" ht="16" customHeight="1" x14ac:dyDescent="0.35">
      <c r="B526" s="2" t="s">
        <v>1027</v>
      </c>
    </row>
    <row r="527" spans="2:5" ht="34" customHeight="1" x14ac:dyDescent="0.35">
      <c r="B527" s="509" t="s">
        <v>3164</v>
      </c>
      <c r="C527" s="510"/>
      <c r="D527" s="510"/>
      <c r="E527" s="511"/>
    </row>
    <row r="528" spans="2:5" ht="20.05" customHeight="1" x14ac:dyDescent="0.35">
      <c r="B528" s="561"/>
      <c r="C528" s="561"/>
      <c r="D528" s="561"/>
      <c r="E528" s="561"/>
    </row>
    <row r="529" spans="2:5" ht="20.05" customHeight="1" x14ac:dyDescent="0.35">
      <c r="B529" s="307" t="s">
        <v>17</v>
      </c>
      <c r="C529" s="308" t="s">
        <v>18</v>
      </c>
      <c r="D529" s="308" t="s">
        <v>19</v>
      </c>
      <c r="E529" s="308" t="s">
        <v>20</v>
      </c>
    </row>
    <row r="530" spans="2:5" ht="20.05" customHeight="1" x14ac:dyDescent="0.35">
      <c r="B530" s="4" t="s">
        <v>3023</v>
      </c>
      <c r="C530" s="362" t="str">
        <f>sample_vvs_mgmt_dr_vlr_fqdn</f>
        <v>sfo-m01-vlr01.sfo.rainpole.io</v>
      </c>
      <c r="D530" s="337" t="str">
        <f>vvs_mgmt_dr_vlr_fqdn</f>
        <v>Value Missing</v>
      </c>
      <c r="E530" s="32"/>
    </row>
    <row r="531" spans="2:5" ht="20.05" customHeight="1" x14ac:dyDescent="0.35">
      <c r="B531" s="4" t="s">
        <v>3165</v>
      </c>
      <c r="C531" s="362" t="str">
        <f>sample_xreg_vrops_virtual_fqdn</f>
        <v>flt-ops01.rainpole.io</v>
      </c>
      <c r="D531" s="347"/>
      <c r="E531" s="32"/>
    </row>
    <row r="532" spans="2:5" ht="20.05" customHeight="1" x14ac:dyDescent="0.35">
      <c r="B532" s="4" t="s">
        <v>3166</v>
      </c>
      <c r="C532" s="362" t="s">
        <v>3167</v>
      </c>
      <c r="D532" s="347"/>
      <c r="E532" s="32"/>
    </row>
    <row r="533" spans="2:5" ht="20.05" customHeight="1" x14ac:dyDescent="0.35">
      <c r="B533" s="4" t="s">
        <v>3168</v>
      </c>
      <c r="C533" s="362" t="s">
        <v>3169</v>
      </c>
      <c r="D533" s="347"/>
      <c r="E533" s="32"/>
    </row>
    <row r="534" spans="2:5" ht="16" customHeight="1" x14ac:dyDescent="0.35"/>
    <row r="535" spans="2:5" ht="20.05" customHeight="1" x14ac:dyDescent="0.35"/>
    <row r="536" spans="2:5" ht="20.05" customHeight="1" x14ac:dyDescent="0.35"/>
    <row r="537" spans="2:5" ht="20.05" customHeight="1" x14ac:dyDescent="0.35"/>
    <row r="538" spans="2:5" ht="20.05" customHeight="1" x14ac:dyDescent="0.35"/>
    <row r="539" spans="2:5" ht="20.05" customHeight="1" x14ac:dyDescent="0.35"/>
    <row r="540" spans="2:5" ht="20.05" customHeight="1" x14ac:dyDescent="0.35"/>
    <row r="541" spans="2:5" ht="20.05" customHeight="1" x14ac:dyDescent="0.35"/>
    <row r="542" spans="2:5" ht="20.05" customHeight="1" x14ac:dyDescent="0.35"/>
    <row r="544" spans="2:5" ht="34" customHeight="1" x14ac:dyDescent="0.35"/>
    <row r="545" ht="20.05" customHeight="1" x14ac:dyDescent="0.35"/>
    <row r="546" ht="20.05" customHeight="1" x14ac:dyDescent="0.35"/>
    <row r="547" ht="20.05" customHeight="1" x14ac:dyDescent="0.35"/>
    <row r="548" ht="20.05" customHeight="1" x14ac:dyDescent="0.35"/>
    <row r="549" ht="20.05" customHeight="1" x14ac:dyDescent="0.35"/>
    <row r="550" ht="20.05" customHeight="1" x14ac:dyDescent="0.35"/>
    <row r="551" ht="20.05" customHeight="1" x14ac:dyDescent="0.35"/>
  </sheetData>
  <sheetProtection algorithmName="SHA-512" hashValue="t4+C/CYPUD7CyyXCFQoFlKBR5mxRF3K75WaYwMJB9yrFk/49JrghzJwJyj0vLJQ7bw9mSC6jzi9r7PC7T37Dcg==" saltValue="LVOMa7k9Qdo4vmENvGWvTA==" spinCount="100000" sheet="1" selectLockedCells="1"/>
  <mergeCells count="107">
    <mergeCell ref="B11:E11"/>
    <mergeCell ref="B26:E26"/>
    <mergeCell ref="B43:E43"/>
    <mergeCell ref="B19:E19"/>
    <mergeCell ref="B116:E116"/>
    <mergeCell ref="B16:E16"/>
    <mergeCell ref="B25:E25"/>
    <mergeCell ref="B14:E14"/>
    <mergeCell ref="B29:E29"/>
    <mergeCell ref="B31:E31"/>
    <mergeCell ref="B79:E79"/>
    <mergeCell ref="B87:E87"/>
    <mergeCell ref="B56:E56"/>
    <mergeCell ref="B49:E49"/>
    <mergeCell ref="B57:E57"/>
    <mergeCell ref="B65:E65"/>
    <mergeCell ref="B73:E73"/>
    <mergeCell ref="B80:E80"/>
    <mergeCell ref="B88:E88"/>
    <mergeCell ref="B97:E97"/>
    <mergeCell ref="B129:E129"/>
    <mergeCell ref="B192:E192"/>
    <mergeCell ref="B144:E144"/>
    <mergeCell ref="B117:E117"/>
    <mergeCell ref="B130:E130"/>
    <mergeCell ref="B2:E2"/>
    <mergeCell ref="B343:E343"/>
    <mergeCell ref="B42:E42"/>
    <mergeCell ref="B64:E64"/>
    <mergeCell ref="B94:E94"/>
    <mergeCell ref="B96:E96"/>
    <mergeCell ref="B175:E175"/>
    <mergeCell ref="B320:E320"/>
    <mergeCell ref="B72:E72"/>
    <mergeCell ref="B10:E10"/>
    <mergeCell ref="B161:E161"/>
    <mergeCell ref="B48:E48"/>
    <mergeCell ref="B338:E338"/>
    <mergeCell ref="B3:E3"/>
    <mergeCell ref="B8:E8"/>
    <mergeCell ref="B259:E259"/>
    <mergeCell ref="B222:E222"/>
    <mergeCell ref="B137:E137"/>
    <mergeCell ref="B145:E145"/>
    <mergeCell ref="B157:E157"/>
    <mergeCell ref="B166:E166"/>
    <mergeCell ref="B138:E138"/>
    <mergeCell ref="B528:E528"/>
    <mergeCell ref="B527:E527"/>
    <mergeCell ref="B421:E421"/>
    <mergeCell ref="B446:E446"/>
    <mergeCell ref="B474:E474"/>
    <mergeCell ref="B484:E484"/>
    <mergeCell ref="B494:E494"/>
    <mergeCell ref="B424:E424"/>
    <mergeCell ref="B429:E429"/>
    <mergeCell ref="B435:E435"/>
    <mergeCell ref="B523:E523"/>
    <mergeCell ref="B483:E483"/>
    <mergeCell ref="B473:E473"/>
    <mergeCell ref="B511:E511"/>
    <mergeCell ref="B522:E522"/>
    <mergeCell ref="B493:E493"/>
    <mergeCell ref="B445:E445"/>
    <mergeCell ref="B231:E231"/>
    <mergeCell ref="B243:E243"/>
    <mergeCell ref="B499:E499"/>
    <mergeCell ref="B500:E500"/>
    <mergeCell ref="B512:E512"/>
    <mergeCell ref="B471:E471"/>
    <mergeCell ref="B449:E449"/>
    <mergeCell ref="B454:E454"/>
    <mergeCell ref="B460:E460"/>
    <mergeCell ref="B165:E165"/>
    <mergeCell ref="B311:E311"/>
    <mergeCell ref="B321:E321"/>
    <mergeCell ref="B232:E232"/>
    <mergeCell ref="B270:E270"/>
    <mergeCell ref="B260:E260"/>
    <mergeCell ref="B271:E271"/>
    <mergeCell ref="B244:E244"/>
    <mergeCell ref="B296:E296"/>
    <mergeCell ref="B212:E212"/>
    <mergeCell ref="B213:E213"/>
    <mergeCell ref="B403:E403"/>
    <mergeCell ref="B409:E409"/>
    <mergeCell ref="B370:E370"/>
    <mergeCell ref="B354:E354"/>
    <mergeCell ref="B286:E286"/>
    <mergeCell ref="B223:E223"/>
    <mergeCell ref="B156:E156"/>
    <mergeCell ref="B359:E359"/>
    <mergeCell ref="B349:E349"/>
    <mergeCell ref="B339:E339"/>
    <mergeCell ref="B285:E285"/>
    <mergeCell ref="B295:E295"/>
    <mergeCell ref="B310:E310"/>
    <mergeCell ref="B420:E420"/>
    <mergeCell ref="B367:E367"/>
    <mergeCell ref="B369:E369"/>
    <mergeCell ref="B373:E373"/>
    <mergeCell ref="B378:E378"/>
    <mergeCell ref="B384:E384"/>
    <mergeCell ref="B394:E394"/>
    <mergeCell ref="B395:E395"/>
    <mergeCell ref="B398:E398"/>
    <mergeCell ref="B210:E210"/>
  </mergeCells>
  <conditionalFormatting sqref="C385:C386">
    <cfRule type="expression" dxfId="369" priority="22">
      <formula>OR((private_cloud_result="Excluded"),(private_cloud_chosen="Connect Instance"))</formula>
    </cfRule>
  </conditionalFormatting>
  <conditionalFormatting sqref="C388:C390">
    <cfRule type="expression" dxfId="368" priority="20">
      <formula>OR((private_cloud_result="Excluded"),(private_cloud_chosen="Connect Instance"))</formula>
    </cfRule>
  </conditionalFormatting>
  <conditionalFormatting sqref="C410:C411">
    <cfRule type="expression" dxfId="367" priority="25">
      <formula>OR((private_cloud_result="Excluded"),(private_cloud_chosen="Connect Instance"))</formula>
    </cfRule>
  </conditionalFormatting>
  <conditionalFormatting sqref="C413:C415">
    <cfRule type="expression" dxfId="366" priority="23">
      <formula>OR((private_cloud_result="Excluded"),(private_cloud_chosen="Connect Instance"))</formula>
    </cfRule>
  </conditionalFormatting>
  <conditionalFormatting sqref="C417">
    <cfRule type="expression" dxfId="365" priority="24">
      <formula>OR((private_cloud_result="Excluded"),(private_cloud_chosen="Connect Instance"))</formula>
    </cfRule>
  </conditionalFormatting>
  <conditionalFormatting sqref="C436:C437">
    <cfRule type="expression" dxfId="364" priority="19">
      <formula>OR((private_cloud_result="Excluded"),(private_cloud_chosen="Connect Instance"))</formula>
    </cfRule>
  </conditionalFormatting>
  <conditionalFormatting sqref="C439:C441">
    <cfRule type="expression" dxfId="363" priority="17">
      <formula>OR((private_cloud_result="Excluded"),(private_cloud_chosen="Connect Instance"))</formula>
    </cfRule>
  </conditionalFormatting>
  <conditionalFormatting sqref="C461:C462">
    <cfRule type="expression" dxfId="362" priority="16">
      <formula>OR((private_cloud_result="Excluded"),(private_cloud_chosen="Connect Instance"))</formula>
    </cfRule>
  </conditionalFormatting>
  <conditionalFormatting sqref="C464:C466">
    <cfRule type="expression" dxfId="361" priority="14">
      <formula>OR((private_cloud_result="Excluded"),(private_cloud_chosen="Connect Instance"))</formula>
    </cfRule>
  </conditionalFormatting>
  <conditionalFormatting sqref="C468">
    <cfRule type="expression" dxfId="360" priority="15">
      <formula>OR((private_cloud_result="Excluded"),(private_cloud_chosen="Connect Instance"))</formula>
    </cfRule>
  </conditionalFormatting>
  <conditionalFormatting sqref="D13 D15 D17 D21:D23 D28 D30 D32:D40 D45:D46 D51:D54 D59:D62 D67:D70 D75:D77 D82:D85 D90:D92 D215:D220 D225:D229 D234:D241 D246:D257 D262:D268 D273:D283 D288:D293 D298:D308 D313:D318">
    <cfRule type="expression" dxfId="359" priority="4">
      <formula>mgmt_domain_chosen="Additional Instance"</formula>
    </cfRule>
  </conditionalFormatting>
  <conditionalFormatting sqref="D13 D17 D21:D23 D30 D32:D40 D45:D46 D51:D54 D59:D62 D67:D70 D75:D77 D82:D85 D90:D92 D99:D114 D119:D127 D132:D135 D140:D142 D147:D154 D159:D160 D162:D163 D168:D174 D176:D191 D193:D208 D215:D220 D225:D229 D234:D241 D246:D257 D262:D268 D273:D283 D288:D293 D298:D308 D313:D318 D323:D336 D341:D342 D344:D348 D350:D353 D355:D358 D360:D365 D372 D374:D377 D379:D383 D385:D392 D397 D399:D402 D404:D408 D410:D418 D423 D425:D428 D430:D434 D436:D443 D448 D450:D453 D455:D459 D461:D469 D476:D481 D486:D491 D496:D497 D502:D509 D514:D520 D525 D530:D533">
    <cfRule type="containsBlanks" dxfId="358" priority="13">
      <formula>LEN(TRIM(D13))=0</formula>
    </cfRule>
    <cfRule type="notContainsBlanks" dxfId="357" priority="26">
      <formula>LEN(TRIM(D13))&gt;0</formula>
    </cfRule>
  </conditionalFormatting>
  <conditionalFormatting sqref="D15">
    <cfRule type="containsBlanks" dxfId="354" priority="6">
      <formula>LEN(TRIM(D15))=0</formula>
    </cfRule>
    <cfRule type="notContainsBlanks" dxfId="353" priority="7">
      <formula>LEN(TRIM(D15))&gt;0</formula>
    </cfRule>
  </conditionalFormatting>
  <conditionalFormatting sqref="D28">
    <cfRule type="containsBlanks" dxfId="351" priority="9">
      <formula>LEN(TRIM(D28))=0</formula>
    </cfRule>
    <cfRule type="notContainsBlanks" dxfId="350" priority="10">
      <formula>LEN(TRIM(D28))&gt;0</formula>
    </cfRule>
  </conditionalFormatting>
  <conditionalFormatting sqref="D360:D365 D372 D374:D377 D379:D383 D385:D392 D397 D399:D402 D404:D408 D410:D418 D423 D425:D428 D430:D434 D436:D443 D448 D450:D453 D455:D459 D461:D469">
    <cfRule type="expression" dxfId="349" priority="3">
      <formula>mgmt_domain_chosen="First Instance"</formula>
    </cfRule>
  </conditionalFormatting>
  <conditionalFormatting sqref="D496:D497">
    <cfRule type="expression" dxfId="348" priority="2">
      <formula>mgmt_domain_chosen="Additional Instance"</formula>
    </cfRule>
  </conditionalFormatting>
  <conditionalFormatting sqref="D525">
    <cfRule type="expression" dxfId="347" priority="1">
      <formula>mgmt_domain_chosen="Additional Instance"</formula>
    </cfRule>
  </conditionalFormatting>
  <hyperlinks>
    <hyperlink ref="B5" location="'Site Protection &amp; DR'!navigation_site_protection_mgmt" display="Management Domain" xr:uid="{00000000-0004-0000-1000-000000000000}"/>
    <hyperlink ref="C5" location="'Site Protection &amp; DR'!navigation_site_protection_solution_interop" display="Solution Interoperability" xr:uid="{00000000-0004-0000-1000-000001000000}"/>
  </hyperlinks>
  <pageMargins left="0.7" right="0.7" top="0.75" bottom="0.75" header="0.3" footer="0.3"/>
  <pageSetup paperSize="9" orientation="portrait" horizontalDpi="0" verticalDpi="0"/>
  <ignoredErrors>
    <ignoredError sqref="C101 D490"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11" operator="containsText" id="{9184D86B-7AB1-FA48-93EA-7C71272529AA}">
            <xm:f>NOT(ISERROR(SEARCH("Value Missing",D13)))</xm:f>
            <xm:f>"Value Missing"</xm:f>
            <x14:dxf>
              <font>
                <color rgb="FF0E223A"/>
              </font>
              <fill>
                <patternFill>
                  <bgColor rgb="FFFFBE29"/>
                </patternFill>
              </fill>
            </x14:dxf>
          </x14:cfRule>
          <xm:sqref>D13 D17 D21:D23 D30 D32:D40 D45:D46 D51:D54 D59:D62 D67:D70 D75:D77 D82:D85 D90:D92 D215:D220 D225:D229 D234:D241 D246:D257 D262:D268 D273:D283 D288:D293 D298:D308 D313:D318 D360:D365 D372 D374:D377 D379:D383 D385:D392 D397 D399:D402 D404:D408 D410:D418 D423 D425:D428 D430:D434 D436:D443 D448 D450:D453 D455:D459 D461:D469 D496:D497 D525 D99:D114 D119:D127 D132:D135 D140:D142 D147:D154 D159:D160 D162:D163 D168:D174 D176:D191 D193:D208 D323:D336 D341:D342 D344:D348 D350:D353 D355:D358 D476:D481 D486:D491 D502:D509 D514:D520 D530:D533</xm:sqref>
        </x14:conditionalFormatting>
        <x14:conditionalFormatting xmlns:xm="http://schemas.microsoft.com/office/excel/2006/main">
          <x14:cfRule type="containsText" priority="5" operator="containsText" id="{6AD106E7-7849-0949-B570-A35B5406CF2E}">
            <xm:f>NOT(ISERROR(SEARCH("Value Missing",D15)))</xm:f>
            <xm:f>"Value Missing"</xm:f>
            <x14:dxf>
              <font>
                <color rgb="FF0E223A"/>
              </font>
              <fill>
                <patternFill>
                  <bgColor rgb="FFFFBE29"/>
                </patternFill>
              </fill>
            </x14:dxf>
          </x14:cfRule>
          <xm:sqref>D15</xm:sqref>
        </x14:conditionalFormatting>
        <x14:conditionalFormatting xmlns:xm="http://schemas.microsoft.com/office/excel/2006/main">
          <x14:cfRule type="containsText" priority="8" operator="containsText" id="{D371AC72-8B9B-0F47-9C1A-29E4DA905834}">
            <xm:f>NOT(ISERROR(SEARCH("Value Missing",D28)))</xm:f>
            <xm:f>"Value Missing"</xm:f>
            <x14:dxf>
              <font>
                <color rgb="FF0E223A"/>
              </font>
              <fill>
                <patternFill>
                  <bgColor rgb="FFFFBE29"/>
                </patternFill>
              </fill>
            </x14:dxf>
          </x14:cfRule>
          <xm:sqref>D28</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8FD00-3C9F-574F-88B6-F4986C3BECA6}">
  <sheetPr codeName="Sheet19">
    <tabColor theme="8" tint="0.39997558519241921"/>
  </sheetPr>
  <dimension ref="A1:E250"/>
  <sheetViews>
    <sheetView showGridLines="0" workbookViewId="0">
      <pane ySplit="4" topLeftCell="A5" activePane="bottomLeft" state="frozen"/>
      <selection pane="bottomLeft"/>
    </sheetView>
  </sheetViews>
  <sheetFormatPr defaultColWidth="10.85546875" defaultRowHeight="15" x14ac:dyDescent="0.35"/>
  <cols>
    <col min="1" max="1" width="2.85546875" style="8" customWidth="1"/>
    <col min="2" max="2" width="75.85546875" style="8" customWidth="1"/>
    <col min="3" max="4" width="75.85546875" style="2" customWidth="1"/>
    <col min="5" max="5" width="100.85546875" style="2" customWidth="1"/>
    <col min="6" max="12" width="10.85546875" style="8" customWidth="1"/>
    <col min="13" max="16384" width="10.85546875" style="8"/>
  </cols>
  <sheetData>
    <row r="1" spans="1:5" x14ac:dyDescent="0.35">
      <c r="A1" s="118"/>
    </row>
    <row r="2" spans="1:5" ht="54" customHeight="1" x14ac:dyDescent="0.35">
      <c r="A2" s="121"/>
      <c r="B2" s="525" t="s">
        <v>3170</v>
      </c>
      <c r="C2" s="525"/>
      <c r="D2" s="525"/>
      <c r="E2" s="525"/>
    </row>
    <row r="3" spans="1:5" s="19" customFormat="1" ht="20.05" customHeight="1" x14ac:dyDescent="0.35">
      <c r="A3" s="42"/>
      <c r="B3" s="526" t="s">
        <v>1</v>
      </c>
      <c r="C3" s="526"/>
      <c r="D3" s="526"/>
      <c r="E3" s="526"/>
    </row>
    <row r="6" spans="1:5" ht="32.049999999999997" customHeight="1" x14ac:dyDescent="0.35">
      <c r="B6" s="515" t="s">
        <v>3171</v>
      </c>
      <c r="C6" s="516"/>
      <c r="D6" s="516"/>
      <c r="E6" s="517"/>
    </row>
    <row r="7" spans="1:5" ht="20.05" customHeight="1" x14ac:dyDescent="0.35">
      <c r="B7" s="518"/>
      <c r="C7" s="519"/>
      <c r="D7" s="519"/>
      <c r="E7" s="520"/>
    </row>
    <row r="8" spans="1:5" ht="20.05" customHeight="1" x14ac:dyDescent="0.35">
      <c r="B8" s="346" t="s">
        <v>17</v>
      </c>
      <c r="C8" s="346" t="s">
        <v>18</v>
      </c>
      <c r="D8" s="346" t="s">
        <v>19</v>
      </c>
      <c r="E8" s="346" t="s">
        <v>20</v>
      </c>
    </row>
    <row r="9" spans="1:5" ht="20.05" customHeight="1" x14ac:dyDescent="0.35">
      <c r="B9" s="4" t="s">
        <v>2910</v>
      </c>
      <c r="C9" s="362" t="str">
        <f>CONCATENATE(this_instance,"-m01-vc01.",sample_child_dns_zone)</f>
        <v>sfo-m01-vc01.sfo.rainpole.io</v>
      </c>
      <c r="D9" s="347"/>
      <c r="E9" s="337"/>
    </row>
    <row r="10" spans="1:5" ht="20.05" customHeight="1" x14ac:dyDescent="0.35">
      <c r="B10" s="4" t="s">
        <v>732</v>
      </c>
      <c r="C10" s="362" t="str">
        <f>sample_mgmt_cl01_cluster</f>
        <v>sfo-m01-cl01</v>
      </c>
      <c r="D10" s="347"/>
      <c r="E10" s="337"/>
    </row>
    <row r="11" spans="1:5" ht="20.05" customHeight="1" x14ac:dyDescent="0.35">
      <c r="B11" s="4" t="s">
        <v>2845</v>
      </c>
      <c r="C11" s="142" t="str">
        <f>CONCATENATE(this_instance,"-w01-vlr01")</f>
        <v>sfo-w01-vlr01</v>
      </c>
      <c r="D11" s="347"/>
      <c r="E11" s="337"/>
    </row>
    <row r="12" spans="1:5" ht="20.05" customHeight="1" x14ac:dyDescent="0.35">
      <c r="B12" s="4" t="s">
        <v>2847</v>
      </c>
      <c r="C12" s="362" t="str">
        <f>sample_mgmt_cl01_cluster</f>
        <v>sfo-m01-cl01</v>
      </c>
      <c r="D12" s="347"/>
      <c r="E12" s="337"/>
    </row>
    <row r="13" spans="1:5" ht="20.05" customHeight="1" x14ac:dyDescent="0.35">
      <c r="B13" s="4" t="s">
        <v>103</v>
      </c>
      <c r="C13" s="362" t="str">
        <f>sample_mgmt_cl01_vsan_datastore</f>
        <v>sfo-m01-cl01-ds-vsan01</v>
      </c>
      <c r="D13" s="347"/>
      <c r="E13" s="337"/>
    </row>
    <row r="14" spans="1:5" ht="20.05" customHeight="1" x14ac:dyDescent="0.35">
      <c r="B14" s="4" t="s">
        <v>2848</v>
      </c>
      <c r="C14" s="362" t="str">
        <f>sample_mgmt_cl01_az1_mgmt_vm_pg</f>
        <v>sfo-m01-cl01-vds01-pg-vm-mgmt</v>
      </c>
      <c r="D14" s="347"/>
      <c r="E14" s="337"/>
    </row>
    <row r="15" spans="1:5" ht="20.05" customHeight="1" x14ac:dyDescent="0.35">
      <c r="B15" s="4" t="s">
        <v>302</v>
      </c>
      <c r="C15" s="362" t="str">
        <f>CONCATENATE(this_instance,"-w01-vlr01",".",sample_child_dns_zone)</f>
        <v>sfo-w01-vlr01.sfo.rainpole.io</v>
      </c>
      <c r="D15" s="337" t="str">
        <f>wld_vlr_fqdn</f>
        <v>Value Missing.Value Missing</v>
      </c>
      <c r="E15" s="337"/>
    </row>
    <row r="16" spans="1:5" ht="20.05" customHeight="1" x14ac:dyDescent="0.35">
      <c r="B16" s="4" t="s">
        <v>3172</v>
      </c>
      <c r="C16" s="362" t="s">
        <v>141</v>
      </c>
      <c r="D16" s="347"/>
      <c r="E16" s="337"/>
    </row>
    <row r="17" spans="2:5" ht="20.05" customHeight="1" x14ac:dyDescent="0.35">
      <c r="B17" s="4" t="s">
        <v>3173</v>
      </c>
      <c r="C17" s="362" t="s">
        <v>141</v>
      </c>
      <c r="D17" s="347"/>
      <c r="E17" s="337"/>
    </row>
    <row r="18" spans="2:5" ht="20.05" customHeight="1" x14ac:dyDescent="0.35">
      <c r="B18" s="4" t="s">
        <v>299</v>
      </c>
      <c r="C18" s="362" t="str">
        <f>sample_region_ntp1_server</f>
        <v>ntp0.sfo.rainpole.io</v>
      </c>
      <c r="D18" s="347"/>
      <c r="E18" s="337"/>
    </row>
    <row r="19" spans="2:5" ht="20.05" customHeight="1" x14ac:dyDescent="0.35">
      <c r="B19" s="4" t="s">
        <v>254</v>
      </c>
      <c r="C19" s="362" t="str">
        <f>sample_mgmt_az1_mgmt_vm_gateway_ip</f>
        <v>10.11.10.1</v>
      </c>
      <c r="D19" s="347"/>
      <c r="E19" s="337"/>
    </row>
    <row r="20" spans="2:5" ht="20.05" customHeight="1" x14ac:dyDescent="0.35">
      <c r="B20" s="4" t="s">
        <v>606</v>
      </c>
      <c r="C20" s="362" t="str">
        <f>CONCATENATE(this_instance,".rainpole.io")</f>
        <v>sfo.rainpole.io</v>
      </c>
      <c r="D20" s="347"/>
      <c r="E20" s="337"/>
    </row>
    <row r="21" spans="2:5" ht="20.05" customHeight="1" x14ac:dyDescent="0.35">
      <c r="B21" s="4" t="s">
        <v>607</v>
      </c>
      <c r="C21" s="362" t="str">
        <f>sample_rwr_child_dns_zone</f>
        <v>sfo.rainpole.io</v>
      </c>
      <c r="D21" s="337" t="str">
        <f>rwr_child_dns_zone</f>
        <v>Value Missing</v>
      </c>
      <c r="E21" s="337"/>
    </row>
    <row r="22" spans="2:5" ht="20.05" customHeight="1" x14ac:dyDescent="0.35">
      <c r="B22" s="4" t="s">
        <v>2852</v>
      </c>
      <c r="C22" s="362" t="str">
        <f>CONCATENATE(sample_region_dns1_ip,",",sample_region_dns2_ip)</f>
        <v>10.11.10.4,10.11.10.5</v>
      </c>
      <c r="D22" s="347"/>
      <c r="E22" s="337"/>
    </row>
    <row r="23" spans="2:5" ht="20.05" customHeight="1" x14ac:dyDescent="0.35">
      <c r="B23" s="4" t="s">
        <v>2853</v>
      </c>
      <c r="C23" s="142" t="str">
        <f>IF(mgmt_dpg_reuse_result="Included",CONCATENATE(prefix_mgmt_az1_cidr,"10.127"),CONCATENATE(prefix_mgmt_az1_cidr,"11.127"))</f>
        <v>10.11.10.127</v>
      </c>
      <c r="D23" s="347"/>
      <c r="E23" s="337"/>
    </row>
    <row r="24" spans="2:5" ht="20.05" customHeight="1" x14ac:dyDescent="0.35">
      <c r="B24" s="4" t="s">
        <v>3174</v>
      </c>
      <c r="C24" s="362">
        <v>24</v>
      </c>
      <c r="D24" s="347"/>
      <c r="E24" s="337"/>
    </row>
    <row r="26" spans="2:5" ht="32.049999999999997" customHeight="1" x14ac:dyDescent="0.35">
      <c r="B26" s="515" t="s">
        <v>3175</v>
      </c>
      <c r="C26" s="516"/>
      <c r="D26" s="516"/>
      <c r="E26" s="517"/>
    </row>
    <row r="27" spans="2:5" ht="20.05" customHeight="1" x14ac:dyDescent="0.35">
      <c r="B27" s="518"/>
      <c r="C27" s="519"/>
      <c r="D27" s="519"/>
      <c r="E27" s="520"/>
    </row>
    <row r="28" spans="2:5" ht="20.05" customHeight="1" x14ac:dyDescent="0.35">
      <c r="B28" s="346" t="s">
        <v>17</v>
      </c>
      <c r="C28" s="346" t="s">
        <v>18</v>
      </c>
      <c r="D28" s="346" t="s">
        <v>19</v>
      </c>
      <c r="E28" s="346" t="s">
        <v>20</v>
      </c>
    </row>
    <row r="29" spans="2:5" ht="20.05" customHeight="1" x14ac:dyDescent="0.35">
      <c r="B29" s="4" t="s">
        <v>3023</v>
      </c>
      <c r="C29" s="362" t="str">
        <f>CONCATENATE(sample_wld_vlr_fqdn,":5480")</f>
        <v>sfo-w01-vlr01.sfo.rainpole.io:5480</v>
      </c>
      <c r="D29" s="337" t="str">
        <f>CONCATENATE(wld_vlr_fqdn,":5480")</f>
        <v>Value Missing.Value Missing:5480</v>
      </c>
      <c r="E29" s="337"/>
    </row>
    <row r="30" spans="2:5" ht="20.05" customHeight="1" x14ac:dyDescent="0.35">
      <c r="B30" s="4" t="s">
        <v>58</v>
      </c>
      <c r="C30" s="362" t="s">
        <v>59</v>
      </c>
      <c r="D30" s="347"/>
      <c r="E30" s="337"/>
    </row>
    <row r="31" spans="2:5" ht="20.05" customHeight="1" x14ac:dyDescent="0.35">
      <c r="B31" s="4" t="s">
        <v>3011</v>
      </c>
      <c r="C31" s="362" t="s">
        <v>61</v>
      </c>
      <c r="D31" s="347"/>
      <c r="E31" s="337"/>
    </row>
    <row r="32" spans="2:5" ht="20.05" customHeight="1" x14ac:dyDescent="0.35">
      <c r="B32" s="4" t="s">
        <v>66</v>
      </c>
      <c r="C32" s="362" t="str">
        <f>IF(mgmt_domain_chosen="First Instance","San Francisco","Los Angeles ")</f>
        <v>San Francisco</v>
      </c>
      <c r="D32" s="347"/>
      <c r="E32" s="337"/>
    </row>
    <row r="33" spans="2:5" ht="20.05" customHeight="1" x14ac:dyDescent="0.35">
      <c r="B33" s="4" t="s">
        <v>64</v>
      </c>
      <c r="C33" s="142" t="s">
        <v>65</v>
      </c>
      <c r="D33" s="347"/>
      <c r="E33" s="337"/>
    </row>
    <row r="34" spans="2:5" ht="20.05" customHeight="1" x14ac:dyDescent="0.35">
      <c r="B34" s="4" t="s">
        <v>62</v>
      </c>
      <c r="C34" s="362" t="s">
        <v>63</v>
      </c>
      <c r="D34" s="347"/>
      <c r="E34" s="337"/>
    </row>
    <row r="35" spans="2:5" ht="20.05" customHeight="1" x14ac:dyDescent="0.35">
      <c r="B35" s="4" t="s">
        <v>38</v>
      </c>
      <c r="C35" s="362" t="str">
        <f>sample_wld_vlr_fqdn</f>
        <v>sfo-w01-vlr01.sfo.rainpole.io</v>
      </c>
      <c r="D35" s="347"/>
      <c r="E35" s="337"/>
    </row>
    <row r="36" spans="2:5" ht="20.05" customHeight="1" x14ac:dyDescent="0.35">
      <c r="B36" s="4" t="s">
        <v>3012</v>
      </c>
      <c r="C36" s="362" t="str">
        <f>sample_wld_vlr_mgmt_ip</f>
        <v>10.11.10.127</v>
      </c>
      <c r="D36" s="347"/>
      <c r="E36" s="337"/>
    </row>
    <row r="37" spans="2:5" ht="20.05" customHeight="1" x14ac:dyDescent="0.35">
      <c r="B37" s="4" t="s">
        <v>3013</v>
      </c>
      <c r="C37" s="362" t="s">
        <v>3014</v>
      </c>
      <c r="D37" s="347"/>
      <c r="E37" s="337"/>
    </row>
    <row r="39" spans="2:5" ht="32.049999999999997" customHeight="1" x14ac:dyDescent="0.35">
      <c r="B39" s="515" t="s">
        <v>3176</v>
      </c>
      <c r="C39" s="516"/>
      <c r="D39" s="516"/>
      <c r="E39" s="517"/>
    </row>
    <row r="40" spans="2:5" ht="20.05" customHeight="1" x14ac:dyDescent="0.35">
      <c r="B40" s="518"/>
      <c r="C40" s="519"/>
      <c r="D40" s="519"/>
      <c r="E40" s="520"/>
    </row>
    <row r="41" spans="2:5" ht="20.05" customHeight="1" x14ac:dyDescent="0.35">
      <c r="B41" s="346" t="s">
        <v>17</v>
      </c>
      <c r="C41" s="346" t="s">
        <v>18</v>
      </c>
      <c r="D41" s="346" t="s">
        <v>19</v>
      </c>
      <c r="E41" s="346" t="s">
        <v>20</v>
      </c>
    </row>
    <row r="42" spans="2:5" ht="20.05" customHeight="1" x14ac:dyDescent="0.35">
      <c r="B42" s="4" t="s">
        <v>3016</v>
      </c>
      <c r="C42" s="362" t="str">
        <f>CONCATENATE(this_instance,"-w01-vc01.",sample_child_dns_zone)</f>
        <v>sfo-w01-vc01.sfo.rainpole.io</v>
      </c>
      <c r="D42" s="347"/>
      <c r="E42" s="337"/>
    </row>
    <row r="43" spans="2:5" ht="20.05" customHeight="1" x14ac:dyDescent="0.35">
      <c r="B43" s="4" t="s">
        <v>2726</v>
      </c>
      <c r="C43" s="362" t="str">
        <f>CONCATENATE(this_instance,"-w0",wld_domain_number_chosen,".local")</f>
        <v>sfo-w01.local</v>
      </c>
      <c r="D43" s="347"/>
      <c r="E43" s="337"/>
    </row>
    <row r="44" spans="2:5" ht="20.05" customHeight="1" x14ac:dyDescent="0.35">
      <c r="B44" s="4" t="s">
        <v>3018</v>
      </c>
      <c r="C44" s="362" t="str">
        <f>CONCATENATE("svc_",sample_wld_vlr_hostname,"_",CONCATENATE(this_instance,"-w01","-vc01"))</f>
        <v>svc_sfo-w01-vlr01_sfo-w01-vc01</v>
      </c>
      <c r="D44" s="347"/>
      <c r="E44" s="337"/>
    </row>
    <row r="45" spans="2:5" ht="20.05" customHeight="1" x14ac:dyDescent="0.35">
      <c r="B45" s="4" t="s">
        <v>3019</v>
      </c>
      <c r="C45" s="362" t="s">
        <v>141</v>
      </c>
      <c r="D45" s="347"/>
      <c r="E45" s="337"/>
    </row>
    <row r="47" spans="2:5" ht="32.049999999999997" customHeight="1" x14ac:dyDescent="0.35">
      <c r="B47" s="515" t="s">
        <v>3177</v>
      </c>
      <c r="C47" s="516"/>
      <c r="D47" s="516"/>
      <c r="E47" s="517"/>
    </row>
    <row r="48" spans="2:5" ht="20.05" customHeight="1" x14ac:dyDescent="0.35">
      <c r="B48" s="518"/>
      <c r="C48" s="519"/>
      <c r="D48" s="519"/>
      <c r="E48" s="520"/>
    </row>
    <row r="49" spans="2:5" ht="20.05" customHeight="1" x14ac:dyDescent="0.35">
      <c r="B49" s="346" t="s">
        <v>17</v>
      </c>
      <c r="C49" s="346" t="s">
        <v>18</v>
      </c>
      <c r="D49" s="346" t="s">
        <v>19</v>
      </c>
      <c r="E49" s="346" t="s">
        <v>20</v>
      </c>
    </row>
    <row r="50" spans="2:5" ht="20.05" customHeight="1" x14ac:dyDescent="0.4">
      <c r="B50" s="128" t="s">
        <v>3016</v>
      </c>
      <c r="C50" s="362" t="str">
        <f>sample_wld_rwr_vc_fqdn</f>
        <v>sfo-w01-vc01.sfo.rainpole.io</v>
      </c>
      <c r="D50" s="337" t="str">
        <f>wld_rwr_vc_fqdn</f>
        <v>Value Missing</v>
      </c>
      <c r="E50" s="337"/>
    </row>
    <row r="51" spans="2:5" ht="20.05" customHeight="1" x14ac:dyDescent="0.4">
      <c r="B51" s="128" t="s">
        <v>2726</v>
      </c>
      <c r="C51" s="362" t="str">
        <f>sample_wld_sso_domain_name</f>
        <v>sfo-w01.local</v>
      </c>
      <c r="D51" s="337" t="str">
        <f>wld_sso_domain_name</f>
        <v>Value Missing</v>
      </c>
      <c r="E51" s="337"/>
    </row>
    <row r="52" spans="2:5" ht="20.05" customHeight="1" x14ac:dyDescent="0.4">
      <c r="B52" s="128" t="s">
        <v>40</v>
      </c>
      <c r="C52" s="362" t="str">
        <f>sample_wld_vlr_replication_user</f>
        <v>svc_sfo-w01-vlr01_sfo-w01-vc01</v>
      </c>
      <c r="D52" s="337" t="str">
        <f>wld_vlr_replication_user</f>
        <v>Value Missing</v>
      </c>
      <c r="E52" s="337"/>
    </row>
    <row r="53" spans="2:5" ht="15.45" x14ac:dyDescent="0.4">
      <c r="B53" s="301"/>
    </row>
    <row r="54" spans="2:5" ht="32.049999999999997" customHeight="1" x14ac:dyDescent="0.35">
      <c r="B54" s="515" t="s">
        <v>3178</v>
      </c>
      <c r="C54" s="516"/>
      <c r="D54" s="516"/>
      <c r="E54" s="517"/>
    </row>
    <row r="55" spans="2:5" ht="20.05" customHeight="1" x14ac:dyDescent="0.35">
      <c r="B55" s="518"/>
      <c r="C55" s="519"/>
      <c r="D55" s="519"/>
      <c r="E55" s="520"/>
    </row>
    <row r="56" spans="2:5" ht="20.05" customHeight="1" x14ac:dyDescent="0.35">
      <c r="B56" s="346" t="s">
        <v>17</v>
      </c>
      <c r="C56" s="346" t="s">
        <v>18</v>
      </c>
      <c r="D56" s="346" t="s">
        <v>19</v>
      </c>
      <c r="E56" s="346" t="s">
        <v>20</v>
      </c>
    </row>
    <row r="57" spans="2:5" ht="20.05" customHeight="1" x14ac:dyDescent="0.35">
      <c r="B57" s="4" t="s">
        <v>3023</v>
      </c>
      <c r="C57" s="362" t="str">
        <f>CONCATENATE(sample_wld_vlr_fqdn,":5480")</f>
        <v>sfo-w01-vlr01.sfo.rainpole.io:5480</v>
      </c>
      <c r="D57" s="337" t="str">
        <f>CONCATENATE(wld_vlr_fqdn,":5480")</f>
        <v>Value Missing.Value Missing:5480</v>
      </c>
      <c r="E57" s="337"/>
    </row>
    <row r="58" spans="2:5" ht="20.05" customHeight="1" x14ac:dyDescent="0.35">
      <c r="B58" s="4" t="s">
        <v>2859</v>
      </c>
      <c r="C58" s="362" t="str">
        <f>sample_wld_rwr_vc_fqdn</f>
        <v>sfo-w01-vc01.sfo.rainpole.io</v>
      </c>
      <c r="D58" s="337" t="str">
        <f>wld_rwr_vc_fqdn</f>
        <v>Value Missing</v>
      </c>
      <c r="E58" s="337"/>
    </row>
    <row r="59" spans="2:5" ht="20.05" customHeight="1" x14ac:dyDescent="0.35">
      <c r="B59" s="4" t="s">
        <v>78</v>
      </c>
      <c r="C59" s="362" t="str">
        <f>CONCATENATE(sample_wld_vlr_replication_user,"@",sample_rwr_sso_domain_name)</f>
        <v>svc_sfo-w01-vlr01_sfo-w01-vc01@sfo-w01.local</v>
      </c>
      <c r="D59" s="337" t="str">
        <f t="array" ref="D59">CONCATENATE(wld_vlr_replication_user,"@",rwr_sso_domain_name)</f>
        <v>Value Missing@Value Missing</v>
      </c>
      <c r="E59" s="337"/>
    </row>
    <row r="60" spans="2:5" ht="20.05" customHeight="1" x14ac:dyDescent="0.35">
      <c r="B60" s="4" t="s">
        <v>29</v>
      </c>
      <c r="C60" s="362" t="s">
        <v>141</v>
      </c>
      <c r="D60" s="337" t="str">
        <f>rwr_vlr_replication_password</f>
        <v>Value Missing</v>
      </c>
      <c r="E60" s="337"/>
    </row>
    <row r="61" spans="2:5" ht="20.05" customHeight="1" x14ac:dyDescent="0.35">
      <c r="B61" s="4" t="s">
        <v>1657</v>
      </c>
      <c r="C61" s="362" t="str">
        <f>sample_wld_vc_fqdn</f>
        <v>sfo-w01-vc01.sfo.rainpole.io</v>
      </c>
      <c r="D61" s="337" t="str">
        <f>wld_rwr_vc_fqdn</f>
        <v>Value Missing</v>
      </c>
      <c r="E61" s="337"/>
    </row>
    <row r="62" spans="2:5" ht="20.05" customHeight="1" x14ac:dyDescent="0.35">
      <c r="B62" s="4" t="s">
        <v>2743</v>
      </c>
      <c r="C62" s="362" t="str">
        <f>IF(mgmt_domain_chosen="First Instance","SFO-W01","LAX-W01 ")</f>
        <v>SFO-W01</v>
      </c>
      <c r="D62" s="347"/>
      <c r="E62" s="337"/>
    </row>
    <row r="63" spans="2:5" ht="20.05" customHeight="1" x14ac:dyDescent="0.35">
      <c r="B63" s="4" t="s">
        <v>2860</v>
      </c>
      <c r="C63" s="362" t="s">
        <v>3179</v>
      </c>
      <c r="D63" s="347"/>
      <c r="E63" s="337"/>
    </row>
    <row r="64" spans="2:5" ht="20.05" customHeight="1" x14ac:dyDescent="0.35">
      <c r="B64" s="4" t="s">
        <v>2861</v>
      </c>
      <c r="C64" s="362" t="str">
        <f>sample_wld_vlr_fqdn</f>
        <v>sfo-w01-vlr01.sfo.rainpole.io</v>
      </c>
      <c r="D64" s="337" t="str">
        <f>wld_vlr_fqdn</f>
        <v>Value Missing.Value Missing</v>
      </c>
      <c r="E64" s="337"/>
    </row>
    <row r="66" spans="2:5" ht="32.049999999999997" customHeight="1" x14ac:dyDescent="0.35">
      <c r="B66" s="515" t="s">
        <v>3180</v>
      </c>
      <c r="C66" s="516"/>
      <c r="D66" s="516"/>
      <c r="E66" s="517"/>
    </row>
    <row r="67" spans="2:5" ht="20.05" customHeight="1" x14ac:dyDescent="0.35">
      <c r="B67" s="518"/>
      <c r="C67" s="519"/>
      <c r="D67" s="519"/>
      <c r="E67" s="520"/>
    </row>
    <row r="68" spans="2:5" ht="20.05" customHeight="1" x14ac:dyDescent="0.35">
      <c r="B68" s="346" t="s">
        <v>17</v>
      </c>
      <c r="C68" s="346" t="s">
        <v>18</v>
      </c>
      <c r="D68" s="346" t="s">
        <v>19</v>
      </c>
      <c r="E68" s="346" t="s">
        <v>20</v>
      </c>
    </row>
    <row r="69" spans="2:5" ht="20.05" customHeight="1" x14ac:dyDescent="0.35">
      <c r="B69" s="4" t="s">
        <v>3016</v>
      </c>
      <c r="C69" s="362" t="str">
        <f>sample_wld_rwr_vc_fqdn</f>
        <v>sfo-w01-vc01.sfo.rainpole.io</v>
      </c>
      <c r="D69" s="337" t="str">
        <f>wld_rwr_vc_fqdn</f>
        <v>Value Missing</v>
      </c>
      <c r="E69" s="337"/>
    </row>
    <row r="70" spans="2:5" ht="20.05" customHeight="1" x14ac:dyDescent="0.35">
      <c r="B70" s="4" t="s">
        <v>2863</v>
      </c>
      <c r="C70" s="362" t="str">
        <f>IF(mgmt_domain_chosen="First Instance",_xlfn.CONCAT(this_instance,"-w01","-cl01","-vds01"),_xlfn.CONCAT(this_instance,"-w01","-cl01","-vds01"))</f>
        <v>sfo-w01-cl01-vds01</v>
      </c>
      <c r="D70" s="347"/>
      <c r="E70" s="337" t="str">
        <f>IF(mgmt_domain_chosen="First Instance","","vSAN Storage Cluster")</f>
        <v/>
      </c>
    </row>
    <row r="71" spans="2:5" ht="20.05" customHeight="1" x14ac:dyDescent="0.35">
      <c r="B71" s="4" t="s">
        <v>261</v>
      </c>
      <c r="C71" s="362" t="str">
        <f>CONCATENATE(sample_wld_rwr_cl02_vds01,"-pg-vrms")</f>
        <v>sfo-w01-cl01-vds01-pg-vrms</v>
      </c>
      <c r="D71" s="347"/>
      <c r="E71" s="337" t="str">
        <f>IF(mgmt_domain_chosen="First Instance","","vSAN Storage Cluster")</f>
        <v/>
      </c>
    </row>
    <row r="72" spans="2:5" ht="20.05" customHeight="1" x14ac:dyDescent="0.35">
      <c r="B72" s="4" t="s">
        <v>85</v>
      </c>
      <c r="C72" s="80" t="str">
        <f>CONCATENATE(prefix_wld_az1_vlan,"09")</f>
        <v>1309</v>
      </c>
      <c r="D72" s="347"/>
      <c r="E72" s="337"/>
    </row>
    <row r="74" spans="2:5" ht="32.049999999999997" customHeight="1" x14ac:dyDescent="0.35">
      <c r="B74" s="515" t="s">
        <v>3181</v>
      </c>
      <c r="C74" s="516"/>
      <c r="D74" s="516"/>
      <c r="E74" s="517"/>
    </row>
    <row r="75" spans="2:5" ht="20.05" customHeight="1" x14ac:dyDescent="0.35">
      <c r="B75" s="518"/>
      <c r="C75" s="519"/>
      <c r="D75" s="519"/>
      <c r="E75" s="520"/>
    </row>
    <row r="76" spans="2:5" ht="20.05" customHeight="1" x14ac:dyDescent="0.35">
      <c r="B76" s="346" t="s">
        <v>17</v>
      </c>
      <c r="C76" s="346" t="s">
        <v>18</v>
      </c>
      <c r="D76" s="346" t="s">
        <v>19</v>
      </c>
      <c r="E76" s="346" t="s">
        <v>20</v>
      </c>
    </row>
    <row r="77" spans="2:5" ht="20.05" customHeight="1" x14ac:dyDescent="0.35">
      <c r="B77" s="4" t="s">
        <v>3016</v>
      </c>
      <c r="C77" s="362" t="str">
        <f>sample_wld_rwr_vc_fqdn</f>
        <v>sfo-w01-vc01.sfo.rainpole.io</v>
      </c>
      <c r="D77" s="337" t="str">
        <f>wld_rwr_vc_fqdn</f>
        <v>Value Missing</v>
      </c>
      <c r="E77" s="337"/>
    </row>
    <row r="78" spans="2:5" ht="20.05" customHeight="1" x14ac:dyDescent="0.35">
      <c r="B78" s="4" t="s">
        <v>732</v>
      </c>
      <c r="C78" s="362" t="str">
        <f>IF(mgmt_domain_chosen="First Instance",sample_wld_cl01_cluster,_xlfn.CONCAT(this_instance,"-w01","-cl01"))</f>
        <v>sfo-w01-cl01</v>
      </c>
      <c r="D78" s="347"/>
      <c r="E78" s="337" t="str">
        <f>IF(mgmt_domain_chosen="First Instance","","vSAN Storage Cluster")</f>
        <v/>
      </c>
    </row>
    <row r="79" spans="2:5" ht="20.05" customHeight="1" x14ac:dyDescent="0.35">
      <c r="B79" s="4" t="s">
        <v>604</v>
      </c>
      <c r="C79" s="362" t="str">
        <f>IF(mgmt_domain_chosen="First Domain",sample_wld_vrms_pg,_xlfn.CONCAT(this_instance,"-w01","-cl01","-vds01-pg-vrms"))</f>
        <v>sfo-w01-cl01-vds01-pg-vrms</v>
      </c>
      <c r="D79" s="337" t="str">
        <f>rwr_vrms_pg</f>
        <v>Value Missing</v>
      </c>
      <c r="E79" s="337"/>
    </row>
    <row r="80" spans="2:5" ht="20.05" customHeight="1" x14ac:dyDescent="0.35">
      <c r="B80" s="4" t="s">
        <v>3182</v>
      </c>
      <c r="C80" s="362" t="str">
        <f>sample_wld_az1_host1_fqdn</f>
        <v>sfo01-w01-r01-esx01.sfo.rainpole.io</v>
      </c>
      <c r="D80" s="347"/>
      <c r="E80" s="337"/>
    </row>
    <row r="81" spans="2:5" ht="20.05" customHeight="1" x14ac:dyDescent="0.35">
      <c r="B81" s="4" t="s">
        <v>3183</v>
      </c>
      <c r="C81" s="362" t="str">
        <f>sample_wld_az1_host1_vrms_ip</f>
        <v>10.13.9.101</v>
      </c>
      <c r="D81" s="347"/>
      <c r="E81" s="337"/>
    </row>
    <row r="82" spans="2:5" ht="20.05" customHeight="1" x14ac:dyDescent="0.35">
      <c r="B82" s="4" t="s">
        <v>3184</v>
      </c>
      <c r="C82" s="362" t="s">
        <v>128</v>
      </c>
      <c r="D82" s="347"/>
      <c r="E82" s="337"/>
    </row>
    <row r="83" spans="2:5" ht="20.05" customHeight="1" x14ac:dyDescent="0.35">
      <c r="B83" s="4" t="s">
        <v>3185</v>
      </c>
      <c r="C83" s="362" t="str">
        <f>sample_wld_az1_host2_fqdn</f>
        <v>sfo01-w01-r01-esx02.sfo.rainpole.io</v>
      </c>
      <c r="D83" s="347"/>
      <c r="E83" s="337"/>
    </row>
    <row r="84" spans="2:5" ht="20.05" customHeight="1" x14ac:dyDescent="0.35">
      <c r="B84" s="4" t="s">
        <v>3186</v>
      </c>
      <c r="C84" s="362" t="str">
        <f>sample_wld_az1_host2_vrms_ip</f>
        <v>10.13.9.102</v>
      </c>
      <c r="D84" s="347"/>
      <c r="E84" s="337"/>
    </row>
    <row r="85" spans="2:5" ht="20.05" customHeight="1" x14ac:dyDescent="0.35">
      <c r="B85" s="4" t="s">
        <v>3187</v>
      </c>
      <c r="C85" s="362" t="str">
        <f>sample_wld_az1_vrms_mask</f>
        <v>255.255.255.0</v>
      </c>
      <c r="D85" s="337" t="str">
        <f t="array" ref="D85">wld_rwr_az1_vrms_gateway_mask</f>
        <v>Value Missing</v>
      </c>
      <c r="E85" s="337"/>
    </row>
    <row r="86" spans="2:5" ht="20.05" customHeight="1" x14ac:dyDescent="0.35">
      <c r="B86" s="4" t="s">
        <v>3188</v>
      </c>
      <c r="C86" s="362" t="str">
        <f>sample_wld_az1_host3_fqdn</f>
        <v>sfo01-w01-r01-esx03.sfo.rainpole.io</v>
      </c>
      <c r="D86" s="347"/>
      <c r="E86" s="337"/>
    </row>
    <row r="87" spans="2:5" ht="20.05" customHeight="1" x14ac:dyDescent="0.35">
      <c r="B87" s="4" t="s">
        <v>3189</v>
      </c>
      <c r="C87" s="362" t="str">
        <f>sample_wld_az1_host3_vrms_ip</f>
        <v>10.13.9.103</v>
      </c>
      <c r="D87" s="347"/>
      <c r="E87" s="337"/>
    </row>
    <row r="88" spans="2:5" ht="20.05" customHeight="1" x14ac:dyDescent="0.35">
      <c r="B88" s="4" t="s">
        <v>3190</v>
      </c>
      <c r="C88" s="362" t="str">
        <f>sample_wld_az1_vrms_mask</f>
        <v>255.255.255.0</v>
      </c>
      <c r="D88" s="337" t="str">
        <f t="array" ref="D88">wld_rwr_az1_vrms_gateway_mask</f>
        <v>Value Missing</v>
      </c>
      <c r="E88" s="337"/>
    </row>
    <row r="89" spans="2:5" ht="20.05" customHeight="1" x14ac:dyDescent="0.35">
      <c r="B89" s="4" t="s">
        <v>3191</v>
      </c>
      <c r="C89" s="362" t="str">
        <f>sample_wld_az1_host4_fqdn</f>
        <v>sfo01-w01-r01-esx04.sfo.rainpole.io</v>
      </c>
      <c r="D89" s="347"/>
      <c r="E89" s="337"/>
    </row>
    <row r="90" spans="2:5" ht="20.05" customHeight="1" x14ac:dyDescent="0.35">
      <c r="B90" s="4" t="s">
        <v>3192</v>
      </c>
      <c r="C90" s="362" t="str">
        <f>sample_wld_az1_host4_vrms_ip</f>
        <v>10.13.9.104</v>
      </c>
      <c r="D90" s="347"/>
      <c r="E90" s="337"/>
    </row>
    <row r="91" spans="2:5" ht="20.05" customHeight="1" x14ac:dyDescent="0.35">
      <c r="B91" s="4" t="s">
        <v>3193</v>
      </c>
      <c r="C91" s="362" t="str">
        <f>sample_wld_az1_vrms_mask</f>
        <v>255.255.255.0</v>
      </c>
      <c r="D91" s="337" t="str">
        <f t="array" ref="D91">wld_rwr_az1_vrms_gateway_mask</f>
        <v>Value Missing</v>
      </c>
      <c r="E91" s="337"/>
    </row>
    <row r="93" spans="2:5" ht="32.049999999999997" customHeight="1" x14ac:dyDescent="0.35">
      <c r="B93" s="515" t="s">
        <v>3194</v>
      </c>
      <c r="C93" s="516"/>
      <c r="D93" s="516"/>
      <c r="E93" s="517"/>
    </row>
    <row r="94" spans="2:5" ht="20.05" customHeight="1" x14ac:dyDescent="0.35">
      <c r="B94" s="518"/>
      <c r="C94" s="519"/>
      <c r="D94" s="519"/>
      <c r="E94" s="520"/>
    </row>
    <row r="95" spans="2:5" ht="20.05" customHeight="1" x14ac:dyDescent="0.35">
      <c r="B95" s="346" t="s">
        <v>17</v>
      </c>
      <c r="C95" s="346" t="s">
        <v>18</v>
      </c>
      <c r="D95" s="346" t="s">
        <v>19</v>
      </c>
      <c r="E95" s="346" t="s">
        <v>20</v>
      </c>
    </row>
    <row r="96" spans="2:5" ht="20.05" customHeight="1" x14ac:dyDescent="0.35">
      <c r="B96" s="4" t="s">
        <v>3016</v>
      </c>
      <c r="C96" s="362" t="str">
        <f>sample_wld_rwr_vc_fqdn</f>
        <v>sfo-w01-vc01.sfo.rainpole.io</v>
      </c>
      <c r="D96" s="337" t="str">
        <f>wld_rwr_vc_fqdn</f>
        <v>Value Missing</v>
      </c>
      <c r="E96" s="337"/>
    </row>
    <row r="97" spans="2:5" ht="20.05" customHeight="1" x14ac:dyDescent="0.35">
      <c r="B97" s="4" t="s">
        <v>732</v>
      </c>
      <c r="C97" s="362" t="str">
        <f>sample_wld_rwr_cl02_cluster</f>
        <v>sfo-w01-cl01</v>
      </c>
      <c r="D97" s="337" t="str">
        <f t="array" ref="D97">wld_rwr_cl02_cluster</f>
        <v>Value Missing</v>
      </c>
      <c r="E97" s="337" t="str">
        <f>IF(mgmt_domain_chosen="First Instance","","vSAN Storage Cluster")</f>
        <v/>
      </c>
    </row>
    <row r="98" spans="2:5" ht="20.05" customHeight="1" x14ac:dyDescent="0.35">
      <c r="B98" s="4" t="s">
        <v>3182</v>
      </c>
      <c r="C98" s="362" t="str">
        <f>sample_wld_az1_host1_fqdn</f>
        <v>sfo01-w01-r01-esx01.sfo.rainpole.io</v>
      </c>
      <c r="D98" s="347"/>
      <c r="E98" s="337"/>
    </row>
    <row r="99" spans="2:5" ht="20.05" customHeight="1" x14ac:dyDescent="0.35">
      <c r="B99" s="4" t="s">
        <v>3195</v>
      </c>
      <c r="C99" s="362" t="str">
        <f>CONCATENATE(prefix_wld_az1_cidr,"9.1")</f>
        <v>10.13.9.1</v>
      </c>
      <c r="D99" s="347"/>
      <c r="E99" s="337"/>
    </row>
    <row r="100" spans="2:5" ht="20.05" customHeight="1" x14ac:dyDescent="0.35">
      <c r="B100" s="4" t="s">
        <v>3196</v>
      </c>
      <c r="C100" s="362" t="str">
        <f>CONCATENATE(wld_rwr_recoverysite_prefix,"9.0/24")</f>
        <v>10.23.9.0/24</v>
      </c>
      <c r="D100" s="347"/>
      <c r="E100" s="337"/>
    </row>
    <row r="101" spans="2:5" ht="20.05" customHeight="1" x14ac:dyDescent="0.35">
      <c r="B101" s="4" t="s">
        <v>3197</v>
      </c>
      <c r="C101" s="362" t="str">
        <f>CONCATENATE(prefix_other_region_az1_cidr,"10.0/24")</f>
        <v>10.21.10.0/24</v>
      </c>
      <c r="D101" s="347"/>
      <c r="E101" s="337"/>
    </row>
    <row r="102" spans="2:5" ht="20.05" customHeight="1" x14ac:dyDescent="0.35">
      <c r="B102" s="4" t="s">
        <v>3185</v>
      </c>
      <c r="C102" s="362" t="str">
        <f>sample_wld_az1_host2_fqdn</f>
        <v>sfo01-w01-r01-esx02.sfo.rainpole.io</v>
      </c>
      <c r="D102" s="347"/>
      <c r="E102" s="337"/>
    </row>
    <row r="103" spans="2:5" ht="20.05" customHeight="1" x14ac:dyDescent="0.35">
      <c r="B103" s="4" t="s">
        <v>3198</v>
      </c>
      <c r="C103" s="362" t="str">
        <f>sample_wld_az1_vrms_gateway_ip</f>
        <v>10.13.9.1</v>
      </c>
      <c r="D103" s="337" t="str">
        <f>wld_rwr_az1_vrms_gateway_ip</f>
        <v>Value Missing</v>
      </c>
      <c r="E103" s="337"/>
    </row>
    <row r="104" spans="2:5" ht="20.05" customHeight="1" x14ac:dyDescent="0.35">
      <c r="B104" s="4" t="s">
        <v>3199</v>
      </c>
      <c r="C104" s="362" t="str">
        <f>CONCATENATE(wld_rwr_recoverysite_prefix,"9.0/24")</f>
        <v>10.23.9.0/24</v>
      </c>
      <c r="D104" s="337" t="str">
        <f>wld_rwr_recovery_site_az1_vrms_cidr</f>
        <v>Value Missing</v>
      </c>
      <c r="E104" s="337"/>
    </row>
    <row r="105" spans="2:5" ht="20.05" customHeight="1" x14ac:dyDescent="0.35">
      <c r="B105" s="4" t="s">
        <v>3200</v>
      </c>
      <c r="C105" s="362" t="str">
        <f>sample_mgmt_rwr_recovery_site_az1_mgmt_cidr</f>
        <v>10.21.10.0/24</v>
      </c>
      <c r="D105" s="337" t="str">
        <f>mgmt_rwr_recovery_site_az1_mgmt_cidr</f>
        <v>Value Missing</v>
      </c>
      <c r="E105" s="337"/>
    </row>
    <row r="106" spans="2:5" ht="20.05" customHeight="1" x14ac:dyDescent="0.35">
      <c r="B106" s="4" t="s">
        <v>3188</v>
      </c>
      <c r="C106" s="362" t="str">
        <f>sample_wld_az1_host3_fqdn</f>
        <v>sfo01-w01-r01-esx03.sfo.rainpole.io</v>
      </c>
      <c r="D106" s="347"/>
      <c r="E106" s="337"/>
    </row>
    <row r="107" spans="2:5" ht="20.05" customHeight="1" x14ac:dyDescent="0.35">
      <c r="B107" s="4" t="s">
        <v>3201</v>
      </c>
      <c r="C107" s="362" t="str">
        <f>sample_wld_az1_vrms_gateway_ip</f>
        <v>10.13.9.1</v>
      </c>
      <c r="D107" s="337" t="str">
        <f>wld_rwr_az1_vrms_gateway_ip</f>
        <v>Value Missing</v>
      </c>
      <c r="E107" s="337"/>
    </row>
    <row r="108" spans="2:5" ht="20.05" customHeight="1" x14ac:dyDescent="0.35">
      <c r="B108" s="4" t="s">
        <v>3202</v>
      </c>
      <c r="C108" s="362" t="str">
        <f>CONCATENATE(wld_rwr_recoverysite_prefix,"9.0/24")</f>
        <v>10.23.9.0/24</v>
      </c>
      <c r="D108" s="337" t="str">
        <f>wld_rwr_recovery_site_az1_vrms_cidr</f>
        <v>Value Missing</v>
      </c>
      <c r="E108" s="337"/>
    </row>
    <row r="109" spans="2:5" ht="20.05" customHeight="1" x14ac:dyDescent="0.35">
      <c r="B109" s="4" t="s">
        <v>3203</v>
      </c>
      <c r="C109" s="362" t="str">
        <f>sample_mgmt_rwr_recovery_site_az1_mgmt_cidr</f>
        <v>10.21.10.0/24</v>
      </c>
      <c r="D109" s="337" t="str">
        <f>mgmt_rwr_recovery_site_az1_mgmt_cidr</f>
        <v>Value Missing</v>
      </c>
      <c r="E109" s="337"/>
    </row>
    <row r="110" spans="2:5" ht="20.05" customHeight="1" x14ac:dyDescent="0.35">
      <c r="B110" s="4" t="s">
        <v>3191</v>
      </c>
      <c r="C110" s="362" t="str">
        <f>sample_wld_az1_host4_fqdn</f>
        <v>sfo01-w01-r01-esx04.sfo.rainpole.io</v>
      </c>
      <c r="D110" s="347"/>
      <c r="E110" s="337"/>
    </row>
    <row r="111" spans="2:5" ht="20.05" customHeight="1" x14ac:dyDescent="0.35">
      <c r="B111" s="4" t="s">
        <v>3204</v>
      </c>
      <c r="C111" s="362" t="str">
        <f>sample_wld_az1_vrms_gateway_ip</f>
        <v>10.13.9.1</v>
      </c>
      <c r="D111" s="337" t="str">
        <f>wld_rwr_az1_vrms_gateway_ip</f>
        <v>Value Missing</v>
      </c>
      <c r="E111" s="337"/>
    </row>
    <row r="112" spans="2:5" ht="20.05" customHeight="1" x14ac:dyDescent="0.35">
      <c r="B112" s="4" t="s">
        <v>3205</v>
      </c>
      <c r="C112" s="362" t="str">
        <f>CONCATENATE(wld_rwr_recoverysite_prefix,"9.0/24")</f>
        <v>10.23.9.0/24</v>
      </c>
      <c r="D112" s="337" t="str">
        <f>wld_rwr_recovery_site_az1_vrms_cidr</f>
        <v>Value Missing</v>
      </c>
      <c r="E112" s="337"/>
    </row>
    <row r="113" spans="2:5" ht="20.05" customHeight="1" x14ac:dyDescent="0.35">
      <c r="B113" s="4" t="s">
        <v>3206</v>
      </c>
      <c r="C113" s="362" t="str">
        <f>sample_mgmt_rwr_recovery_site_az1_mgmt_cidr</f>
        <v>10.21.10.0/24</v>
      </c>
      <c r="D113" s="337" t="str">
        <f>mgmt_rwr_recovery_site_az1_mgmt_cidr</f>
        <v>Value Missing</v>
      </c>
      <c r="E113" s="337"/>
    </row>
    <row r="115" spans="2:5" ht="32.049999999999997" customHeight="1" x14ac:dyDescent="0.35">
      <c r="B115" s="515" t="s">
        <v>3207</v>
      </c>
      <c r="C115" s="516"/>
      <c r="D115" s="516"/>
      <c r="E115" s="517"/>
    </row>
    <row r="116" spans="2:5" ht="20.05" customHeight="1" x14ac:dyDescent="0.35">
      <c r="B116" s="518"/>
      <c r="C116" s="519"/>
      <c r="D116" s="519"/>
      <c r="E116" s="520"/>
    </row>
    <row r="117" spans="2:5" ht="20.05" customHeight="1" x14ac:dyDescent="0.35">
      <c r="B117" s="346" t="s">
        <v>17</v>
      </c>
      <c r="C117" s="346" t="s">
        <v>18</v>
      </c>
      <c r="D117" s="346" t="s">
        <v>19</v>
      </c>
      <c r="E117" s="346" t="s">
        <v>20</v>
      </c>
    </row>
    <row r="118" spans="2:5" ht="20.05" customHeight="1" x14ac:dyDescent="0.35">
      <c r="B118" s="297" t="s">
        <v>3208</v>
      </c>
      <c r="C118" s="362" t="str">
        <f>CONCATENATE(this_instance,"-w01-nsx01.",this_instance,".",sample_parent_dns_zone)</f>
        <v>sfo-w01-nsx01.sfo.rainpole.io</v>
      </c>
      <c r="D118" s="347"/>
      <c r="E118" s="337"/>
    </row>
    <row r="119" spans="2:5" ht="20.05" customHeight="1" x14ac:dyDescent="0.35">
      <c r="B119" s="518" t="s">
        <v>3209</v>
      </c>
      <c r="C119" s="519"/>
      <c r="D119" s="519"/>
      <c r="E119" s="520"/>
    </row>
    <row r="120" spans="2:5" ht="20.05" customHeight="1" x14ac:dyDescent="0.35">
      <c r="B120" s="4" t="s">
        <v>3210</v>
      </c>
      <c r="C120" s="362" t="s">
        <v>3211</v>
      </c>
      <c r="D120" s="347"/>
      <c r="E120" s="337"/>
    </row>
    <row r="121" spans="2:5" ht="20.05" customHeight="1" x14ac:dyDescent="0.35">
      <c r="B121" s="4" t="s">
        <v>3212</v>
      </c>
      <c r="C121" s="362" t="s">
        <v>3213</v>
      </c>
      <c r="D121" s="347"/>
      <c r="E121" s="337"/>
    </row>
    <row r="122" spans="2:5" ht="20.05" customHeight="1" x14ac:dyDescent="0.35">
      <c r="B122" s="4" t="s">
        <v>3214</v>
      </c>
      <c r="C122" s="362" t="s">
        <v>3215</v>
      </c>
      <c r="D122" s="347"/>
      <c r="E122" s="337"/>
    </row>
    <row r="123" spans="2:5" ht="20.05" customHeight="1" x14ac:dyDescent="0.35">
      <c r="B123" s="4" t="s">
        <v>3216</v>
      </c>
      <c r="C123" s="362" t="str">
        <f>CONCATENATE(this_instance,"-w01","-ec01")</f>
        <v>sfo-w01-ec01</v>
      </c>
      <c r="D123" s="347"/>
      <c r="E123" s="337"/>
    </row>
    <row r="124" spans="2:5" ht="20.05" customHeight="1" x14ac:dyDescent="0.35">
      <c r="B124" s="518" t="s">
        <v>3217</v>
      </c>
      <c r="C124" s="519"/>
      <c r="D124" s="519"/>
      <c r="E124" s="520"/>
    </row>
    <row r="125" spans="2:5" ht="20.05" customHeight="1" x14ac:dyDescent="0.35">
      <c r="B125" s="4" t="s">
        <v>480</v>
      </c>
      <c r="C125" s="362" t="str">
        <f>CONCATENATE(this_instance,"-w01","-ec01","-t1","-gw01")</f>
        <v>sfo-w01-ec01-t1-gw01</v>
      </c>
      <c r="D125" s="347"/>
      <c r="E125" s="337"/>
    </row>
    <row r="126" spans="2:5" ht="20.05" customHeight="1" x14ac:dyDescent="0.35">
      <c r="B126" s="4" t="s">
        <v>481</v>
      </c>
      <c r="C126" s="362" t="str">
        <f>CONCATENATE(this_instance,"-w01","-ec01","-t0","-gw01")</f>
        <v>sfo-w01-ec01-t0-gw01</v>
      </c>
      <c r="D126" s="347"/>
      <c r="E126" s="337"/>
    </row>
    <row r="127" spans="2:5" ht="20.05" customHeight="1" x14ac:dyDescent="0.35">
      <c r="B127" s="4" t="s">
        <v>88</v>
      </c>
      <c r="C127" s="362" t="str">
        <f>sample_wld_rwr_recovery_site_nsx_ec_name</f>
        <v>sfo-w01-ec01</v>
      </c>
      <c r="D127" s="347"/>
      <c r="E127" s="337"/>
    </row>
    <row r="128" spans="2:5" ht="20.05" customHeight="1" x14ac:dyDescent="0.35">
      <c r="B128" s="518" t="s">
        <v>3218</v>
      </c>
      <c r="C128" s="519"/>
      <c r="D128" s="519"/>
      <c r="E128" s="520"/>
    </row>
    <row r="129" spans="2:5" ht="20.05" customHeight="1" x14ac:dyDescent="0.35">
      <c r="B129" s="4" t="s">
        <v>3219</v>
      </c>
      <c r="C129" s="362" t="str">
        <f>CONCATENATE(this_instance,"-w01-seg01-","rwr-ire")</f>
        <v>sfo-w01-seg01-rwr-ire</v>
      </c>
      <c r="D129" s="347"/>
      <c r="E129" s="337"/>
    </row>
    <row r="130" spans="2:5" ht="20.05" customHeight="1" x14ac:dyDescent="0.35">
      <c r="B130" s="4" t="s">
        <v>3220</v>
      </c>
      <c r="C130" s="362" t="str">
        <f>sample_wld_rwr_recovery_site_nsx_ec_t1_name</f>
        <v>sfo-w01-ec01-t1-gw01</v>
      </c>
      <c r="D130" s="347"/>
      <c r="E130" s="337"/>
    </row>
    <row r="131" spans="2:5" ht="20.05" customHeight="1" x14ac:dyDescent="0.35">
      <c r="B131" s="4" t="s">
        <v>3221</v>
      </c>
      <c r="C131" s="362" t="str">
        <f>CONCATENATE("overlay-tz-",this_instance,"-w01-nsx01")</f>
        <v>overlay-tz-sfo-w01-nsx01</v>
      </c>
      <c r="D131" s="347"/>
      <c r="E131" s="337"/>
    </row>
    <row r="132" spans="2:5" ht="20.05" customHeight="1" x14ac:dyDescent="0.35">
      <c r="B132" s="4" t="s">
        <v>3222</v>
      </c>
      <c r="C132" s="362" t="s">
        <v>3223</v>
      </c>
      <c r="D132" s="347"/>
      <c r="E132" s="337"/>
    </row>
    <row r="133" spans="2:5" ht="20.05" customHeight="1" x14ac:dyDescent="0.35">
      <c r="B133" s="518" t="s">
        <v>3224</v>
      </c>
      <c r="C133" s="519"/>
      <c r="D133" s="519"/>
      <c r="E133" s="520"/>
    </row>
    <row r="134" spans="2:5" ht="20.05" customHeight="1" x14ac:dyDescent="0.35">
      <c r="B134" s="4" t="s">
        <v>3225</v>
      </c>
      <c r="C134" s="362" t="str">
        <f>C120</f>
        <v>tier1_dhcp_profile</v>
      </c>
      <c r="D134" s="347"/>
      <c r="E134" s="337"/>
    </row>
    <row r="135" spans="2:5" ht="20.05" customHeight="1" x14ac:dyDescent="0.35">
      <c r="B135" s="4" t="s">
        <v>3226</v>
      </c>
      <c r="C135" s="362" t="s">
        <v>3227</v>
      </c>
      <c r="D135" s="347"/>
      <c r="E135" s="337"/>
    </row>
    <row r="136" spans="2:5" ht="20.05" customHeight="1" x14ac:dyDescent="0.35">
      <c r="B136" s="4" t="s">
        <v>3228</v>
      </c>
      <c r="C136" s="362" t="s">
        <v>3229</v>
      </c>
      <c r="D136" s="347"/>
      <c r="E136" s="337"/>
    </row>
    <row r="137" spans="2:5" ht="20.05" customHeight="1" x14ac:dyDescent="0.35">
      <c r="B137" s="4" t="s">
        <v>608</v>
      </c>
      <c r="C137" s="362" t="str">
        <f>CONCATENATE(sample_region_dns1_ip,",",sample_region_dns2_ip)</f>
        <v>10.11.10.4,10.11.10.5</v>
      </c>
      <c r="D137" s="347"/>
      <c r="E137" s="337"/>
    </row>
    <row r="138" spans="2:5" x14ac:dyDescent="0.35">
      <c r="C138" s="142"/>
    </row>
    <row r="139" spans="2:5" ht="32.049999999999997" customHeight="1" x14ac:dyDescent="0.35">
      <c r="B139" s="515" t="s">
        <v>3230</v>
      </c>
      <c r="C139" s="516"/>
      <c r="D139" s="516"/>
      <c r="E139" s="517"/>
    </row>
    <row r="140" spans="2:5" ht="20.05" customHeight="1" x14ac:dyDescent="0.35">
      <c r="B140" s="518"/>
      <c r="C140" s="519"/>
      <c r="D140" s="519"/>
      <c r="E140" s="520"/>
    </row>
    <row r="141" spans="2:5" ht="20.05" customHeight="1" x14ac:dyDescent="0.35">
      <c r="B141" s="346" t="s">
        <v>17</v>
      </c>
      <c r="C141" s="346" t="s">
        <v>18</v>
      </c>
      <c r="D141" s="346" t="s">
        <v>19</v>
      </c>
      <c r="E141" s="346" t="s">
        <v>20</v>
      </c>
    </row>
    <row r="142" spans="2:5" ht="20.05" customHeight="1" x14ac:dyDescent="0.35">
      <c r="B142" s="4" t="s">
        <v>3016</v>
      </c>
      <c r="C142" s="362" t="str">
        <f>sample_wld_rwr_vc_fqdn</f>
        <v>sfo-w01-vc01.sfo.rainpole.io</v>
      </c>
      <c r="D142" s="337" t="str">
        <f>wld_rwr_vc_fqdn</f>
        <v>Value Missing</v>
      </c>
      <c r="E142" s="337"/>
    </row>
    <row r="143" spans="2:5" ht="20.05" customHeight="1" x14ac:dyDescent="0.35">
      <c r="B143" s="4" t="s">
        <v>3231</v>
      </c>
      <c r="C143" s="362" t="str">
        <f>sample_wld_datacenter</f>
        <v>sfo-w01-dc</v>
      </c>
      <c r="D143" s="347"/>
      <c r="E143" s="337"/>
    </row>
    <row r="144" spans="2:5" ht="20.05" customHeight="1" x14ac:dyDescent="0.35">
      <c r="B144" s="4" t="s">
        <v>2764</v>
      </c>
      <c r="C144" s="362" t="str">
        <f>(CONCATENATE(sample_wld_sddc_domain,"-fd-workload"))</f>
        <v>sfo-w01-fd-workload</v>
      </c>
      <c r="D144" s="347"/>
      <c r="E144" s="337"/>
    </row>
    <row r="146" spans="2:5" ht="34" customHeight="1" x14ac:dyDescent="0.35">
      <c r="B146" s="515" t="s">
        <v>3232</v>
      </c>
      <c r="C146" s="516"/>
      <c r="D146" s="516"/>
      <c r="E146" s="517"/>
    </row>
    <row r="148" spans="2:5" ht="32.049999999999997" customHeight="1" x14ac:dyDescent="0.35">
      <c r="B148" s="515" t="s">
        <v>3233</v>
      </c>
      <c r="C148" s="516"/>
      <c r="D148" s="516"/>
      <c r="E148" s="517"/>
    </row>
    <row r="149" spans="2:5" ht="20.05" customHeight="1" x14ac:dyDescent="0.35">
      <c r="B149" s="518"/>
      <c r="C149" s="519"/>
      <c r="D149" s="519"/>
      <c r="E149" s="520"/>
    </row>
    <row r="150" spans="2:5" ht="20.05" customHeight="1" x14ac:dyDescent="0.35">
      <c r="B150" s="346" t="s">
        <v>17</v>
      </c>
      <c r="C150" s="346" t="s">
        <v>18</v>
      </c>
      <c r="D150" s="346" t="s">
        <v>19</v>
      </c>
      <c r="E150" s="346" t="s">
        <v>20</v>
      </c>
    </row>
    <row r="151" spans="2:5" ht="20.05" customHeight="1" x14ac:dyDescent="0.35">
      <c r="B151" s="4" t="s">
        <v>3016</v>
      </c>
      <c r="C151" s="362" t="str">
        <f>sample_wld_rwr_vc_fqdn</f>
        <v>sfo-w01-vc01.sfo.rainpole.io</v>
      </c>
      <c r="D151" s="337" t="str">
        <f>wld_rwr_vc_fqdn</f>
        <v>Value Missing</v>
      </c>
      <c r="E151" s="337"/>
    </row>
    <row r="152" spans="2:5" ht="20.05" customHeight="1" x14ac:dyDescent="0.35">
      <c r="B152" s="4" t="s">
        <v>2922</v>
      </c>
      <c r="C152" s="362" t="str">
        <f>sample_wld_rwr_vc_fqdn</f>
        <v>sfo-w01-vc01.sfo.rainpole.io</v>
      </c>
      <c r="D152" s="337" t="str">
        <f>wld_rwr_vc_fqdn</f>
        <v>Value Missing</v>
      </c>
      <c r="E152" s="337"/>
    </row>
    <row r="153" spans="2:5" ht="20.05" customHeight="1" x14ac:dyDescent="0.35">
      <c r="B153" s="4" t="s">
        <v>2859</v>
      </c>
      <c r="C153" s="362" t="str">
        <f>CONCATENATE(other_instance,"-w01-vc01.",other_instance,".",sample_parent_dns_zone)</f>
        <v>lax-w01-vc01.lax.rainpole.io</v>
      </c>
      <c r="D153" s="347"/>
      <c r="E153" s="337"/>
    </row>
    <row r="154" spans="2:5" ht="20.05" customHeight="1" x14ac:dyDescent="0.35">
      <c r="B154" s="4" t="s">
        <v>78</v>
      </c>
      <c r="C154" s="362" t="s">
        <v>3234</v>
      </c>
      <c r="D154" s="337" t="str">
        <f>CONCATENATE(wld_vlr_replication_user,"@",rwr_sso_domain_name)</f>
        <v>Value Missing@Value Missing</v>
      </c>
      <c r="E154" s="337"/>
    </row>
    <row r="155" spans="2:5" ht="20.05" customHeight="1" x14ac:dyDescent="0.35">
      <c r="B155" s="4" t="s">
        <v>29</v>
      </c>
      <c r="C155" s="362" t="s">
        <v>141</v>
      </c>
      <c r="D155" s="337" t="str">
        <f>rwr_vlr_replication_password</f>
        <v>Value Missing</v>
      </c>
      <c r="E155" s="337"/>
    </row>
    <row r="156" spans="2:5" ht="20.05" customHeight="1" x14ac:dyDescent="0.35">
      <c r="B156" s="4" t="s">
        <v>2925</v>
      </c>
      <c r="C156" s="362" t="str">
        <f>sample_wld_rwr_recovery_site_vc_fqdn</f>
        <v>lax-w01-vc01.lax.rainpole.io</v>
      </c>
      <c r="D156" s="337" t="str">
        <f t="array" ref="D156">wld_rwr_recovery_site_vc_fqdn</f>
        <v>Value Missing</v>
      </c>
      <c r="E156" s="337"/>
    </row>
    <row r="157" spans="2:5" ht="20.05" customHeight="1" x14ac:dyDescent="0.4">
      <c r="B157" s="296"/>
      <c r="C157" s="142"/>
      <c r="D157" s="1"/>
    </row>
    <row r="158" spans="2:5" ht="34" customHeight="1" x14ac:dyDescent="0.35">
      <c r="B158" s="515" t="s">
        <v>3233</v>
      </c>
      <c r="C158" s="516"/>
      <c r="D158" s="516"/>
      <c r="E158" s="517"/>
    </row>
    <row r="159" spans="2:5" ht="20.05" customHeight="1" x14ac:dyDescent="0.35">
      <c r="B159" s="518"/>
      <c r="C159" s="519"/>
      <c r="D159" s="519"/>
      <c r="E159" s="520"/>
    </row>
    <row r="160" spans="2:5" ht="20.05" customHeight="1" x14ac:dyDescent="0.35">
      <c r="B160" s="346" t="s">
        <v>17</v>
      </c>
      <c r="C160" s="346" t="s">
        <v>18</v>
      </c>
      <c r="D160" s="346" t="s">
        <v>19</v>
      </c>
      <c r="E160" s="346" t="s">
        <v>20</v>
      </c>
    </row>
    <row r="161" spans="2:5" ht="20.05" customHeight="1" x14ac:dyDescent="0.4">
      <c r="B161" s="288" t="s">
        <v>3016</v>
      </c>
      <c r="C161" s="362" t="str">
        <f>sample_wld_rwr_vc_fqdn</f>
        <v>sfo-w01-vc01.sfo.rainpole.io</v>
      </c>
      <c r="D161" s="337" t="str">
        <f>wld_rwr_vc_fqdn</f>
        <v>Value Missing</v>
      </c>
      <c r="E161" s="337"/>
    </row>
    <row r="162" spans="2:5" ht="20.05" customHeight="1" x14ac:dyDescent="0.4">
      <c r="B162" s="288" t="s">
        <v>1657</v>
      </c>
      <c r="C162" s="362" t="str">
        <f>sample_wld_rwr_vc_fqdn</f>
        <v>sfo-w01-vc01.sfo.rainpole.io</v>
      </c>
      <c r="D162" s="337" t="str">
        <f>wld_rwr_vc_fqdn</f>
        <v>Value Missing</v>
      </c>
      <c r="E162" s="337"/>
    </row>
    <row r="163" spans="2:5" ht="20.05" customHeight="1" x14ac:dyDescent="0.4">
      <c r="B163" s="288" t="s">
        <v>3047</v>
      </c>
      <c r="C163" s="362" t="s">
        <v>3048</v>
      </c>
      <c r="D163" s="347"/>
      <c r="E163" s="337"/>
    </row>
    <row r="164" spans="2:5" ht="20.05" customHeight="1" x14ac:dyDescent="0.4">
      <c r="B164" s="288" t="s">
        <v>3235</v>
      </c>
      <c r="C164" s="362" t="s">
        <v>3048</v>
      </c>
      <c r="D164" s="347"/>
      <c r="E164" s="337"/>
    </row>
    <row r="166" spans="2:5" ht="32.049999999999997" customHeight="1" x14ac:dyDescent="0.35">
      <c r="B166" s="515" t="s">
        <v>3236</v>
      </c>
      <c r="C166" s="516"/>
      <c r="D166" s="516"/>
      <c r="E166" s="517"/>
    </row>
    <row r="167" spans="2:5" ht="20.05" customHeight="1" x14ac:dyDescent="0.35">
      <c r="B167" s="518"/>
      <c r="C167" s="519"/>
      <c r="D167" s="519"/>
      <c r="E167" s="520"/>
    </row>
    <row r="168" spans="2:5" ht="20.05" customHeight="1" x14ac:dyDescent="0.35">
      <c r="B168" s="346" t="s">
        <v>17</v>
      </c>
      <c r="C168" s="346" t="s">
        <v>18</v>
      </c>
      <c r="D168" s="346" t="s">
        <v>19</v>
      </c>
      <c r="E168" s="346" t="s">
        <v>20</v>
      </c>
    </row>
    <row r="169" spans="2:5" ht="20.05" customHeight="1" x14ac:dyDescent="0.35">
      <c r="B169" s="4" t="s">
        <v>3016</v>
      </c>
      <c r="C169" s="362" t="str">
        <f>sample_wld_rwr_vc_fqdn</f>
        <v>sfo-w01-vc01.sfo.rainpole.io</v>
      </c>
      <c r="D169" s="337" t="str">
        <f>wld_rwr_vc_fqdn</f>
        <v>Value Missing</v>
      </c>
      <c r="E169" s="337"/>
    </row>
    <row r="170" spans="2:5" ht="20.05" customHeight="1" x14ac:dyDescent="0.35">
      <c r="B170" s="4" t="s">
        <v>3051</v>
      </c>
      <c r="C170" s="362" t="str">
        <f>(CONCATENATE(sample_wld_vc_fqdn,"&lt;-&gt;",sample_wld_rwr_recovery_site_vc_fqdn))</f>
        <v>sfo-w01-vc01.sfo.rainpole.io&lt;-&gt;lax-w01-vc01.lax.rainpole.io</v>
      </c>
      <c r="D170" s="347"/>
      <c r="E170" s="337"/>
    </row>
    <row r="171" spans="2:5" ht="20.05" customHeight="1" x14ac:dyDescent="0.35">
      <c r="B171" s="4" t="s">
        <v>3237</v>
      </c>
      <c r="C171" s="362" t="str">
        <f>(CONCATENATE(sample_wld_rwr_cl02_vds01,"&lt;-&gt;",sample_wld_cl01_az1_mgmt_vm_pg))</f>
        <v>sfo-w01-cl01-vds01&lt;-&gt;sfo-w01-cl01-vds01-pg-vm-mgmt</v>
      </c>
      <c r="D171" s="347"/>
      <c r="E171" s="337"/>
    </row>
    <row r="172" spans="2:5" ht="20.05" customHeight="1" x14ac:dyDescent="0.35">
      <c r="B172" s="4" t="s">
        <v>3238</v>
      </c>
      <c r="C172" s="362" t="str">
        <f>_xlfn.CONCAT(other_instance,"-w01","-cl02-vds01","&lt;-&gt;",CONCATENATE(other_instance,"-w01-seg01-","rwr-ire"))</f>
        <v>lax-w01-cl02-vds01&lt;-&gt;lax-w01-seg01-rwr-ire</v>
      </c>
      <c r="D172" s="347"/>
      <c r="E172" s="337" t="s">
        <v>3239</v>
      </c>
    </row>
    <row r="173" spans="2:5" ht="20.05" customHeight="1" x14ac:dyDescent="0.35">
      <c r="B173" s="4" t="s">
        <v>3240</v>
      </c>
      <c r="C173" s="362" t="str">
        <f>(CONCATENATE(sample_wld_datacenter,"&lt;-&gt;",sample_wld_rwr_recoverysite_fd))</f>
        <v>sfo-w01-dc&lt;-&gt;sfo-w01-fd-workload</v>
      </c>
      <c r="D173" s="337" t="str">
        <f>CONCATENATE(rwr_datacenter, "&lt;-&gt;",wld_rwr_recoverysite_fd)</f>
        <v>Value Missing&lt;-&gt;Value Missing</v>
      </c>
      <c r="E173" s="337"/>
    </row>
    <row r="174" spans="2:5" ht="20.05" customHeight="1" x14ac:dyDescent="0.35">
      <c r="B174" s="4" t="s">
        <v>3241</v>
      </c>
      <c r="C174" s="362" t="str">
        <f>_xlfn.CONCAT(other_instance,"-w01","dc","&lt;-&gt;",other_instance,"-w01","-fd","-workload")</f>
        <v>lax-w01dc&lt;-&gt;lax-w01-fd-workload</v>
      </c>
      <c r="D174" s="347"/>
      <c r="E174" s="337"/>
    </row>
    <row r="175" spans="2:5" ht="20.05" customHeight="1" x14ac:dyDescent="0.35">
      <c r="B175" s="4" t="s">
        <v>3242</v>
      </c>
      <c r="C175" s="362" t="str">
        <f>(CONCATENATE(sample_rwr_datacenter,"&lt;-&gt;",sample_wld_rwr_cl02_cluster))</f>
        <v>sfo-w01-dc&lt;-&gt;sfo-w01-cl01</v>
      </c>
      <c r="D175" s="337" t="str">
        <f>CONCATENATE(rwr_datacenter, "&lt;-&gt;",wld_rwr_cl02_cluster)</f>
        <v>Value Missing&lt;-&gt;Value Missing</v>
      </c>
      <c r="E175" s="337"/>
    </row>
    <row r="176" spans="2:5" ht="20.05" customHeight="1" x14ac:dyDescent="0.35">
      <c r="B176" s="4" t="s">
        <v>3243</v>
      </c>
      <c r="C176" s="362" t="str">
        <f>_xlfn.CONCAT(other_instance,"-w01","-dc","&lt;-&gt;",other_instance,"-w01","-cl02")</f>
        <v>lax-w01-dc&lt;-&gt;lax-w01-cl02</v>
      </c>
      <c r="D176" s="347"/>
      <c r="E176" s="337"/>
    </row>
    <row r="178" spans="2:5" ht="32.049999999999997" customHeight="1" x14ac:dyDescent="0.35">
      <c r="B178" s="515" t="s">
        <v>3244</v>
      </c>
      <c r="C178" s="516"/>
      <c r="D178" s="516"/>
      <c r="E178" s="517"/>
    </row>
    <row r="179" spans="2:5" ht="20.05" customHeight="1" x14ac:dyDescent="0.35">
      <c r="B179" s="518"/>
      <c r="C179" s="519"/>
      <c r="D179" s="519"/>
      <c r="E179" s="520"/>
    </row>
    <row r="180" spans="2:5" ht="20.05" customHeight="1" x14ac:dyDescent="0.35">
      <c r="B180" s="346" t="s">
        <v>17</v>
      </c>
      <c r="C180" s="346" t="s">
        <v>18</v>
      </c>
      <c r="D180" s="346" t="s">
        <v>19</v>
      </c>
      <c r="E180" s="346" t="s">
        <v>20</v>
      </c>
    </row>
    <row r="181" spans="2:5" ht="20.05" customHeight="1" x14ac:dyDescent="0.35">
      <c r="B181" s="4" t="s">
        <v>3023</v>
      </c>
      <c r="C181" s="362" t="str">
        <f>sample_wld_vlr_fqdn</f>
        <v>sfo-w01-vlr01.sfo.rainpole.io</v>
      </c>
      <c r="D181" s="337" t="str">
        <f>CONCATENATE(wld_vlr_fqdn,"/dr")</f>
        <v>Value Missing.Value Missing/dr</v>
      </c>
      <c r="E181" s="337"/>
    </row>
    <row r="182" spans="2:5" ht="20.05" customHeight="1" x14ac:dyDescent="0.35">
      <c r="B182" s="4" t="s">
        <v>3051</v>
      </c>
      <c r="C182" s="362" t="str">
        <f>(CONCATENATE(sample_wld_vc_fqdn,"&lt;-&gt;",sample_wld_rwr_recovery_site_vc_fqdn))</f>
        <v>sfo-w01-vc01.sfo.rainpole.io&lt;-&gt;lax-w01-vc01.lax.rainpole.io</v>
      </c>
      <c r="D182" s="347"/>
      <c r="E182" s="337"/>
    </row>
    <row r="183" spans="2:5" ht="20.05" customHeight="1" x14ac:dyDescent="0.35">
      <c r="B183" s="4" t="s">
        <v>3059</v>
      </c>
      <c r="C183" s="362" t="s">
        <v>3245</v>
      </c>
      <c r="D183" s="347"/>
      <c r="E183" s="337"/>
    </row>
    <row r="184" spans="2:5" ht="20.05" customHeight="1" x14ac:dyDescent="0.35">
      <c r="B184" s="4" t="s">
        <v>3060</v>
      </c>
      <c r="C184" s="362" t="str">
        <f>CONCATENATE(other_instance,"-w01","-cl01-vsan01")</f>
        <v>lax-w01-cl01-vsan01</v>
      </c>
      <c r="D184" s="347"/>
      <c r="E184" s="337"/>
    </row>
    <row r="185" spans="2:5" ht="20.05" customHeight="1" x14ac:dyDescent="0.35">
      <c r="B185" s="4" t="s">
        <v>3061</v>
      </c>
      <c r="C185" s="362" t="s">
        <v>3246</v>
      </c>
      <c r="D185" s="347"/>
      <c r="E185" s="337" t="s">
        <v>3247</v>
      </c>
    </row>
    <row r="186" spans="2:5" ht="20.05" customHeight="1" x14ac:dyDescent="0.35">
      <c r="B186" s="4" t="s">
        <v>3248</v>
      </c>
      <c r="C186" s="362">
        <v>200</v>
      </c>
      <c r="D186" s="347"/>
      <c r="E186" s="337" t="s">
        <v>3247</v>
      </c>
    </row>
    <row r="187" spans="2:5" ht="20.05" customHeight="1" x14ac:dyDescent="0.35">
      <c r="B187" s="4" t="s">
        <v>3062</v>
      </c>
      <c r="C187" s="362" t="s">
        <v>3249</v>
      </c>
      <c r="D187" s="347"/>
      <c r="E187" s="337"/>
    </row>
    <row r="188" spans="2:5" ht="20.05" customHeight="1" x14ac:dyDescent="0.35">
      <c r="B188" s="4" t="s">
        <v>3064</v>
      </c>
      <c r="C188" s="362" t="s">
        <v>3250</v>
      </c>
      <c r="D188" s="347"/>
      <c r="E188" s="337"/>
    </row>
    <row r="190" spans="2:5" ht="32.049999999999997" customHeight="1" x14ac:dyDescent="0.35">
      <c r="B190" s="515" t="s">
        <v>3251</v>
      </c>
      <c r="C190" s="516"/>
      <c r="D190" s="516"/>
      <c r="E190" s="517"/>
    </row>
    <row r="191" spans="2:5" ht="20.05" customHeight="1" x14ac:dyDescent="0.35">
      <c r="B191" s="518"/>
      <c r="C191" s="519"/>
      <c r="D191" s="519"/>
      <c r="E191" s="520"/>
    </row>
    <row r="192" spans="2:5" ht="20.05" customHeight="1" x14ac:dyDescent="0.35">
      <c r="B192" s="346" t="s">
        <v>17</v>
      </c>
      <c r="C192" s="346" t="s">
        <v>18</v>
      </c>
      <c r="D192" s="346" t="s">
        <v>19</v>
      </c>
      <c r="E192" s="346" t="s">
        <v>20</v>
      </c>
    </row>
    <row r="193" spans="2:5" ht="20.05" customHeight="1" x14ac:dyDescent="0.35">
      <c r="B193" s="4" t="s">
        <v>3252</v>
      </c>
      <c r="C193" s="362" t="str">
        <f>sample_wld_rwr_recovery_site_vc_fqdn</f>
        <v>lax-w01-vc01.lax.rainpole.io</v>
      </c>
      <c r="D193" s="347"/>
      <c r="E193" s="337"/>
    </row>
    <row r="194" spans="2:5" ht="20.05" customHeight="1" x14ac:dyDescent="0.35">
      <c r="B194" s="4" t="s">
        <v>3253</v>
      </c>
      <c r="C194" s="362" t="str">
        <f>CONCATENATE(other_instance,"-w01-seg01-","rwr-ire")</f>
        <v>lax-w01-seg01-rwr-ire</v>
      </c>
      <c r="D194" s="347"/>
      <c r="E194" s="337"/>
    </row>
    <row r="196" spans="2:5" ht="32.049999999999997" customHeight="1" x14ac:dyDescent="0.35">
      <c r="B196" s="515" t="s">
        <v>2981</v>
      </c>
      <c r="C196" s="516"/>
      <c r="D196" s="516"/>
      <c r="E196" s="517"/>
    </row>
    <row r="198" spans="2:5" ht="32.049999999999997" customHeight="1" x14ac:dyDescent="0.35">
      <c r="B198" s="515" t="s">
        <v>3254</v>
      </c>
      <c r="C198" s="516"/>
      <c r="D198" s="516"/>
      <c r="E198" s="517"/>
    </row>
    <row r="199" spans="2:5" ht="20.05" customHeight="1" x14ac:dyDescent="0.35">
      <c r="B199" s="518"/>
      <c r="C199" s="519"/>
      <c r="D199" s="519"/>
      <c r="E199" s="520"/>
    </row>
    <row r="200" spans="2:5" ht="20.05" customHeight="1" x14ac:dyDescent="0.35">
      <c r="B200" s="346" t="s">
        <v>17</v>
      </c>
      <c r="C200" s="346" t="s">
        <v>18</v>
      </c>
      <c r="D200" s="346" t="s">
        <v>19</v>
      </c>
      <c r="E200" s="346" t="s">
        <v>20</v>
      </c>
    </row>
    <row r="201" spans="2:5" ht="20.05" customHeight="1" x14ac:dyDescent="0.35">
      <c r="B201" s="4" t="s">
        <v>3016</v>
      </c>
      <c r="C201" s="362" t="str">
        <f>sample_wld_rwr_vc_fqdn</f>
        <v>sfo-w01-vc01.sfo.rainpole.io</v>
      </c>
      <c r="D201" s="337" t="str">
        <f>wld_rwr_vc_fqdn</f>
        <v>Value Missing</v>
      </c>
      <c r="E201" s="337"/>
    </row>
    <row r="202" spans="2:5" ht="20.05" customHeight="1" x14ac:dyDescent="0.35">
      <c r="B202" s="4" t="s">
        <v>2726</v>
      </c>
      <c r="C202" s="362" t="str">
        <f>sample_rwr_sso_domain_name</f>
        <v>sfo-w01.local</v>
      </c>
      <c r="D202" s="337" t="str">
        <f>rwr_sso_domain_name</f>
        <v>Value Missing</v>
      </c>
      <c r="E202" s="337"/>
    </row>
    <row r="203" spans="2:5" ht="20.05" customHeight="1" x14ac:dyDescent="0.35">
      <c r="B203" s="4" t="s">
        <v>3255</v>
      </c>
      <c r="C203" s="362" t="str">
        <f>CONCATENATE(this_instance,"-svc-vcfops-vlsr")</f>
        <v>sfo-svc-vcfops-vlsr</v>
      </c>
      <c r="D203" s="347"/>
      <c r="E203" s="337" t="s">
        <v>3136</v>
      </c>
    </row>
    <row r="204" spans="2:5" ht="20.05" customHeight="1" x14ac:dyDescent="0.35">
      <c r="B204" s="4" t="s">
        <v>3256</v>
      </c>
      <c r="C204" s="362" t="s">
        <v>141</v>
      </c>
      <c r="D204" s="347"/>
      <c r="E204" s="337"/>
    </row>
    <row r="205" spans="2:5" ht="20.05" customHeight="1" x14ac:dyDescent="0.35">
      <c r="B205" s="4" t="s">
        <v>3018</v>
      </c>
      <c r="C205" s="362" t="str">
        <f>CONCATENATE(this_instance,"-svc-vcfops-vr")</f>
        <v>sfo-svc-vcfops-vr</v>
      </c>
      <c r="D205" s="347"/>
      <c r="E205" s="337"/>
    </row>
    <row r="206" spans="2:5" ht="20.05" customHeight="1" x14ac:dyDescent="0.35">
      <c r="B206" s="4" t="s">
        <v>3019</v>
      </c>
      <c r="C206" s="362" t="s">
        <v>141</v>
      </c>
      <c r="D206" s="347"/>
      <c r="E206" s="337"/>
    </row>
    <row r="208" spans="2:5" ht="32.049999999999997" customHeight="1" x14ac:dyDescent="0.35">
      <c r="B208" s="515" t="s">
        <v>3257</v>
      </c>
      <c r="C208" s="516"/>
      <c r="D208" s="516"/>
      <c r="E208" s="517"/>
    </row>
    <row r="209" spans="2:5" ht="20.05" customHeight="1" x14ac:dyDescent="0.35">
      <c r="B209" s="518"/>
      <c r="C209" s="519"/>
      <c r="D209" s="519"/>
      <c r="E209" s="520"/>
    </row>
    <row r="210" spans="2:5" ht="20.05" customHeight="1" x14ac:dyDescent="0.35">
      <c r="B210" s="346" t="s">
        <v>17</v>
      </c>
      <c r="C210" s="346" t="s">
        <v>18</v>
      </c>
      <c r="D210" s="346" t="s">
        <v>19</v>
      </c>
      <c r="E210" s="346" t="s">
        <v>20</v>
      </c>
    </row>
    <row r="211" spans="2:5" ht="20.05" customHeight="1" x14ac:dyDescent="0.35">
      <c r="B211" s="4" t="s">
        <v>3016</v>
      </c>
      <c r="C211" s="362" t="str">
        <f>sample_wld_rwr_vc_fqdn</f>
        <v>sfo-w01-vc01.sfo.rainpole.io</v>
      </c>
      <c r="D211" s="337" t="str">
        <f>wld_rwr_vc_fqdn</f>
        <v>Value Missing</v>
      </c>
      <c r="E211" s="337"/>
    </row>
    <row r="212" spans="2:5" ht="20.05" customHeight="1" x14ac:dyDescent="0.35">
      <c r="B212" s="4" t="s">
        <v>2726</v>
      </c>
      <c r="C212" s="362" t="str">
        <f>sample_rwr_sso_domain_name</f>
        <v>sfo-w01.local</v>
      </c>
      <c r="D212" s="337" t="str">
        <f>rwr_sso_domain_name</f>
        <v>Value Missing</v>
      </c>
      <c r="E212" s="337"/>
    </row>
    <row r="213" spans="2:5" ht="20.05" customHeight="1" x14ac:dyDescent="0.35">
      <c r="B213" s="4" t="s">
        <v>3258</v>
      </c>
      <c r="C213" s="362" t="s">
        <v>3136</v>
      </c>
      <c r="D213" s="347"/>
      <c r="E213" s="337"/>
    </row>
    <row r="214" spans="2:5" ht="20.05" customHeight="1" x14ac:dyDescent="0.35">
      <c r="B214" s="4" t="s">
        <v>3259</v>
      </c>
      <c r="C214" s="362" t="s">
        <v>3144</v>
      </c>
      <c r="D214" s="347"/>
      <c r="E214" s="337"/>
    </row>
    <row r="215" spans="2:5" ht="20.05" customHeight="1" x14ac:dyDescent="0.35">
      <c r="B215" s="4" t="s">
        <v>3260</v>
      </c>
      <c r="C215" s="362" t="s">
        <v>3139</v>
      </c>
      <c r="D215" s="347"/>
      <c r="E215" s="337"/>
    </row>
    <row r="216" spans="2:5" ht="20.05" customHeight="1" x14ac:dyDescent="0.35">
      <c r="B216" s="4" t="s">
        <v>3261</v>
      </c>
      <c r="C216" s="362" t="s">
        <v>3147</v>
      </c>
      <c r="D216" s="347"/>
      <c r="E216" s="337"/>
    </row>
    <row r="218" spans="2:5" ht="32.049999999999997" customHeight="1" x14ac:dyDescent="0.35">
      <c r="B218" s="515" t="s">
        <v>3262</v>
      </c>
      <c r="C218" s="516"/>
      <c r="D218" s="516"/>
      <c r="E218" s="517"/>
    </row>
    <row r="219" spans="2:5" ht="20.05" customHeight="1" x14ac:dyDescent="0.35">
      <c r="B219" s="518"/>
      <c r="C219" s="519"/>
      <c r="D219" s="519"/>
      <c r="E219" s="520"/>
    </row>
    <row r="220" spans="2:5" ht="20.05" customHeight="1" x14ac:dyDescent="0.35">
      <c r="B220" s="346" t="s">
        <v>17</v>
      </c>
      <c r="C220" s="346" t="s">
        <v>18</v>
      </c>
      <c r="D220" s="346" t="s">
        <v>19</v>
      </c>
      <c r="E220" s="346" t="s">
        <v>20</v>
      </c>
    </row>
    <row r="221" spans="2:5" ht="20.05" customHeight="1" x14ac:dyDescent="0.35">
      <c r="B221" s="4" t="s">
        <v>2997</v>
      </c>
      <c r="C221" s="362" t="str">
        <f>sample_xreg_vrops_virtual_fqdn</f>
        <v>flt-ops01.rainpole.io</v>
      </c>
      <c r="D221" s="347"/>
      <c r="E221" s="337"/>
    </row>
    <row r="222" spans="2:5" ht="20.05" customHeight="1" x14ac:dyDescent="0.35">
      <c r="B222" s="4" t="s">
        <v>3263</v>
      </c>
      <c r="C222" s="362" t="s">
        <v>3151</v>
      </c>
      <c r="D222" s="347"/>
      <c r="E222" s="337"/>
    </row>
    <row r="223" spans="2:5" x14ac:dyDescent="0.35">
      <c r="D223" s="1"/>
    </row>
    <row r="224" spans="2:5" ht="32.049999999999997" customHeight="1" x14ac:dyDescent="0.35">
      <c r="B224" s="515" t="s">
        <v>3264</v>
      </c>
      <c r="C224" s="516"/>
      <c r="D224" s="516"/>
      <c r="E224" s="517"/>
    </row>
    <row r="225" spans="2:5" ht="20.05" customHeight="1" x14ac:dyDescent="0.35">
      <c r="B225" s="518"/>
      <c r="C225" s="519"/>
      <c r="D225" s="519"/>
      <c r="E225" s="520"/>
    </row>
    <row r="226" spans="2:5" ht="20.05" customHeight="1" x14ac:dyDescent="0.35">
      <c r="B226" s="346" t="s">
        <v>17</v>
      </c>
      <c r="C226" s="346" t="s">
        <v>18</v>
      </c>
      <c r="D226" s="346" t="s">
        <v>19</v>
      </c>
      <c r="E226" s="346" t="s">
        <v>20</v>
      </c>
    </row>
    <row r="227" spans="2:5" ht="20.05" customHeight="1" x14ac:dyDescent="0.35">
      <c r="B227" s="4" t="s">
        <v>2997</v>
      </c>
      <c r="C227" s="362" t="str">
        <f>sample_xreg_vrops_virtual_fqdn</f>
        <v>flt-ops01.rainpole.io</v>
      </c>
      <c r="D227" s="347"/>
      <c r="E227" s="337"/>
    </row>
    <row r="228" spans="2:5" ht="20.05" customHeight="1" x14ac:dyDescent="0.35">
      <c r="B228" s="4" t="s">
        <v>261</v>
      </c>
      <c r="C228" s="362" t="str">
        <f>CONCATENATE(sample_wld_sddc_domain,"-vlsr")</f>
        <v>sfo-w01-vlsr</v>
      </c>
      <c r="D228" s="347"/>
      <c r="E228" s="337"/>
    </row>
    <row r="229" spans="2:5" ht="20.05" customHeight="1" x14ac:dyDescent="0.35">
      <c r="B229" s="4" t="s">
        <v>3265</v>
      </c>
      <c r="C229" s="362" t="str">
        <f>sample_wld_vlr_fqdn</f>
        <v>sfo-w01-vlr01.sfo.rainpole.io</v>
      </c>
      <c r="D229" s="347"/>
      <c r="E229" s="337"/>
    </row>
    <row r="230" spans="2:5" ht="20.05" customHeight="1" x14ac:dyDescent="0.35">
      <c r="B230" s="4" t="s">
        <v>3266</v>
      </c>
      <c r="C230" s="362">
        <v>443</v>
      </c>
      <c r="D230" s="347"/>
      <c r="E230" s="337"/>
    </row>
    <row r="231" spans="2:5" ht="20.05" customHeight="1" x14ac:dyDescent="0.35">
      <c r="B231" s="4" t="s">
        <v>3267</v>
      </c>
      <c r="C231" s="362" t="str">
        <f>sample_wld_rwr_vcfops_vlsr_username</f>
        <v>sfo-svc-vcfops-vlsr</v>
      </c>
      <c r="D231" s="337" t="str">
        <f>CONCATENATE(wld_rwr_vcfops_vlsr_username,"-cred")</f>
        <v>Value Missing-cred</v>
      </c>
      <c r="E231" s="337"/>
    </row>
    <row r="232" spans="2:5" ht="20.05" customHeight="1" x14ac:dyDescent="0.35">
      <c r="B232" s="4" t="s">
        <v>78</v>
      </c>
      <c r="C232" s="362" t="str">
        <f>CONCATENATE(sample_wld_rwr_vcfops_vlsr_username,"@",this_instance,"-w01.local")</f>
        <v>sfo-svc-vcfops-vlsr@sfo-w01.local</v>
      </c>
      <c r="D232" s="347"/>
      <c r="E232" s="337"/>
    </row>
    <row r="233" spans="2:5" ht="20.05" customHeight="1" x14ac:dyDescent="0.35">
      <c r="B233" s="4" t="s">
        <v>29</v>
      </c>
      <c r="C233" s="362" t="s">
        <v>141</v>
      </c>
      <c r="D233" s="347"/>
      <c r="E233" s="337"/>
    </row>
    <row r="234" spans="2:5" ht="20.05" customHeight="1" x14ac:dyDescent="0.35">
      <c r="B234" s="4" t="s">
        <v>3268</v>
      </c>
      <c r="C234" s="362" t="str">
        <f>CONCATENATE(sample_xreg_vrops_collector_fqdn, " or ", this_instance,"-m01-collector-group")</f>
        <v>sfo-cp01.sfo.rainpole.io or sfo-m01-collector-group</v>
      </c>
      <c r="D234" s="347"/>
      <c r="E234" s="337"/>
    </row>
    <row r="236" spans="2:5" ht="32.049999999999997" customHeight="1" x14ac:dyDescent="0.35">
      <c r="B236" s="515" t="s">
        <v>3269</v>
      </c>
      <c r="C236" s="516"/>
      <c r="D236" s="516"/>
      <c r="E236" s="517"/>
    </row>
    <row r="237" spans="2:5" ht="20.05" customHeight="1" x14ac:dyDescent="0.35">
      <c r="B237" s="518"/>
      <c r="C237" s="519"/>
      <c r="D237" s="519"/>
      <c r="E237" s="520"/>
    </row>
    <row r="238" spans="2:5" ht="20.05" customHeight="1" x14ac:dyDescent="0.35">
      <c r="B238" s="346" t="s">
        <v>17</v>
      </c>
      <c r="C238" s="346" t="s">
        <v>18</v>
      </c>
      <c r="D238" s="346" t="s">
        <v>19</v>
      </c>
      <c r="E238" s="346" t="s">
        <v>20</v>
      </c>
    </row>
    <row r="239" spans="2:5" ht="20.05" customHeight="1" x14ac:dyDescent="0.35">
      <c r="B239" s="4" t="s">
        <v>2997</v>
      </c>
      <c r="C239" s="362" t="str">
        <f>sample_xreg_vrops_virtual_fqdn</f>
        <v>flt-ops01.rainpole.io</v>
      </c>
      <c r="D239" s="347"/>
      <c r="E239" s="337"/>
    </row>
    <row r="240" spans="2:5" ht="20.05" customHeight="1" x14ac:dyDescent="0.35">
      <c r="B240" s="4" t="s">
        <v>261</v>
      </c>
      <c r="C240" s="362" t="str">
        <f>CONCATENATE(sample_wld_sddc_domain,"-vr")</f>
        <v>sfo-w01-vr</v>
      </c>
      <c r="D240" s="347"/>
      <c r="E240" s="337"/>
    </row>
    <row r="241" spans="2:5" ht="20.05" customHeight="1" x14ac:dyDescent="0.35">
      <c r="B241" s="4" t="s">
        <v>3270</v>
      </c>
      <c r="C241" s="362" t="str">
        <f>sample_wld_vc_fqdn</f>
        <v>sfo-w01-vc01.sfo.rainpole.io</v>
      </c>
      <c r="D241" s="347"/>
      <c r="E241" s="337"/>
    </row>
    <row r="242" spans="2:5" ht="20.05" customHeight="1" x14ac:dyDescent="0.35">
      <c r="B242" s="4" t="s">
        <v>3267</v>
      </c>
      <c r="C242" s="362" t="str">
        <f>sample_wld_rwr_vcfops_vr_username</f>
        <v>sfo-svc-vcfops-vr</v>
      </c>
      <c r="D242" s="337" t="str">
        <f>CONCATENATE(wld_rwr_vcfops_vr_username,"-cred")</f>
        <v>Value Missing-cred</v>
      </c>
      <c r="E242" s="337"/>
    </row>
    <row r="243" spans="2:5" ht="20.05" customHeight="1" x14ac:dyDescent="0.35">
      <c r="B243" s="4" t="s">
        <v>78</v>
      </c>
      <c r="C243" s="362" t="str">
        <f>CONCATENATE(sample_wld_rwr_vcfops_vr_username,,"@",this_instance,"-w01.local")</f>
        <v>sfo-svc-vcfops-vr@sfo-w01.local</v>
      </c>
      <c r="D243" s="347"/>
      <c r="E243" s="337"/>
    </row>
    <row r="244" spans="2:5" ht="20.05" customHeight="1" x14ac:dyDescent="0.35">
      <c r="B244" s="4" t="s">
        <v>29</v>
      </c>
      <c r="C244" s="362" t="s">
        <v>141</v>
      </c>
      <c r="D244" s="347"/>
      <c r="E244" s="337"/>
    </row>
    <row r="245" spans="2:5" ht="20.05" customHeight="1" x14ac:dyDescent="0.35">
      <c r="B245" s="4" t="s">
        <v>3268</v>
      </c>
      <c r="C245" s="362" t="str">
        <f>CONCATENATE(sample_xreg_vrops_collector_fqdn, " or ", this_instance,"-m01-collector-group")</f>
        <v>sfo-cp01.sfo.rainpole.io or sfo-m01-collector-group</v>
      </c>
      <c r="D245" s="347"/>
      <c r="E245" s="337"/>
    </row>
    <row r="247" spans="2:5" ht="32.049999999999997" customHeight="1" x14ac:dyDescent="0.35">
      <c r="B247" s="515" t="s">
        <v>3271</v>
      </c>
      <c r="C247" s="516"/>
      <c r="D247" s="516"/>
      <c r="E247" s="517"/>
    </row>
    <row r="248" spans="2:5" ht="20.05" customHeight="1" x14ac:dyDescent="0.35">
      <c r="B248" s="518"/>
      <c r="C248" s="519"/>
      <c r="D248" s="519"/>
      <c r="E248" s="520"/>
    </row>
    <row r="249" spans="2:5" ht="20.05" customHeight="1" x14ac:dyDescent="0.35">
      <c r="B249" s="346" t="s">
        <v>17</v>
      </c>
      <c r="C249" s="346" t="s">
        <v>18</v>
      </c>
      <c r="D249" s="346" t="s">
        <v>19</v>
      </c>
      <c r="E249" s="346" t="s">
        <v>20</v>
      </c>
    </row>
    <row r="250" spans="2:5" ht="20.05" customHeight="1" x14ac:dyDescent="0.35">
      <c r="B250" s="4" t="s">
        <v>2997</v>
      </c>
      <c r="C250" s="362" t="str">
        <f>sample_xreg_vrops_virtual_fqdn</f>
        <v>flt-ops01.rainpole.io</v>
      </c>
      <c r="D250" s="347"/>
      <c r="E250" s="337"/>
    </row>
  </sheetData>
  <sheetProtection algorithmName="SHA-512" hashValue="66XVo52oYYPhMk5ahMj9dyw3dvvdI8QV4Sy9wXIOaG6FQ8GYXhYBEZu4OVLw4UBQzLfl8yirU0J9EwkQTwB6kQ==" saltValue="kQ0PwX0qJTNeYFF61mtHOA==" spinCount="100000" sheet="1" selectLockedCells="1"/>
  <mergeCells count="50">
    <mergeCell ref="B248:E248"/>
    <mergeCell ref="B198:E198"/>
    <mergeCell ref="B199:E199"/>
    <mergeCell ref="B208:E208"/>
    <mergeCell ref="B209:E209"/>
    <mergeCell ref="B218:E218"/>
    <mergeCell ref="B219:E219"/>
    <mergeCell ref="B224:E224"/>
    <mergeCell ref="B225:E225"/>
    <mergeCell ref="B236:E236"/>
    <mergeCell ref="B237:E237"/>
    <mergeCell ref="B247:E247"/>
    <mergeCell ref="B196:E196"/>
    <mergeCell ref="B146:E146"/>
    <mergeCell ref="B148:E148"/>
    <mergeCell ref="B149:E149"/>
    <mergeCell ref="B166:E166"/>
    <mergeCell ref="B167:E167"/>
    <mergeCell ref="B178:E178"/>
    <mergeCell ref="B179:E179"/>
    <mergeCell ref="B190:E190"/>
    <mergeCell ref="B191:E191"/>
    <mergeCell ref="B158:E158"/>
    <mergeCell ref="B159:E159"/>
    <mergeCell ref="B140:E140"/>
    <mergeCell ref="B66:E66"/>
    <mergeCell ref="B67:E67"/>
    <mergeCell ref="B74:E74"/>
    <mergeCell ref="B75:E75"/>
    <mergeCell ref="B93:E93"/>
    <mergeCell ref="B94:E94"/>
    <mergeCell ref="B115:E115"/>
    <mergeCell ref="B116:E116"/>
    <mergeCell ref="B139:E139"/>
    <mergeCell ref="B124:E124"/>
    <mergeCell ref="B128:E128"/>
    <mergeCell ref="B133:E133"/>
    <mergeCell ref="B119:E119"/>
    <mergeCell ref="B55:E55"/>
    <mergeCell ref="B2:E2"/>
    <mergeCell ref="B3:E3"/>
    <mergeCell ref="B7:E7"/>
    <mergeCell ref="B26:E26"/>
    <mergeCell ref="B27:E27"/>
    <mergeCell ref="B6:E6"/>
    <mergeCell ref="B39:E39"/>
    <mergeCell ref="B40:E40"/>
    <mergeCell ref="B54:E54"/>
    <mergeCell ref="B47:E47"/>
    <mergeCell ref="B48:E48"/>
  </mergeCells>
  <conditionalFormatting sqref="D9:D24">
    <cfRule type="notContainsBlanks" dxfId="345" priority="31">
      <formula>LEN(TRIM(D9))&gt;0</formula>
    </cfRule>
    <cfRule type="containsBlanks" dxfId="344" priority="32">
      <formula>LEN(TRIM(D9))=0</formula>
    </cfRule>
  </conditionalFormatting>
  <conditionalFormatting sqref="D29:D37">
    <cfRule type="notContainsBlanks" dxfId="342" priority="34">
      <formula>LEN(TRIM(D29))&gt;0</formula>
    </cfRule>
    <cfRule type="containsBlanks" dxfId="341" priority="35">
      <formula>LEN(TRIM(D29))=0</formula>
    </cfRule>
  </conditionalFormatting>
  <conditionalFormatting sqref="D42:D45">
    <cfRule type="notContainsBlanks" dxfId="340" priority="37">
      <formula>LEN(TRIM(D42))&gt;0</formula>
    </cfRule>
    <cfRule type="containsBlanks" dxfId="339" priority="38">
      <formula>LEN(TRIM(D42))=0</formula>
    </cfRule>
  </conditionalFormatting>
  <conditionalFormatting sqref="D50:D52">
    <cfRule type="notContainsBlanks" dxfId="336" priority="2">
      <formula>LEN(TRIM(D50))&gt;0</formula>
    </cfRule>
    <cfRule type="containsBlanks" dxfId="335" priority="3">
      <formula>LEN(TRIM(D50))=0</formula>
    </cfRule>
  </conditionalFormatting>
  <conditionalFormatting sqref="D57:D64">
    <cfRule type="containsBlanks" dxfId="334" priority="44">
      <formula>LEN(TRIM(D57))=0</formula>
    </cfRule>
    <cfRule type="notContainsBlanks" dxfId="333" priority="43">
      <formula>LEN(TRIM(D57))&gt;0</formula>
    </cfRule>
  </conditionalFormatting>
  <conditionalFormatting sqref="D69:D72">
    <cfRule type="containsBlanks" dxfId="331" priority="50">
      <formula>LEN(TRIM(D69))=0</formula>
    </cfRule>
    <cfRule type="notContainsBlanks" dxfId="330" priority="49">
      <formula>LEN(TRIM(D69))&gt;0</formula>
    </cfRule>
  </conditionalFormatting>
  <conditionalFormatting sqref="D77:D91">
    <cfRule type="containsBlanks" dxfId="328" priority="53">
      <formula>LEN(TRIM(D77))=0</formula>
    </cfRule>
    <cfRule type="notContainsBlanks" dxfId="327" priority="52">
      <formula>LEN(TRIM(D77))&gt;0</formula>
    </cfRule>
  </conditionalFormatting>
  <conditionalFormatting sqref="D96:D113">
    <cfRule type="containsBlanks" dxfId="325" priority="56">
      <formula>LEN(TRIM(D96))=0</formula>
    </cfRule>
    <cfRule type="notContainsBlanks" dxfId="324" priority="55">
      <formula>LEN(TRIM(D96))&gt;0</formula>
    </cfRule>
  </conditionalFormatting>
  <conditionalFormatting sqref="D118 D120:D123 D125:D132 D134:D137">
    <cfRule type="notContainsBlanks" dxfId="322" priority="58">
      <formula>LEN(TRIM(D118))&gt;0</formula>
    </cfRule>
    <cfRule type="expression" dxfId="320" priority="9">
      <formula>mgmt_domain_chosen="First Instance"</formula>
    </cfRule>
    <cfRule type="containsBlanks" dxfId="319" priority="59">
      <formula>LEN(TRIM(D118))=0</formula>
    </cfRule>
  </conditionalFormatting>
  <conditionalFormatting sqref="D142:D144">
    <cfRule type="notContainsBlanks" dxfId="317" priority="62">
      <formula>LEN(TRIM(D142))&gt;0</formula>
    </cfRule>
    <cfRule type="containsBlanks" dxfId="316" priority="63">
      <formula>LEN(TRIM(D142))=0</formula>
    </cfRule>
  </conditionalFormatting>
  <conditionalFormatting sqref="D151:D157 D161:D164 D169:D176 D181:D188 D193:D194 D221:D222 D250">
    <cfRule type="containsBlanks" dxfId="315" priority="133">
      <formula>LEN(TRIM(D151))=0</formula>
    </cfRule>
    <cfRule type="notContainsBlanks" dxfId="314" priority="130" stopIfTrue="1">
      <formula>LEN(TRIM(D151))&gt;0</formula>
    </cfRule>
  </conditionalFormatting>
  <conditionalFormatting sqref="D151:D157 D163:D164">
    <cfRule type="expression" dxfId="313" priority="132">
      <formula>mgmt_domain_chosen="Additional Instance"</formula>
    </cfRule>
  </conditionalFormatting>
  <conditionalFormatting sqref="D151:D157">
    <cfRule type="expression" dxfId="312" priority="10">
      <formula>mgmt_domain_chosen="Additional Instance"</formula>
    </cfRule>
  </conditionalFormatting>
  <conditionalFormatting sqref="D161:D164">
    <cfRule type="expression" dxfId="311" priority="7">
      <formula>mgmt_domain_chosen="Additional Instance"</formula>
    </cfRule>
  </conditionalFormatting>
  <conditionalFormatting sqref="D169:D176">
    <cfRule type="expression" dxfId="310" priority="12">
      <formula>mgmt_domain_chosen="Additional Instance"</formula>
    </cfRule>
    <cfRule type="expression" dxfId="309" priority="131">
      <formula>mgmt_domain_chosen="Additional Instance"</formula>
    </cfRule>
  </conditionalFormatting>
  <conditionalFormatting sqref="D181:D188">
    <cfRule type="expression" dxfId="308" priority="13">
      <formula>mgmt_domain_chosen="Additional Instance"</formula>
    </cfRule>
  </conditionalFormatting>
  <conditionalFormatting sqref="D193:D194">
    <cfRule type="expression" dxfId="306" priority="128">
      <formula>mgmt_domain_chosen="Additional Instance"</formula>
    </cfRule>
  </conditionalFormatting>
  <conditionalFormatting sqref="D201:D206">
    <cfRule type="containsBlanks" dxfId="305" priority="29">
      <formula>LEN(TRIM(D201))=0</formula>
    </cfRule>
    <cfRule type="notContainsBlanks" dxfId="304" priority="28">
      <formula>LEN(TRIM(D201))&gt;0</formula>
    </cfRule>
  </conditionalFormatting>
  <conditionalFormatting sqref="D211:D216">
    <cfRule type="containsBlanks" dxfId="301" priority="26">
      <formula>LEN(TRIM(D211))=0</formula>
    </cfRule>
    <cfRule type="notContainsBlanks" dxfId="300" priority="25">
      <formula>LEN(TRIM(D211))&gt;0</formula>
    </cfRule>
  </conditionalFormatting>
  <conditionalFormatting sqref="D221:D222">
    <cfRule type="expression" dxfId="299" priority="127">
      <formula>mgmt_domain_chosen="Additional Instance"</formula>
    </cfRule>
  </conditionalFormatting>
  <conditionalFormatting sqref="D227:D234">
    <cfRule type="containsBlanks" dxfId="298" priority="6">
      <formula>LEN(TRIM(D227))=0</formula>
    </cfRule>
    <cfRule type="notContainsBlanks" dxfId="297" priority="5">
      <formula>LEN(TRIM(D227))&gt;0</formula>
    </cfRule>
  </conditionalFormatting>
  <conditionalFormatting sqref="D239:D245">
    <cfRule type="containsBlanks" dxfId="295" priority="20">
      <formula>LEN(TRIM(D239))=0</formula>
    </cfRule>
    <cfRule type="notContainsBlanks" dxfId="294" priority="19">
      <formula>LEN(TRIM(D239))&gt;0</formula>
    </cfRule>
  </conditionalFormatting>
  <conditionalFormatting sqref="D250">
    <cfRule type="expression" dxfId="292" priority="126">
      <formula>mgmt_domain_chosen="Additional Instance"</formula>
    </cfRule>
  </conditionalFormatting>
  <dataValidations disablePrompts="1" count="1">
    <dataValidation type="list" allowBlank="1" showInputMessage="1" showErrorMessage="1" sqref="D82" xr:uid="{6CDA052B-62E9-EF47-8599-9388FCE1F003}">
      <formula1>table_masks</formula1>
    </dataValidation>
  </dataValidations>
  <pageMargins left="0.7" right="0.7" top="0.75" bottom="0.75" header="0.3" footer="0.3"/>
  <pageSetup paperSize="9" orientation="portrait" horizontalDpi="0" verticalDpi="0"/>
  <ignoredErrors>
    <ignoredError sqref="C11"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30" stopIfTrue="1" operator="containsText" id="{13ECAD23-29B0-8A42-868F-CA68677BF949}">
            <xm:f>NOT(ISERROR(SEARCH("Value Missing",D9)))</xm:f>
            <xm:f>"Value Missing"</xm:f>
            <x14:dxf>
              <font>
                <color rgb="FF0E223A"/>
              </font>
              <fill>
                <patternFill>
                  <bgColor rgb="FFFFBE29"/>
                </patternFill>
              </fill>
            </x14:dxf>
          </x14:cfRule>
          <xm:sqref>D9:D24</xm:sqref>
        </x14:conditionalFormatting>
        <x14:conditionalFormatting xmlns:xm="http://schemas.microsoft.com/office/excel/2006/main">
          <x14:cfRule type="containsText" priority="33" stopIfTrue="1" operator="containsText" id="{A12E9C80-0E23-4F46-A9A4-14193C5C64E8}">
            <xm:f>NOT(ISERROR(SEARCH("Value Missing",D29)))</xm:f>
            <xm:f>"Value Missing"</xm:f>
            <x14:dxf>
              <font>
                <color rgb="FF0E223A"/>
              </font>
              <fill>
                <patternFill>
                  <bgColor rgb="FFFFBE29"/>
                </patternFill>
              </fill>
            </x14:dxf>
          </x14:cfRule>
          <xm:sqref>D29:D37</xm:sqref>
        </x14:conditionalFormatting>
        <x14:conditionalFormatting xmlns:xm="http://schemas.microsoft.com/office/excel/2006/main">
          <x14:cfRule type="containsText" priority="36" stopIfTrue="1" operator="containsText" id="{EA44BEF0-3CA7-5F43-9E1D-F82EFFD7B038}">
            <xm:f>NOT(ISERROR(SEARCH("Value Missing",D42)))</xm:f>
            <xm:f>"Value Missing"</xm:f>
            <x14:dxf>
              <font>
                <color rgb="FF0E223A"/>
              </font>
              <fill>
                <patternFill>
                  <bgColor rgb="FFFFBE29"/>
                </patternFill>
              </fill>
            </x14:dxf>
          </x14:cfRule>
          <xm:sqref>D42:D45</xm:sqref>
        </x14:conditionalFormatting>
        <x14:conditionalFormatting xmlns:xm="http://schemas.microsoft.com/office/excel/2006/main">
          <x14:cfRule type="containsText" priority="1" stopIfTrue="1" operator="containsText" id="{C7BDD265-68EB-004C-978A-74D28F73BBD0}">
            <xm:f>NOT(ISERROR(SEARCH("Value Missing",D50)))</xm:f>
            <xm:f>"Value Missing"</xm:f>
            <x14:dxf>
              <font>
                <color rgb="FF0E223A"/>
              </font>
              <fill>
                <patternFill>
                  <bgColor rgb="FFFFBE29"/>
                </patternFill>
              </fill>
            </x14:dxf>
          </x14:cfRule>
          <xm:sqref>D50:D52</xm:sqref>
        </x14:conditionalFormatting>
        <x14:conditionalFormatting xmlns:xm="http://schemas.microsoft.com/office/excel/2006/main">
          <x14:cfRule type="containsText" priority="42" stopIfTrue="1" operator="containsText" id="{5AF86E66-3787-E241-95DE-9BA4D23F08A4}">
            <xm:f>NOT(ISERROR(SEARCH("Value Missing",D57)))</xm:f>
            <xm:f>"Value Missing"</xm:f>
            <x14:dxf>
              <font>
                <color rgb="FF0E223A"/>
              </font>
              <fill>
                <patternFill>
                  <bgColor rgb="FFFFBE29"/>
                </patternFill>
              </fill>
            </x14:dxf>
          </x14:cfRule>
          <xm:sqref>D57:D64</xm:sqref>
        </x14:conditionalFormatting>
        <x14:conditionalFormatting xmlns:xm="http://schemas.microsoft.com/office/excel/2006/main">
          <x14:cfRule type="containsText" priority="48" stopIfTrue="1" operator="containsText" id="{88B2E574-C103-4B45-9F52-9ACBBD89BF4A}">
            <xm:f>NOT(ISERROR(SEARCH("Value Missing",D69)))</xm:f>
            <xm:f>"Value Missing"</xm:f>
            <x14:dxf>
              <font>
                <color rgb="FF0E223A"/>
              </font>
              <fill>
                <patternFill>
                  <bgColor rgb="FFFFBE29"/>
                </patternFill>
              </fill>
            </x14:dxf>
          </x14:cfRule>
          <xm:sqref>D69:D72</xm:sqref>
        </x14:conditionalFormatting>
        <x14:conditionalFormatting xmlns:xm="http://schemas.microsoft.com/office/excel/2006/main">
          <x14:cfRule type="containsText" priority="51" stopIfTrue="1" operator="containsText" id="{817B5E16-3719-2D40-A79F-AF1F7E3F6E02}">
            <xm:f>NOT(ISERROR(SEARCH("Value Missing",D77)))</xm:f>
            <xm:f>"Value Missing"</xm:f>
            <x14:dxf>
              <font>
                <color rgb="FF0E223A"/>
              </font>
              <fill>
                <patternFill>
                  <bgColor rgb="FFFFBE29"/>
                </patternFill>
              </fill>
            </x14:dxf>
          </x14:cfRule>
          <xm:sqref>D77:D91</xm:sqref>
        </x14:conditionalFormatting>
        <x14:conditionalFormatting xmlns:xm="http://schemas.microsoft.com/office/excel/2006/main">
          <x14:cfRule type="containsText" priority="54" stopIfTrue="1" operator="containsText" id="{23A67814-CD7D-6C4B-80CC-F580F162848C}">
            <xm:f>NOT(ISERROR(SEARCH("Value Missing",D96)))</xm:f>
            <xm:f>"Value Missing"</xm:f>
            <x14:dxf>
              <font>
                <color rgb="FF0E223A"/>
              </font>
              <fill>
                <patternFill>
                  <bgColor rgb="FFFFBE29"/>
                </patternFill>
              </fill>
            </x14:dxf>
          </x14:cfRule>
          <xm:sqref>D96:D113</xm:sqref>
        </x14:conditionalFormatting>
        <x14:conditionalFormatting xmlns:xm="http://schemas.microsoft.com/office/excel/2006/main">
          <x14:cfRule type="containsText" priority="57" stopIfTrue="1" operator="containsText" id="{D02DDA07-3A75-2F43-BD3C-4CDCBB27E031}">
            <xm:f>NOT(ISERROR(SEARCH("Value Missing",D118)))</xm:f>
            <xm:f>"Value Missing"</xm:f>
            <x14:dxf>
              <font>
                <color rgb="FF0E223A"/>
              </font>
              <fill>
                <patternFill>
                  <bgColor rgb="FFFFBE29"/>
                </patternFill>
              </fill>
            </x14:dxf>
          </x14:cfRule>
          <xm:sqref>D118 D120:D123 D125:D132 D134:D137</xm:sqref>
        </x14:conditionalFormatting>
        <x14:conditionalFormatting xmlns:xm="http://schemas.microsoft.com/office/excel/2006/main">
          <x14:cfRule type="containsText" priority="61" stopIfTrue="1" operator="containsText" id="{1EE8AE01-EB8D-FC4D-98D2-CF825CB44F23}">
            <xm:f>NOT(ISERROR(SEARCH("Value Missing",D142)))</xm:f>
            <xm:f>"Value Missing"</xm:f>
            <x14:dxf>
              <font>
                <color rgb="FF0E223A"/>
              </font>
              <fill>
                <patternFill>
                  <bgColor rgb="FFFFBE29"/>
                </patternFill>
              </fill>
            </x14:dxf>
          </x14:cfRule>
          <xm:sqref>D142:D144</xm:sqref>
        </x14:conditionalFormatting>
        <x14:conditionalFormatting xmlns:xm="http://schemas.microsoft.com/office/excel/2006/main">
          <x14:cfRule type="containsText" priority="129" operator="containsText" id="{759137D1-9F92-FB4F-80CB-2E4CA65B794D}">
            <xm:f>NOT(ISERROR(SEARCH("Value Missing",D151)))</xm:f>
            <xm:f>"Value Missing"</xm:f>
            <x14:dxf>
              <font>
                <color theme="1"/>
              </font>
              <fill>
                <patternFill>
                  <bgColor rgb="FFFFC000"/>
                </patternFill>
              </fill>
            </x14:dxf>
          </x14:cfRule>
          <xm:sqref>D193:D194 D221:D222 D250 D181:D188 D169:D176 D151:D157 D161:D164</xm:sqref>
        </x14:conditionalFormatting>
        <x14:conditionalFormatting xmlns:xm="http://schemas.microsoft.com/office/excel/2006/main">
          <x14:cfRule type="containsText" priority="27" stopIfTrue="1" operator="containsText" id="{34CB23E1-94BB-3745-B643-323426913C8C}">
            <xm:f>NOT(ISERROR(SEARCH("Value Missing",D201)))</xm:f>
            <xm:f>"Value Missing"</xm:f>
            <x14:dxf>
              <font>
                <color rgb="FF0E223A"/>
              </font>
              <fill>
                <patternFill>
                  <bgColor rgb="FFFFBE29"/>
                </patternFill>
              </fill>
            </x14:dxf>
          </x14:cfRule>
          <xm:sqref>D201:D206</xm:sqref>
        </x14:conditionalFormatting>
        <x14:conditionalFormatting xmlns:xm="http://schemas.microsoft.com/office/excel/2006/main">
          <x14:cfRule type="containsText" priority="24" stopIfTrue="1" operator="containsText" id="{8446AB7E-F170-134D-A743-1BFC4F138545}">
            <xm:f>NOT(ISERROR(SEARCH("Value Missing",D211)))</xm:f>
            <xm:f>"Value Missing"</xm:f>
            <x14:dxf>
              <font>
                <color rgb="FF0E223A"/>
              </font>
              <fill>
                <patternFill>
                  <bgColor rgb="FFFFBE29"/>
                </patternFill>
              </fill>
            </x14:dxf>
          </x14:cfRule>
          <xm:sqref>D211:D216</xm:sqref>
        </x14:conditionalFormatting>
        <x14:conditionalFormatting xmlns:xm="http://schemas.microsoft.com/office/excel/2006/main">
          <x14:cfRule type="containsText" priority="4" stopIfTrue="1" operator="containsText" id="{6B7DFE55-98DD-5F46-9767-218528490840}">
            <xm:f>NOT(ISERROR(SEARCH("Value Missing",D227)))</xm:f>
            <xm:f>"Value Missing"</xm:f>
            <x14:dxf>
              <font>
                <color rgb="FF0E223A"/>
              </font>
              <fill>
                <patternFill>
                  <bgColor rgb="FFFFBE29"/>
                </patternFill>
              </fill>
            </x14:dxf>
          </x14:cfRule>
          <xm:sqref>D227:D234</xm:sqref>
        </x14:conditionalFormatting>
        <x14:conditionalFormatting xmlns:xm="http://schemas.microsoft.com/office/excel/2006/main">
          <x14:cfRule type="containsText" priority="18" stopIfTrue="1" operator="containsText" id="{E308EDC5-2CC6-C14E-B52C-69E25EE3745D}">
            <xm:f>NOT(ISERROR(SEARCH("Value Missing",D239)))</xm:f>
            <xm:f>"Value Missing"</xm:f>
            <x14:dxf>
              <font>
                <color rgb="FF0E223A"/>
              </font>
              <fill>
                <patternFill>
                  <bgColor rgb="FFFFBE29"/>
                </patternFill>
              </fill>
            </x14:dxf>
          </x14:cfRule>
          <xm:sqref>D239:D245</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029C-D6DD-3C4F-8E2E-53FC3544B15A}">
  <sheetPr codeName="Sheet16">
    <tabColor theme="2" tint="-9.9978637043366805E-2"/>
  </sheetPr>
  <dimension ref="A2:F151"/>
  <sheetViews>
    <sheetView showGridLines="0" workbookViewId="0">
      <pane ySplit="4" topLeftCell="A5" activePane="bottomLeft" state="frozen"/>
      <selection pane="bottomLeft"/>
    </sheetView>
  </sheetViews>
  <sheetFormatPr defaultColWidth="10.85546875" defaultRowHeight="15" x14ac:dyDescent="0.35"/>
  <cols>
    <col min="1" max="1" width="2.85546875" style="8" customWidth="1"/>
    <col min="2" max="4" width="75.85546875" style="8" customWidth="1"/>
    <col min="5" max="5" width="100.85546875" style="8" customWidth="1"/>
    <col min="6" max="13" width="10.85546875" style="8" customWidth="1"/>
    <col min="14" max="16384" width="10.85546875" style="8"/>
  </cols>
  <sheetData>
    <row r="2" spans="1:6" ht="54" customHeight="1" x14ac:dyDescent="0.35">
      <c r="A2" s="121"/>
      <c r="B2" s="525" t="s">
        <v>3272</v>
      </c>
      <c r="C2" s="525"/>
      <c r="D2" s="525"/>
      <c r="E2" s="525"/>
    </row>
    <row r="3" spans="1:6" ht="15.45" x14ac:dyDescent="0.35">
      <c r="A3" s="42"/>
      <c r="B3" s="526" t="s">
        <v>1</v>
      </c>
      <c r="C3" s="526"/>
      <c r="D3" s="526"/>
      <c r="E3" s="526"/>
      <c r="F3" s="19"/>
    </row>
    <row r="6" spans="1:6" ht="34" customHeight="1" x14ac:dyDescent="0.35">
      <c r="B6" s="407" t="s">
        <v>3273</v>
      </c>
      <c r="C6" s="408"/>
      <c r="D6" s="408"/>
      <c r="E6" s="409"/>
    </row>
    <row r="7" spans="1:6" ht="20.05" customHeight="1" x14ac:dyDescent="0.35">
      <c r="B7" s="462" t="s">
        <v>3274</v>
      </c>
      <c r="C7" s="463"/>
      <c r="D7" s="463"/>
      <c r="E7" s="464"/>
    </row>
    <row r="8" spans="1:6" ht="20.05" customHeight="1" x14ac:dyDescent="0.35">
      <c r="B8" s="346" t="s">
        <v>17</v>
      </c>
      <c r="C8" s="346" t="s">
        <v>18</v>
      </c>
      <c r="D8" s="346" t="s">
        <v>19</v>
      </c>
      <c r="E8" s="346" t="s">
        <v>20</v>
      </c>
    </row>
    <row r="9" spans="1:6" ht="20.05" customHeight="1" x14ac:dyDescent="0.35">
      <c r="B9" s="496" t="s">
        <v>932</v>
      </c>
      <c r="C9" s="497"/>
      <c r="D9" s="497"/>
      <c r="E9" s="498"/>
    </row>
    <row r="10" spans="1:6" ht="20.05" customHeight="1" x14ac:dyDescent="0.4">
      <c r="B10" s="128" t="s">
        <v>85</v>
      </c>
      <c r="C10" s="89" t="str">
        <f>sample_mgmt_az1_mgmt_vm_vlan</f>
        <v>1110</v>
      </c>
      <c r="D10" s="337" t="str">
        <f>mgmt_az1_mgmt_vm_vlan</f>
        <v>Value Missing</v>
      </c>
      <c r="E10" s="33"/>
    </row>
    <row r="11" spans="1:6" ht="20.05" customHeight="1" x14ac:dyDescent="0.4">
      <c r="B11" s="128" t="s">
        <v>187</v>
      </c>
      <c r="C11" s="80" t="str">
        <f>sample_mgmt_az1_mgmt_vm_gateway_ip</f>
        <v>10.11.10.1</v>
      </c>
      <c r="D11" s="337" t="str">
        <f>mgmt_az1_mgmt_vm_gateway_ip</f>
        <v>Value Missing</v>
      </c>
      <c r="E11" s="33"/>
    </row>
    <row r="12" spans="1:6" ht="20.05" customHeight="1" x14ac:dyDescent="0.4">
      <c r="B12" s="128" t="s">
        <v>188</v>
      </c>
      <c r="C12" s="80" t="str">
        <f>sample_mgmt_az1_mgmt_vm_cidr</f>
        <v>10.11.10.0/24</v>
      </c>
      <c r="D12" s="337" t="str">
        <f>mgmt_az1_mgmt_cidr</f>
        <v>Value Missing</v>
      </c>
      <c r="E12" s="33"/>
    </row>
    <row r="13" spans="1:6" ht="20.05" customHeight="1" x14ac:dyDescent="0.35">
      <c r="B13" s="4" t="s">
        <v>160</v>
      </c>
      <c r="C13" s="80">
        <f>sample_mgmt_az1_mgmt_vm_mtu</f>
        <v>1500</v>
      </c>
      <c r="D13" s="337" t="str">
        <f>mgmt_az1_mgmt_vm_mtu</f>
        <v>Value Missing</v>
      </c>
      <c r="E13" s="33"/>
    </row>
    <row r="14" spans="1:6" ht="20.05" customHeight="1" x14ac:dyDescent="0.35">
      <c r="B14" s="496" t="s">
        <v>184</v>
      </c>
      <c r="C14" s="497"/>
      <c r="D14" s="497"/>
      <c r="E14" s="498"/>
    </row>
    <row r="15" spans="1:6" ht="20.05" customHeight="1" x14ac:dyDescent="0.35">
      <c r="B15" s="4" t="s">
        <v>85</v>
      </c>
      <c r="C15" s="80" t="str">
        <f>sample_mgmt_az1_uplink01_vlan</f>
        <v>1117</v>
      </c>
      <c r="D15" s="337" t="str">
        <f>mgmt_az1_uplink01_vlan</f>
        <v>Value Missing</v>
      </c>
      <c r="E15" s="32"/>
    </row>
    <row r="16" spans="1:6" ht="20.05" customHeight="1" x14ac:dyDescent="0.35">
      <c r="B16" s="4" t="s">
        <v>187</v>
      </c>
      <c r="C16" s="80" t="str">
        <f>sample_mgmt_az1_uplink01_gateway_ip</f>
        <v>10.11.17.1</v>
      </c>
      <c r="D16" s="337" t="str">
        <f>mgmt_az1_uplink01_gateway_ip</f>
        <v>Value Missing</v>
      </c>
      <c r="E16" s="32"/>
    </row>
    <row r="17" spans="2:5" ht="20.05" customHeight="1" x14ac:dyDescent="0.35">
      <c r="B17" s="4" t="s">
        <v>188</v>
      </c>
      <c r="C17" s="80" t="str">
        <f>sample_mgmt_az1_uplink01_cidr</f>
        <v>10.11.17.0/24</v>
      </c>
      <c r="D17" s="337" t="str">
        <f>mgmt_az1_uplink01_cidr</f>
        <v>Value Missing</v>
      </c>
      <c r="E17" s="32"/>
    </row>
    <row r="18" spans="2:5" ht="20.05" customHeight="1" x14ac:dyDescent="0.35">
      <c r="B18" s="4" t="s">
        <v>160</v>
      </c>
      <c r="C18" s="80">
        <f>sample_mgmt_az1_uplink01_mtu</f>
        <v>9000</v>
      </c>
      <c r="D18" s="337" t="str">
        <f>mgmt_az1_uplink01_mtu</f>
        <v>Value Missing</v>
      </c>
      <c r="E18" s="32"/>
    </row>
    <row r="19" spans="2:5" ht="20.05" customHeight="1" x14ac:dyDescent="0.35">
      <c r="B19" s="496" t="s">
        <v>189</v>
      </c>
      <c r="C19" s="497"/>
      <c r="D19" s="497"/>
      <c r="E19" s="498"/>
    </row>
    <row r="20" spans="2:5" ht="20.05" customHeight="1" x14ac:dyDescent="0.35">
      <c r="B20" s="4" t="s">
        <v>85</v>
      </c>
      <c r="C20" s="80" t="str">
        <f>sample_mgmt_az1_uplink02_vlan</f>
        <v>1118</v>
      </c>
      <c r="D20" s="337" t="str">
        <f>mgmt_az1_uplink02_vlan</f>
        <v>Value Missing</v>
      </c>
      <c r="E20" s="93"/>
    </row>
    <row r="21" spans="2:5" ht="20.05" customHeight="1" x14ac:dyDescent="0.35">
      <c r="B21" s="4" t="s">
        <v>187</v>
      </c>
      <c r="C21" s="80" t="str">
        <f>sample_mgmt_az1_uplink02_gateway_ip</f>
        <v>10.11.18.1</v>
      </c>
      <c r="D21" s="337" t="str">
        <f>mgmt_az1_uplink02_gateway_ip</f>
        <v>Value Missing</v>
      </c>
      <c r="E21" s="32"/>
    </row>
    <row r="22" spans="2:5" ht="20.05" customHeight="1" x14ac:dyDescent="0.35">
      <c r="B22" s="4" t="s">
        <v>188</v>
      </c>
      <c r="C22" s="80" t="str">
        <f>sample_mgmt_az1_uplink02_cidr</f>
        <v>10.11.18.0/24</v>
      </c>
      <c r="D22" s="337" t="str">
        <f>mgmt_az1_uplink02_cidr</f>
        <v>Value Missing</v>
      </c>
      <c r="E22" s="32"/>
    </row>
    <row r="23" spans="2:5" ht="20.05" customHeight="1" x14ac:dyDescent="0.35">
      <c r="B23" s="4" t="s">
        <v>160</v>
      </c>
      <c r="C23" s="80">
        <f>sample_mgmt_az1_uplink02_mtu</f>
        <v>9000</v>
      </c>
      <c r="D23" s="337" t="str">
        <f>mgmt_az1_uplink02_mtu</f>
        <v>Value Missing</v>
      </c>
      <c r="E23" s="32"/>
    </row>
    <row r="24" spans="2:5" ht="20.05" customHeight="1" x14ac:dyDescent="0.35">
      <c r="B24" s="496" t="s">
        <v>191</v>
      </c>
      <c r="C24" s="497"/>
      <c r="D24" s="497"/>
      <c r="E24" s="498"/>
    </row>
    <row r="25" spans="2:5" ht="20.05" customHeight="1" x14ac:dyDescent="0.35">
      <c r="B25" s="4" t="s">
        <v>85</v>
      </c>
      <c r="C25" s="80" t="str">
        <f>sample_mgmt_az1_edge_overlay_vlan</f>
        <v>1119</v>
      </c>
      <c r="D25" s="337" t="str">
        <f>mgmt_az1_edge_overlay_vlan</f>
        <v>Value Missing</v>
      </c>
      <c r="E25" s="32" t="str">
        <f>IF(AND(mgmt_stretched_cluster_result="Included",mgmt_dpg_reuse_result="Included"),"Stretched L2","")</f>
        <v/>
      </c>
    </row>
    <row r="26" spans="2:5" ht="20.05" customHeight="1" x14ac:dyDescent="0.35">
      <c r="B26" s="4" t="s">
        <v>187</v>
      </c>
      <c r="C26" s="80" t="str">
        <f>sample_mgmt_az1_edge_overlay_gateway_ip</f>
        <v>10.11.19.1</v>
      </c>
      <c r="D26" s="337" t="str">
        <f>mgmt_az1_edge_overlay_gateway_ip</f>
        <v>Value Missing</v>
      </c>
      <c r="E26" s="32" t="str">
        <f>IF(AND(mgmt_stretched_cluster_result="Included",mgmt_dpg_reuse_result="Excluded"),"Stretched L2","")</f>
        <v/>
      </c>
    </row>
    <row r="27" spans="2:5" ht="20.05" customHeight="1" x14ac:dyDescent="0.35">
      <c r="B27" s="4" t="s">
        <v>188</v>
      </c>
      <c r="C27" s="80" t="str">
        <f>sample_mgmt_az1_edge_overlay_cidr</f>
        <v>10.11.19.0/24</v>
      </c>
      <c r="D27" s="337" t="str">
        <f>mgmt_az1_edge_overlay_cidr</f>
        <v>Value Missing</v>
      </c>
      <c r="E27" s="32"/>
    </row>
    <row r="28" spans="2:5" ht="20.05" customHeight="1" x14ac:dyDescent="0.35">
      <c r="B28" s="4" t="s">
        <v>160</v>
      </c>
      <c r="C28" s="80">
        <f>sample_mgmt_az1_edge_overlay_mtu</f>
        <v>9000</v>
      </c>
      <c r="D28" s="337" t="str">
        <f>mgmt_az1_edge_overlay_mtu</f>
        <v>Value Missing</v>
      </c>
      <c r="E28" s="32"/>
    </row>
    <row r="29" spans="2:5" ht="20.05" customHeight="1" x14ac:dyDescent="0.35">
      <c r="B29" s="526" t="s">
        <v>3275</v>
      </c>
      <c r="C29" s="526"/>
      <c r="D29" s="526"/>
      <c r="E29" s="526"/>
    </row>
    <row r="30" spans="2:5" ht="20.05" customHeight="1" x14ac:dyDescent="0.35">
      <c r="B30" s="4" t="s">
        <v>1025</v>
      </c>
      <c r="C30" s="80" t="str">
        <f>sample_mgmt_en_asn</f>
        <v>65101</v>
      </c>
      <c r="D30" s="337" t="str">
        <f>mgmt_en_asn</f>
        <v>Value Missing</v>
      </c>
      <c r="E30" s="32"/>
    </row>
    <row r="31" spans="2:5" ht="20.05" customHeight="1" x14ac:dyDescent="0.35">
      <c r="B31" s="4" t="s">
        <v>168</v>
      </c>
      <c r="C31" s="80" t="str">
        <f>sample_mgmt_az1_tor1_peer_ip</f>
        <v>10.11.17.10</v>
      </c>
      <c r="D31" s="337" t="str">
        <f>mgmt_az1_tor1_peer_ip</f>
        <v>Value Missing</v>
      </c>
      <c r="E31" s="32"/>
    </row>
    <row r="32" spans="2:5" ht="20.05" customHeight="1" x14ac:dyDescent="0.35">
      <c r="B32" s="4" t="s">
        <v>169</v>
      </c>
      <c r="C32" s="80" t="str">
        <f>sample_mgmt_az1_tor1_peer_asn</f>
        <v>65111</v>
      </c>
      <c r="D32" s="337" t="str">
        <f>mgmt_az1_tor1_peer_asn</f>
        <v>Value Missing</v>
      </c>
      <c r="E32" s="32"/>
    </row>
    <row r="33" spans="2:5" ht="20.05" customHeight="1" x14ac:dyDescent="0.35">
      <c r="B33" s="4" t="s">
        <v>170</v>
      </c>
      <c r="C33" s="80" t="str">
        <f>sample_mgmt_az1_tor1_peer_bgp_password</f>
        <v>VMw@re1!</v>
      </c>
      <c r="D33" s="337" t="str">
        <f>mgmt_az1_tor1_peer_bgp_password</f>
        <v>Value Missing</v>
      </c>
      <c r="E33" s="32"/>
    </row>
    <row r="34" spans="2:5" ht="20.05" customHeight="1" x14ac:dyDescent="0.35">
      <c r="B34" s="4" t="s">
        <v>171</v>
      </c>
      <c r="C34" s="80" t="str">
        <f>sample_mgmt_az1_tor2_peer_ip</f>
        <v>10.11.18.10</v>
      </c>
      <c r="D34" s="337" t="str">
        <f>mgmt_az1_tor2_peer_ip</f>
        <v>Value Missing</v>
      </c>
      <c r="E34" s="32"/>
    </row>
    <row r="35" spans="2:5" ht="20.05" customHeight="1" x14ac:dyDescent="0.35">
      <c r="B35" s="4" t="s">
        <v>172</v>
      </c>
      <c r="C35" s="80" t="str">
        <f>sample_mgmt_az1_tor2_peer_asn</f>
        <v>65111</v>
      </c>
      <c r="D35" s="337" t="str">
        <f>mgmt_az1_tor2_peer_asn</f>
        <v>Value Missing</v>
      </c>
      <c r="E35" s="32"/>
    </row>
    <row r="36" spans="2:5" ht="20.05" customHeight="1" x14ac:dyDescent="0.35">
      <c r="B36" s="4" t="s">
        <v>173</v>
      </c>
      <c r="C36" s="80" t="str">
        <f>sample_mgmt_az1_tor2_peer_bgp_password</f>
        <v>VMw@re1!</v>
      </c>
      <c r="D36" s="337" t="str">
        <f>mgmt_az1_tor2_peer_bgp_password</f>
        <v>Value Missing</v>
      </c>
      <c r="E36" s="32"/>
    </row>
    <row r="37" spans="2:5" ht="20.05" customHeight="1" x14ac:dyDescent="0.35">
      <c r="B37" s="496" t="s">
        <v>3276</v>
      </c>
      <c r="C37" s="497"/>
      <c r="D37" s="497"/>
      <c r="E37" s="498"/>
    </row>
    <row r="38" spans="2:5" ht="20.05" customHeight="1" x14ac:dyDescent="0.35">
      <c r="B38" s="30" t="str">
        <f>mgmt_az1_en1_fqdn</f>
        <v>Value Missing</v>
      </c>
      <c r="C38" s="80" t="str">
        <f>sample_mgmt_az1_en1_mgmt_cidr</f>
        <v>10.11.10.75/24</v>
      </c>
      <c r="D38" s="337" t="str">
        <f>mgmt_az1_en1_mgmt_cidr</f>
        <v>Value Missing</v>
      </c>
      <c r="E38" s="337"/>
    </row>
    <row r="39" spans="2:5" ht="20.05" customHeight="1" x14ac:dyDescent="0.35">
      <c r="B39" s="99" t="s">
        <v>2729</v>
      </c>
      <c r="C39" s="80" t="str">
        <f>sample_mgmt_az1_en1_uplink01_interface_cidr</f>
        <v>10.11.17.2/24</v>
      </c>
      <c r="D39" s="337" t="str">
        <f>mgmt_az1_en1_uplink01_interface_cidr</f>
        <v>Value Missing</v>
      </c>
      <c r="E39" s="337" t="s">
        <v>156</v>
      </c>
    </row>
    <row r="40" spans="2:5" ht="20.05" customHeight="1" x14ac:dyDescent="0.35">
      <c r="B40" s="99" t="s">
        <v>2729</v>
      </c>
      <c r="C40" s="80" t="str">
        <f>sample_mgmt_az1_en1_uplink02_interface_cidr</f>
        <v>10.11.18.2/24</v>
      </c>
      <c r="D40" s="337" t="str">
        <f>mgmt_az1_en1_uplink02_interface_cidr</f>
        <v>Value Missing</v>
      </c>
      <c r="E40" s="337" t="s">
        <v>1057</v>
      </c>
    </row>
    <row r="41" spans="2:5" ht="20.05" customHeight="1" x14ac:dyDescent="0.35">
      <c r="B41" s="179" t="s">
        <v>2729</v>
      </c>
      <c r="C41" s="80" t="str">
        <f>sample_mgmt_az1_en1_edge_overlay_interface_ip_1_ip</f>
        <v>10.11.19.2</v>
      </c>
      <c r="D41" s="337" t="str">
        <f>mgmt_az1_en1_edge_overlay_interface_ip_1_ip</f>
        <v>Value Missing</v>
      </c>
      <c r="E41" s="337" t="s">
        <v>1046</v>
      </c>
    </row>
    <row r="42" spans="2:5" ht="20.05" customHeight="1" x14ac:dyDescent="0.35">
      <c r="B42" s="180" t="s">
        <v>2729</v>
      </c>
      <c r="C42" s="80" t="str">
        <f>sample_mgmt_az1_en1_edge_overlay_interface_ip_2_ip</f>
        <v>10.11.19.3</v>
      </c>
      <c r="D42" s="337" t="str">
        <f>mgmt_az1_en1_edge_overlay_interface_ip_2_ip</f>
        <v>Value Missing</v>
      </c>
      <c r="E42" s="337" t="s">
        <v>3277</v>
      </c>
    </row>
    <row r="43" spans="2:5" ht="20.05" customHeight="1" x14ac:dyDescent="0.35">
      <c r="B43" s="30" t="str">
        <f>mgmt_az1_en2_fqdn</f>
        <v>Value Missing</v>
      </c>
      <c r="C43" s="80" t="str">
        <f>sample_mgmt_az1_en2_mgmt_cidr</f>
        <v>10.11.10.76/24</v>
      </c>
      <c r="D43" s="337" t="str">
        <f>mgmt_az1_en2_mgmt_cidr</f>
        <v>Value Missing</v>
      </c>
      <c r="E43" s="337"/>
    </row>
    <row r="44" spans="2:5" ht="20.05" customHeight="1" x14ac:dyDescent="0.35">
      <c r="B44" s="99" t="s">
        <v>2729</v>
      </c>
      <c r="C44" s="80" t="str">
        <f>sample_mgmt_az1_en2_uplink01_interface_cidr</f>
        <v>10.11.17.3/24</v>
      </c>
      <c r="D44" s="337" t="str">
        <f>mgmt_az1_en2_uplink01_interface_cidr</f>
        <v>Value Missing</v>
      </c>
      <c r="E44" s="337" t="s">
        <v>167</v>
      </c>
    </row>
    <row r="45" spans="2:5" ht="20.05" customHeight="1" x14ac:dyDescent="0.35">
      <c r="B45" s="99" t="s">
        <v>2729</v>
      </c>
      <c r="C45" s="80" t="str">
        <f>sample_mgmt_az1_en2_uplink02_interface_cidr</f>
        <v>10.11.18.3/24</v>
      </c>
      <c r="D45" s="337" t="str">
        <f>mgmt_az1_en2_uplink02_interface_cidr</f>
        <v>Value Missing</v>
      </c>
      <c r="E45" s="337" t="s">
        <v>165</v>
      </c>
    </row>
    <row r="46" spans="2:5" ht="20.05" customHeight="1" x14ac:dyDescent="0.35">
      <c r="B46" s="179" t="s">
        <v>2729</v>
      </c>
      <c r="C46" s="80" t="str">
        <f>sample_mgmt_az1_en2_edge_overlay_interface_ip_1_ip</f>
        <v>10.11.19.4</v>
      </c>
      <c r="D46" s="337" t="str">
        <f>mgmt_az1_en2_edge_overlay_interface_ip_1_ip</f>
        <v>Value Missing</v>
      </c>
      <c r="E46" s="337" t="s">
        <v>1052</v>
      </c>
    </row>
    <row r="47" spans="2:5" ht="20.05" customHeight="1" x14ac:dyDescent="0.35">
      <c r="B47" s="180" t="s">
        <v>2729</v>
      </c>
      <c r="C47" s="80" t="str">
        <f>sample_mgmt_az1_en2_edge_overlay_interface_ip_2_ip</f>
        <v>10.11.19.5</v>
      </c>
      <c r="D47" s="337" t="str">
        <f>mgmt_az1_en2_edge_overlay_interface_ip_2_ip</f>
        <v>Value Missing</v>
      </c>
      <c r="E47" s="337" t="s">
        <v>1054</v>
      </c>
    </row>
    <row r="49" spans="2:5" ht="34" customHeight="1" x14ac:dyDescent="0.35">
      <c r="B49" s="407" t="s">
        <v>3278</v>
      </c>
      <c r="C49" s="408"/>
      <c r="D49" s="408"/>
      <c r="E49" s="409"/>
    </row>
    <row r="50" spans="2:5" ht="20.05" customHeight="1" x14ac:dyDescent="0.35">
      <c r="B50" s="346" t="s">
        <v>17</v>
      </c>
      <c r="C50" s="346" t="s">
        <v>18</v>
      </c>
      <c r="D50" s="346" t="s">
        <v>19</v>
      </c>
      <c r="E50" s="346" t="s">
        <v>20</v>
      </c>
    </row>
    <row r="51" spans="2:5" ht="20.05" customHeight="1" x14ac:dyDescent="0.35">
      <c r="B51" s="496" t="s">
        <v>932</v>
      </c>
      <c r="C51" s="497"/>
      <c r="D51" s="497"/>
      <c r="E51" s="498"/>
    </row>
    <row r="52" spans="2:5" ht="20.05" customHeight="1" x14ac:dyDescent="0.35">
      <c r="B52" s="4" t="s">
        <v>85</v>
      </c>
      <c r="C52" s="89" t="str">
        <f>sample_mgmt_az1_mgmt_vm_vlan</f>
        <v>1110</v>
      </c>
      <c r="D52" s="337" t="str">
        <f>mgmt_az1_mgmt_vm_vlan</f>
        <v>Value Missing</v>
      </c>
      <c r="E52" s="33"/>
    </row>
    <row r="53" spans="2:5" ht="20.05" customHeight="1" x14ac:dyDescent="0.35">
      <c r="B53" s="4" t="s">
        <v>187</v>
      </c>
      <c r="C53" s="80" t="str">
        <f>sample_mgmt_az1_mgmt_vm_gateway_ip</f>
        <v>10.11.10.1</v>
      </c>
      <c r="D53" s="337" t="str">
        <f>mgmt_az1_mgmt_vm_gateway_ip</f>
        <v>Value Missing</v>
      </c>
      <c r="E53" s="33"/>
    </row>
    <row r="54" spans="2:5" ht="20.05" customHeight="1" x14ac:dyDescent="0.35">
      <c r="B54" s="4" t="s">
        <v>188</v>
      </c>
      <c r="C54" s="80" t="str">
        <f>sample_mgmt_az1_mgmt_vm_cidr</f>
        <v>10.11.10.0/24</v>
      </c>
      <c r="D54" s="337" t="str">
        <f>mgmt_az1_mgmt_cidr</f>
        <v>Value Missing</v>
      </c>
      <c r="E54" s="33"/>
    </row>
    <row r="55" spans="2:5" ht="20.05" customHeight="1" x14ac:dyDescent="0.35">
      <c r="B55" s="4" t="s">
        <v>160</v>
      </c>
      <c r="C55" s="80">
        <f>sample_mgmt_az1_mgmt_vm_mtu</f>
        <v>1500</v>
      </c>
      <c r="D55" s="337" t="str">
        <f>mgmt_az1_mgmt_vm_mtu</f>
        <v>Value Missing</v>
      </c>
      <c r="E55" s="33"/>
    </row>
    <row r="56" spans="2:5" ht="20.05" customHeight="1" x14ac:dyDescent="0.35">
      <c r="B56" s="496" t="s">
        <v>3279</v>
      </c>
      <c r="C56" s="497"/>
      <c r="D56" s="497"/>
      <c r="E56" s="498"/>
    </row>
    <row r="57" spans="2:5" ht="20.05" customHeight="1" x14ac:dyDescent="0.35">
      <c r="B57" s="30" t="str">
        <f t="array" ref="B57">sample_mgmt_avilb_fqdn</f>
        <v>sfo-m01-avilb01.sfo.rainpole.io</v>
      </c>
      <c r="C57" s="80" t="str">
        <f>sample_mgmt_avilb_ip</f>
        <v>10.11.10.91</v>
      </c>
      <c r="D57" s="337" t="str">
        <f>mgmt_avilb_ip</f>
        <v>Value Missing</v>
      </c>
      <c r="E57" s="99" t="s">
        <v>208</v>
      </c>
    </row>
    <row r="58" spans="2:5" ht="20.05" customHeight="1" x14ac:dyDescent="0.35">
      <c r="B58" s="99" t="s">
        <v>2729</v>
      </c>
      <c r="C58" s="80" t="str">
        <f>sample_mgmt_avilb_mgra_ip</f>
        <v>10.11.10.92</v>
      </c>
      <c r="D58" s="337" t="str">
        <f>mgmt_avilb_mgra_ip</f>
        <v>Value Missing</v>
      </c>
      <c r="E58" s="99" t="s">
        <v>202</v>
      </c>
    </row>
    <row r="59" spans="2:5" ht="20.05" customHeight="1" x14ac:dyDescent="0.35">
      <c r="B59" s="99" t="s">
        <v>2729</v>
      </c>
      <c r="C59" s="80" t="str">
        <f>sample_mgmt_avilb_mgrb_ip</f>
        <v>10.11.10.93</v>
      </c>
      <c r="D59" s="337" t="str">
        <f>mgmt_avilb_mgrc_ip</f>
        <v>Value Missing</v>
      </c>
      <c r="E59" s="99" t="s">
        <v>204</v>
      </c>
    </row>
    <row r="60" spans="2:5" ht="20.05" customHeight="1" x14ac:dyDescent="0.35">
      <c r="B60" s="99" t="s">
        <v>2729</v>
      </c>
      <c r="C60" s="80" t="str">
        <f>sample_mgmt_avilb_mgrc_ip</f>
        <v>10.11.10.94</v>
      </c>
      <c r="D60" s="337" t="str">
        <f>mgmt_avilb_mgrc_ip</f>
        <v>Value Missing</v>
      </c>
      <c r="E60" s="99" t="s">
        <v>206</v>
      </c>
    </row>
    <row r="62" spans="2:5" ht="34" customHeight="1" x14ac:dyDescent="0.35">
      <c r="B62" s="407" t="s">
        <v>3280</v>
      </c>
      <c r="C62" s="408"/>
      <c r="D62" s="408"/>
      <c r="E62" s="409"/>
    </row>
    <row r="63" spans="2:5" ht="20.05" customHeight="1" x14ac:dyDescent="0.35">
      <c r="B63" s="346" t="s">
        <v>17</v>
      </c>
      <c r="C63" s="346" t="s">
        <v>18</v>
      </c>
      <c r="D63" s="346" t="s">
        <v>19</v>
      </c>
      <c r="E63" s="346" t="s">
        <v>20</v>
      </c>
    </row>
    <row r="64" spans="2:5" ht="20.05" customHeight="1" x14ac:dyDescent="0.35">
      <c r="B64" s="496" t="s">
        <v>3281</v>
      </c>
      <c r="C64" s="497"/>
      <c r="D64" s="497"/>
      <c r="E64" s="498"/>
    </row>
    <row r="65" spans="2:5" ht="20.05" customHeight="1" x14ac:dyDescent="0.35">
      <c r="B65" s="4" t="s">
        <v>85</v>
      </c>
      <c r="C65" s="362" t="str">
        <f>sample_mgmt_witnessaz_mgmt_vlan</f>
        <v>2110</v>
      </c>
      <c r="D65" s="9" t="str">
        <f>mgmt_witnessaz_mgmt_vlan</f>
        <v>Value Missing</v>
      </c>
      <c r="E65" s="32"/>
    </row>
    <row r="66" spans="2:5" ht="20.05" customHeight="1" x14ac:dyDescent="0.35">
      <c r="B66" s="4" t="s">
        <v>187</v>
      </c>
      <c r="C66" s="362" t="str">
        <f>sample_mgmt_witnessaz_mgmt_gateway_ip</f>
        <v>10.21.10.1</v>
      </c>
      <c r="D66" s="9" t="str">
        <f>mgmt_witnessaz_mgmt_gateway_ip</f>
        <v>Value Missing</v>
      </c>
      <c r="E66" s="32"/>
    </row>
    <row r="67" spans="2:5" ht="20.05" customHeight="1" x14ac:dyDescent="0.35">
      <c r="B67" s="4" t="s">
        <v>188</v>
      </c>
      <c r="C67" s="362" t="str">
        <f>sample_mgmt_witnessaz_mgmt_cidr</f>
        <v>10.21.10.0/24</v>
      </c>
      <c r="D67" s="9" t="str">
        <f>mgmt_witnessaz_mgmt_cidr</f>
        <v>Value Missing</v>
      </c>
      <c r="E67" s="32"/>
    </row>
    <row r="68" spans="2:5" ht="20.05" customHeight="1" x14ac:dyDescent="0.35">
      <c r="B68" s="4" t="s">
        <v>160</v>
      </c>
      <c r="C68" s="362">
        <f>sample_mgmt_witnessaz_mgmt_mtu</f>
        <v>1500</v>
      </c>
      <c r="D68" s="9" t="str">
        <f>mgmt_witnessaz_mgmt_mtu</f>
        <v>Value Missing</v>
      </c>
      <c r="E68" s="32"/>
    </row>
    <row r="69" spans="2:5" ht="20.05" customHeight="1" x14ac:dyDescent="0.35">
      <c r="B69" s="502" t="s">
        <v>251</v>
      </c>
      <c r="C69" s="503"/>
      <c r="D69" s="503"/>
      <c r="E69" s="635"/>
    </row>
    <row r="70" spans="2:5" ht="20.05" customHeight="1" x14ac:dyDescent="0.35">
      <c r="B70" s="22" t="s">
        <v>85</v>
      </c>
      <c r="C70" s="80" t="str">
        <f>sample_mgmt_az2_vmotion_vlan</f>
        <v>1212</v>
      </c>
      <c r="D70" s="9" t="str">
        <f>mgmt_az2_vmotion_vlan</f>
        <v>Value Missing</v>
      </c>
      <c r="E70" s="199"/>
    </row>
    <row r="71" spans="2:5" ht="20.05" customHeight="1" x14ac:dyDescent="0.35">
      <c r="B71" s="22" t="s">
        <v>187</v>
      </c>
      <c r="C71" s="80" t="str">
        <f>sample_mgmt_az2_vmotion_gateway_ip</f>
        <v>10.12.12.1</v>
      </c>
      <c r="D71" s="9" t="str">
        <f>mgmt_az2_vmotion_gateway_ip</f>
        <v>Value Missing</v>
      </c>
      <c r="E71" s="160"/>
    </row>
    <row r="72" spans="2:5" ht="20.05" customHeight="1" x14ac:dyDescent="0.35">
      <c r="B72" s="22" t="s">
        <v>188</v>
      </c>
      <c r="C72" s="80" t="str">
        <f>CONCATENATE(prefix_mgmt_az2_cidr,"12.0/24")</f>
        <v>10.12.12.0/24</v>
      </c>
      <c r="D72" s="9" t="str">
        <f>mgmt_az2_vmotion_cidr</f>
        <v>Value Missing</v>
      </c>
      <c r="E72" s="160"/>
    </row>
    <row r="73" spans="2:5" ht="20.05" customHeight="1" x14ac:dyDescent="0.35">
      <c r="B73" s="22" t="s">
        <v>160</v>
      </c>
      <c r="C73" s="80">
        <f>sample_mgmt_az2_vmotion_mtu</f>
        <v>9000</v>
      </c>
      <c r="D73" s="9" t="str">
        <f>mgmt_az2_vmotion_mtu</f>
        <v>Value Missing</v>
      </c>
      <c r="E73" s="160"/>
    </row>
    <row r="74" spans="2:5" ht="20.05" customHeight="1" x14ac:dyDescent="0.35">
      <c r="B74" s="22" t="s">
        <v>255</v>
      </c>
      <c r="C74" s="80" t="str">
        <f>sample_mgmt_az2_vmotion_pool_end_ip</f>
        <v>10.12.12.116</v>
      </c>
      <c r="D74" s="9" t="str">
        <f>mgmt_az2_vmotion_pool_end_ip</f>
        <v>Value Missing</v>
      </c>
      <c r="E74" s="160"/>
    </row>
    <row r="75" spans="2:5" ht="20.05" customHeight="1" x14ac:dyDescent="0.35">
      <c r="B75" s="22" t="s">
        <v>256</v>
      </c>
      <c r="C75" s="80" t="str">
        <f>sample_mgmt_az2_vmotion_pool_start_ip</f>
        <v>10.12.12.101</v>
      </c>
      <c r="D75" s="9" t="str">
        <f>mgmt_az2_vmotion_pool_start_ip</f>
        <v>Value Missing</v>
      </c>
      <c r="E75" s="160"/>
    </row>
    <row r="76" spans="2:5" ht="20.05" customHeight="1" x14ac:dyDescent="0.35">
      <c r="B76" s="502" t="s">
        <v>257</v>
      </c>
      <c r="C76" s="503"/>
      <c r="D76" s="503"/>
      <c r="E76" s="504"/>
    </row>
    <row r="77" spans="2:5" ht="20.05" customHeight="1" x14ac:dyDescent="0.35">
      <c r="B77" s="22" t="s">
        <v>85</v>
      </c>
      <c r="C77" s="80" t="str">
        <f>sample_mgmt_az2_vsan_vlan</f>
        <v>1213</v>
      </c>
      <c r="D77" s="9" t="str">
        <f>mgmt_az2_vsan_vlan</f>
        <v>Value Missing</v>
      </c>
      <c r="E77" s="160"/>
    </row>
    <row r="78" spans="2:5" ht="20.05" customHeight="1" x14ac:dyDescent="0.35">
      <c r="B78" s="22" t="s">
        <v>187</v>
      </c>
      <c r="C78" s="80" t="str">
        <f>sample_mgmt_az2_vsan_gateway_ip</f>
        <v>10.12.13.1</v>
      </c>
      <c r="D78" s="9" t="str">
        <f>mgmt_az2_vsan_gateway_ip</f>
        <v>Value Missing</v>
      </c>
      <c r="E78" s="160" t="s">
        <v>3282</v>
      </c>
    </row>
    <row r="79" spans="2:5" ht="20.05" customHeight="1" x14ac:dyDescent="0.35">
      <c r="B79" s="22" t="s">
        <v>160</v>
      </c>
      <c r="C79" s="80">
        <f>sample_mgmt_az2_vsan_mtu</f>
        <v>9000</v>
      </c>
      <c r="D79" s="9" t="str">
        <f>mgmt_az2_vsan_mtu</f>
        <v>Value Missing</v>
      </c>
      <c r="E79" s="160"/>
    </row>
    <row r="80" spans="2:5" ht="20.05" customHeight="1" x14ac:dyDescent="0.35">
      <c r="B80" s="22" t="s">
        <v>188</v>
      </c>
      <c r="C80" s="80" t="str">
        <f>CONCATENATE(prefix_mgmt_az2_cidr,"13.0/24")</f>
        <v>10.12.13.0/24</v>
      </c>
      <c r="D80" s="9" t="str">
        <f>mgmt_az2_vsan_cidr</f>
        <v>Value Missing</v>
      </c>
      <c r="E80" s="160"/>
    </row>
    <row r="81" spans="2:5" ht="20.05" customHeight="1" x14ac:dyDescent="0.35">
      <c r="B81" s="22" t="s">
        <v>255</v>
      </c>
      <c r="C81" s="80" t="str">
        <f>sample_mgmt_az2_vsan_pool_start_ip</f>
        <v>10.12.13.101</v>
      </c>
      <c r="D81" s="9" t="str">
        <f>mgmt_az2_vsan_pool_start_ip</f>
        <v>Value Missing</v>
      </c>
      <c r="E81" s="160"/>
    </row>
    <row r="82" spans="2:5" ht="20.05" customHeight="1" x14ac:dyDescent="0.35">
      <c r="B82" s="22" t="s">
        <v>256</v>
      </c>
      <c r="C82" s="80" t="str">
        <f>sample_mgmt_az2_vsan_pool_end_ip</f>
        <v>10.12.13.116</v>
      </c>
      <c r="D82" s="9" t="str">
        <f>mgmt_az2_vsan_pool_end_ip</f>
        <v>Value Missing</v>
      </c>
      <c r="E82" s="160"/>
    </row>
    <row r="83" spans="2:5" ht="20.05" customHeight="1" x14ac:dyDescent="0.35">
      <c r="B83" s="502" t="s">
        <v>258</v>
      </c>
      <c r="C83" s="503"/>
      <c r="D83" s="503"/>
      <c r="E83" s="504"/>
    </row>
    <row r="84" spans="2:5" ht="20.05" customHeight="1" x14ac:dyDescent="0.35">
      <c r="B84" s="22" t="s">
        <v>85</v>
      </c>
      <c r="C84" s="135" t="str">
        <f>sample_mgmt_az2_secondary_storage_vlan</f>
        <v>1215</v>
      </c>
      <c r="D84" s="276" t="str">
        <f>mgmt_az2_secondary_storage_vlan</f>
        <v>Value Missing</v>
      </c>
      <c r="E84" s="160"/>
    </row>
    <row r="85" spans="2:5" ht="20.05" customHeight="1" x14ac:dyDescent="0.35">
      <c r="B85" s="22" t="s">
        <v>187</v>
      </c>
      <c r="C85" s="135" t="str">
        <f>sample_mgmt_az2_secondary_storage_gateway_ip</f>
        <v>10.12.15.1</v>
      </c>
      <c r="D85" s="276" t="str">
        <f>mgmt_az2_secondary_storage_gateway_ip</f>
        <v>Value Missing</v>
      </c>
      <c r="E85" s="160"/>
    </row>
    <row r="86" spans="2:5" ht="20.05" customHeight="1" x14ac:dyDescent="0.35">
      <c r="B86" s="22" t="s">
        <v>160</v>
      </c>
      <c r="C86" s="135">
        <f>sample_mgmt_az2_secondary_storage_mtu</f>
        <v>9000</v>
      </c>
      <c r="D86" s="276" t="str">
        <f>mgmt_az2_secondary_storage_mtu</f>
        <v>Value Missing</v>
      </c>
      <c r="E86" s="160"/>
    </row>
    <row r="87" spans="2:5" ht="20.05" customHeight="1" x14ac:dyDescent="0.35">
      <c r="B87" s="22" t="s">
        <v>188</v>
      </c>
      <c r="C87" s="135" t="str">
        <f>CONCATENATE(prefix_mgmt_az2_cidr,"15.0/24")</f>
        <v>10.12.15.0/24</v>
      </c>
      <c r="D87" s="276" t="str">
        <f>sample_mgmt_az2_secondary_storage_cidr</f>
        <v>10.12.15.0/24</v>
      </c>
      <c r="E87" s="160"/>
    </row>
    <row r="88" spans="2:5" ht="20.05" customHeight="1" x14ac:dyDescent="0.35">
      <c r="B88" s="22" t="s">
        <v>255</v>
      </c>
      <c r="C88" s="135" t="str">
        <f>sample_mgmt_az2_secondary_storage_pool_start_ip</f>
        <v>10.12.15.101</v>
      </c>
      <c r="D88" s="277" t="str">
        <f>mgmt_az2_secondary_storage_pool_start_ip</f>
        <v>Value Missing</v>
      </c>
      <c r="E88" s="160"/>
    </row>
    <row r="89" spans="2:5" ht="20.05" customHeight="1" x14ac:dyDescent="0.35">
      <c r="B89" s="22" t="s">
        <v>256</v>
      </c>
      <c r="C89" s="135" t="str">
        <f>sample_mgmt_az2_secondary_storage_pool_end_ip</f>
        <v>10.12.15.116</v>
      </c>
      <c r="D89" s="277" t="str">
        <f>mgmt_az2_secondary_storage_pool_end_ip</f>
        <v>Value Missing</v>
      </c>
      <c r="E89" s="160"/>
    </row>
    <row r="90" spans="2:5" ht="20.05" customHeight="1" x14ac:dyDescent="0.35">
      <c r="B90" s="502" t="s">
        <v>938</v>
      </c>
      <c r="C90" s="503"/>
      <c r="D90" s="503"/>
      <c r="E90" s="504"/>
    </row>
    <row r="91" spans="2:5" ht="20.05" customHeight="1" x14ac:dyDescent="0.35">
      <c r="B91" s="22" t="s">
        <v>85</v>
      </c>
      <c r="C91" s="80" t="str">
        <f>sample_mgmt_az2_host_overlay_vlan</f>
        <v>1214</v>
      </c>
      <c r="D91" s="9" t="str">
        <f>mgmt_az2_host_overlay_vlan</f>
        <v>Value Missing</v>
      </c>
      <c r="E91" s="160"/>
    </row>
    <row r="92" spans="2:5" ht="20.05" customHeight="1" x14ac:dyDescent="0.35">
      <c r="B92" s="22" t="s">
        <v>187</v>
      </c>
      <c r="C92" s="80" t="str">
        <f>sample_mgmt_az2_host_overlay_gateway_ip</f>
        <v>10.12.14.1</v>
      </c>
      <c r="D92" s="9" t="str">
        <f>mgmt_az2_host_overlay_gateway_ip</f>
        <v>Value Missing</v>
      </c>
      <c r="E92" s="160"/>
    </row>
    <row r="93" spans="2:5" ht="20.05" customHeight="1" x14ac:dyDescent="0.35">
      <c r="B93" s="22" t="s">
        <v>160</v>
      </c>
      <c r="C93" s="80">
        <f>sample_mgmt_az2_host_overlay_mtu</f>
        <v>9000</v>
      </c>
      <c r="D93" s="9" t="str">
        <f>mgmt_az2_host_overlay_mtu</f>
        <v>Value Missing</v>
      </c>
      <c r="E93" s="160"/>
    </row>
    <row r="94" spans="2:5" ht="20.05" customHeight="1" x14ac:dyDescent="0.35">
      <c r="B94" s="22" t="s">
        <v>188</v>
      </c>
      <c r="C94" s="80" t="str">
        <f>sample_mgmt_az2_host_overlay_cidr</f>
        <v>10.12.14.0/24</v>
      </c>
      <c r="D94" s="9" t="str">
        <f>mgmt_az2_host_overlay_cidr</f>
        <v>Value Missing</v>
      </c>
      <c r="E94" s="160"/>
    </row>
    <row r="95" spans="2:5" ht="20.05" customHeight="1" x14ac:dyDescent="0.35">
      <c r="B95" s="22" t="s">
        <v>255</v>
      </c>
      <c r="C95" s="80" t="str">
        <f>sample_mgmt_az2_host_overlay_pool_start_ip</f>
        <v>10.12.14.101</v>
      </c>
      <c r="D95" s="9" t="str">
        <f>mgmt_az2_host_overlay_pool_start_ip</f>
        <v>Value Missing</v>
      </c>
      <c r="E95" s="160"/>
    </row>
    <row r="96" spans="2:5" ht="20.05" customHeight="1" x14ac:dyDescent="0.35">
      <c r="B96" s="22" t="s">
        <v>256</v>
      </c>
      <c r="C96" s="80" t="str">
        <f>sample_mgmt_az2_host_overlay_pool_end_ip</f>
        <v>10.12.14.132</v>
      </c>
      <c r="D96" s="9" t="str">
        <f>mgmt_az2_host_overlay_pool_end_ip</f>
        <v>Value Missing</v>
      </c>
      <c r="E96" s="160"/>
    </row>
    <row r="97" spans="2:5" ht="20.05" customHeight="1" x14ac:dyDescent="0.35">
      <c r="B97" s="496" t="s">
        <v>3279</v>
      </c>
      <c r="C97" s="497"/>
      <c r="D97" s="497"/>
      <c r="E97" s="498"/>
    </row>
    <row r="98" spans="2:5" ht="20.05" customHeight="1" x14ac:dyDescent="0.35">
      <c r="B98" s="182" t="str">
        <f>mgmt_witness_fqdn</f>
        <v>Value Missing</v>
      </c>
      <c r="C98" s="181" t="str">
        <f>sample_mgmt_witness_ip</f>
        <v>10.21.10.218</v>
      </c>
      <c r="D98" s="182" t="e">
        <f>mgmt_witness_mgmt_ip</f>
        <v>#NAME?</v>
      </c>
      <c r="E98" s="150" t="s">
        <v>278</v>
      </c>
    </row>
    <row r="99" spans="2:5" ht="20.05" customHeight="1" x14ac:dyDescent="0.35">
      <c r="B99" s="182" t="str">
        <f t="array" ref="B99">mgmt_witness_vcenter_fqdn</f>
        <v>Value Missing</v>
      </c>
      <c r="C99" s="181" t="str">
        <f>sample_mgmt_witness_zone_vc_ip</f>
        <v>10.21.10.70</v>
      </c>
      <c r="D99" s="182" t="str">
        <f>mgmt_witness_zone_vc_ip</f>
        <v>Value Missing</v>
      </c>
      <c r="E99" s="150" t="s">
        <v>274</v>
      </c>
    </row>
    <row r="100" spans="2:5" ht="20.05" customHeight="1" x14ac:dyDescent="0.35">
      <c r="B100" s="636" t="s">
        <v>3283</v>
      </c>
      <c r="C100" s="637"/>
      <c r="D100" s="637"/>
      <c r="E100" s="638"/>
    </row>
    <row r="101" spans="2:5" ht="20.05" customHeight="1" x14ac:dyDescent="0.35">
      <c r="B101" s="182" t="str">
        <f t="array" ref="B101:B116">mgmt_az2_host_fqdns</f>
        <v>Value Missing</v>
      </c>
      <c r="C101" s="131" t="str">
        <f>CONCATENATE(prefix_mgmt_az2_cidr,"11.101")</f>
        <v>10.12.11.101</v>
      </c>
      <c r="D101" s="182" t="str">
        <f>mgmt_az2_host1_mgmt_ip</f>
        <v>Value Missing</v>
      </c>
      <c r="E101" s="150"/>
    </row>
    <row r="102" spans="2:5" ht="20.05" customHeight="1" x14ac:dyDescent="0.35">
      <c r="B102" s="182" t="str">
        <v>Value Missing</v>
      </c>
      <c r="C102" s="131" t="str">
        <f>CONCATENATE(prefix_mgmt_az2_cidr,"11.102")</f>
        <v>10.12.11.102</v>
      </c>
      <c r="D102" s="182" t="str">
        <f>mgmt_az2_host2_mgmt_ip</f>
        <v>Value Missing</v>
      </c>
      <c r="E102" s="150"/>
    </row>
    <row r="103" spans="2:5" ht="20.05" customHeight="1" x14ac:dyDescent="0.35">
      <c r="B103" s="182" t="str">
        <v>Value Missing</v>
      </c>
      <c r="C103" s="131" t="str">
        <f>CONCATENATE(prefix_mgmt_az2_cidr,"11.103")</f>
        <v>10.12.11.103</v>
      </c>
      <c r="D103" s="182" t="str">
        <f>mgmt_az2_host3_mgmt_ip</f>
        <v>Value Missing</v>
      </c>
      <c r="E103" s="150"/>
    </row>
    <row r="104" spans="2:5" ht="20.05" customHeight="1" x14ac:dyDescent="0.35">
      <c r="B104" s="182" t="str">
        <v>Value Missing</v>
      </c>
      <c r="C104" s="131" t="str">
        <f>CONCATENATE(prefix_mgmt_az2_cidr,"11.104")</f>
        <v>10.12.11.104</v>
      </c>
      <c r="D104" s="182" t="str">
        <f>mgmt_az2_host4_mgmt_ip</f>
        <v>Value Missing</v>
      </c>
      <c r="E104" s="150"/>
    </row>
    <row r="105" spans="2:5" ht="20.05" customHeight="1" x14ac:dyDescent="0.35">
      <c r="B105" s="182" t="str">
        <v>Value Missing</v>
      </c>
      <c r="C105" s="131" t="str">
        <f>CONCATENATE(prefix_mgmt_az2_cidr,"11.105")</f>
        <v>10.12.11.105</v>
      </c>
      <c r="D105" s="182" t="str">
        <f>mgmt_az2_host5_mgmt_ip</f>
        <v>Value Missing</v>
      </c>
      <c r="E105" s="150"/>
    </row>
    <row r="106" spans="2:5" ht="20.05" customHeight="1" x14ac:dyDescent="0.35">
      <c r="B106" s="182" t="str">
        <v>Value Missing</v>
      </c>
      <c r="C106" s="131" t="str">
        <f>CONCATENATE(prefix_mgmt_az2_cidr,"11.106")</f>
        <v>10.12.11.106</v>
      </c>
      <c r="D106" s="182" t="str">
        <f>mgmt_az2_host6_mgmt_ip</f>
        <v>Value Missing</v>
      </c>
      <c r="E106" s="150"/>
    </row>
    <row r="107" spans="2:5" ht="20.05" customHeight="1" x14ac:dyDescent="0.35">
      <c r="B107" s="182" t="str">
        <v>Value Missing</v>
      </c>
      <c r="C107" s="131" t="str">
        <f>CONCATENATE(prefix_mgmt_az2_cidr,"11.107")</f>
        <v>10.12.11.107</v>
      </c>
      <c r="D107" s="182" t="str">
        <f>mgmt_az2_host7_mgmt_ip</f>
        <v>Value Missing</v>
      </c>
      <c r="E107" s="150"/>
    </row>
    <row r="108" spans="2:5" ht="20.05" customHeight="1" x14ac:dyDescent="0.35">
      <c r="B108" s="182" t="str">
        <v>Value Missing</v>
      </c>
      <c r="C108" s="131" t="str">
        <f>CONCATENATE(prefix_mgmt_az2_cidr,"11.108")</f>
        <v>10.12.11.108</v>
      </c>
      <c r="D108" s="182" t="str">
        <f>mgmt_az2_host8_mgmt_ip</f>
        <v>Value Missing</v>
      </c>
      <c r="E108" s="150"/>
    </row>
    <row r="109" spans="2:5" ht="20.05" customHeight="1" x14ac:dyDescent="0.35">
      <c r="B109" s="182" t="str">
        <v>Value Missing</v>
      </c>
      <c r="C109" s="131" t="str">
        <f>CONCATENATE(prefix_mgmt_az2_cidr,"11.109")</f>
        <v>10.12.11.109</v>
      </c>
      <c r="D109" s="182" t="str">
        <f>mgmt_az2_host9_mgmt_ip</f>
        <v>Value Missing</v>
      </c>
      <c r="E109" s="150"/>
    </row>
    <row r="110" spans="2:5" ht="20.05" customHeight="1" x14ac:dyDescent="0.35">
      <c r="B110" s="182" t="str">
        <v>Value Missing</v>
      </c>
      <c r="C110" s="131" t="str">
        <f>CONCATENATE(prefix_mgmt_az2_cidr,"11.110")</f>
        <v>10.12.11.110</v>
      </c>
      <c r="D110" s="182" t="str">
        <f>mgmt_az2_host10_mgmt_ip</f>
        <v>Value Missing</v>
      </c>
      <c r="E110" s="150"/>
    </row>
    <row r="111" spans="2:5" ht="20.05" customHeight="1" x14ac:dyDescent="0.35">
      <c r="B111" s="182" t="str">
        <v>Value Missing</v>
      </c>
      <c r="C111" s="131" t="str">
        <f>CONCATENATE(prefix_mgmt_az2_cidr,"11.111")</f>
        <v>10.12.11.111</v>
      </c>
      <c r="D111" s="182" t="str">
        <f>mgmt_az2_host11_mgmt_ip</f>
        <v>Value Missing</v>
      </c>
      <c r="E111" s="150"/>
    </row>
    <row r="112" spans="2:5" ht="20.05" customHeight="1" x14ac:dyDescent="0.35">
      <c r="B112" s="182" t="str">
        <v>Value Missing</v>
      </c>
      <c r="C112" s="131" t="str">
        <f>CONCATENATE(prefix_mgmt_az2_cidr,"11.112")</f>
        <v>10.12.11.112</v>
      </c>
      <c r="D112" s="182" t="str">
        <f>mgmt_az2_host12_mgmt_ip</f>
        <v>Value Missing</v>
      </c>
      <c r="E112" s="150"/>
    </row>
    <row r="113" spans="2:5" ht="20.05" customHeight="1" x14ac:dyDescent="0.35">
      <c r="B113" s="182" t="str">
        <v>Value Missing</v>
      </c>
      <c r="C113" s="131" t="str">
        <f>CONCATENATE(prefix_mgmt_az2_cidr,"11.113")</f>
        <v>10.12.11.113</v>
      </c>
      <c r="D113" s="182" t="str">
        <f>mgmt_az2_host13_mgmt_ip</f>
        <v>Value Missing</v>
      </c>
      <c r="E113" s="150"/>
    </row>
    <row r="114" spans="2:5" ht="20.05" customHeight="1" x14ac:dyDescent="0.35">
      <c r="B114" s="182" t="str">
        <v>Value Missing</v>
      </c>
      <c r="C114" s="131" t="str">
        <f>CONCATENATE(prefix_mgmt_az2_cidr,"11.114")</f>
        <v>10.12.11.114</v>
      </c>
      <c r="D114" s="182" t="str">
        <f>mgmt_az2_host14_mgmt_ip</f>
        <v>Value Missing</v>
      </c>
      <c r="E114" s="150"/>
    </row>
    <row r="115" spans="2:5" ht="20.05" customHeight="1" x14ac:dyDescent="0.35">
      <c r="B115" s="182" t="str">
        <v>Value Missing</v>
      </c>
      <c r="C115" s="131" t="str">
        <f>CONCATENATE(prefix_mgmt_az2_cidr,"11.115")</f>
        <v>10.12.11.115</v>
      </c>
      <c r="D115" s="182" t="str">
        <f>mgmt_az2_host15_mgmt_ip</f>
        <v>Value Missing</v>
      </c>
      <c r="E115" s="150"/>
    </row>
    <row r="116" spans="2:5" ht="20.05" customHeight="1" x14ac:dyDescent="0.35">
      <c r="B116" s="182" t="str">
        <v>Value Missing</v>
      </c>
      <c r="C116" s="131" t="str">
        <f>CONCATENATE(prefix_mgmt_az2_cidr,"11.116")</f>
        <v>10.12.11.116</v>
      </c>
      <c r="D116" s="182" t="str">
        <f>mgmt_az2_host16_mgmt_ip</f>
        <v>Value Missing</v>
      </c>
      <c r="E116" s="150"/>
    </row>
    <row r="117" spans="2:5" ht="20.05" customHeight="1" x14ac:dyDescent="0.35">
      <c r="B117" s="526" t="s">
        <v>3275</v>
      </c>
      <c r="C117" s="526"/>
      <c r="D117" s="526"/>
      <c r="E117" s="526"/>
    </row>
    <row r="118" spans="2:5" ht="20.05" customHeight="1" x14ac:dyDescent="0.35">
      <c r="B118" s="4" t="s">
        <v>1025</v>
      </c>
      <c r="C118" s="80" t="str">
        <f>sample_mgmt_en_asn</f>
        <v>65101</v>
      </c>
      <c r="D118" s="337" t="str">
        <f>mgmt_en_asn</f>
        <v>Value Missing</v>
      </c>
      <c r="E118" s="32"/>
    </row>
    <row r="119" spans="2:5" ht="20.05" customHeight="1" x14ac:dyDescent="0.35">
      <c r="B119" s="4" t="s">
        <v>168</v>
      </c>
      <c r="C119" s="80" t="str">
        <f>sample_mgmt_az2_tor1_peer_ip</f>
        <v>10.11.17.11</v>
      </c>
      <c r="D119" s="337" t="str">
        <f>mgmt_az1_tor1_peer_ip</f>
        <v>Value Missing</v>
      </c>
      <c r="E119" s="32"/>
    </row>
    <row r="120" spans="2:5" ht="20.05" customHeight="1" x14ac:dyDescent="0.35">
      <c r="B120" s="4" t="s">
        <v>169</v>
      </c>
      <c r="C120" s="80" t="str">
        <f>sample_mgmt_az2_tor1_peer_asn</f>
        <v>65121</v>
      </c>
      <c r="D120" s="337" t="str">
        <f>mgmt_az1_tor1_peer_asn</f>
        <v>Value Missing</v>
      </c>
      <c r="E120" s="32"/>
    </row>
    <row r="121" spans="2:5" ht="20.05" customHeight="1" x14ac:dyDescent="0.35">
      <c r="B121" s="4" t="s">
        <v>170</v>
      </c>
      <c r="C121" s="80" t="str">
        <f>sample_mgmt_az2_tor1_peer_bgp_password</f>
        <v>VMw@re1!</v>
      </c>
      <c r="D121" s="337" t="str">
        <f>mgmt_az1_tor1_peer_bgp_password</f>
        <v>Value Missing</v>
      </c>
      <c r="E121" s="32"/>
    </row>
    <row r="122" spans="2:5" ht="20.05" customHeight="1" x14ac:dyDescent="0.35">
      <c r="B122" s="4" t="s">
        <v>171</v>
      </c>
      <c r="C122" s="80" t="str">
        <f>sample_mgmt_az2_tor2_peer_ip</f>
        <v>10.11.18.11</v>
      </c>
      <c r="D122" s="337" t="str">
        <f>mgmt_az1_tor2_peer_ip</f>
        <v>Value Missing</v>
      </c>
      <c r="E122" s="32"/>
    </row>
    <row r="123" spans="2:5" ht="20.05" customHeight="1" x14ac:dyDescent="0.35">
      <c r="B123" s="4" t="s">
        <v>172</v>
      </c>
      <c r="C123" s="80" t="str">
        <f>sample_mgmt_az2_tor2_peer_asn</f>
        <v>65121</v>
      </c>
      <c r="D123" s="337" t="str">
        <f>mgmt_az1_tor2_peer_asn</f>
        <v>Value Missing</v>
      </c>
      <c r="E123" s="32"/>
    </row>
    <row r="124" spans="2:5" ht="20.05" customHeight="1" x14ac:dyDescent="0.35">
      <c r="B124" s="4" t="s">
        <v>173</v>
      </c>
      <c r="C124" s="80" t="str">
        <f>sample_mgmt_az2_tor2_peer_bgp_password</f>
        <v>VMw@re1!</v>
      </c>
      <c r="D124" s="337" t="str">
        <f>mgmt_az1_tor2_peer_bgp_password</f>
        <v>Value Missing</v>
      </c>
      <c r="E124" s="32"/>
    </row>
    <row r="126" spans="2:5" ht="34" customHeight="1" x14ac:dyDescent="0.35">
      <c r="B126" s="407" t="s">
        <v>7</v>
      </c>
      <c r="C126" s="408"/>
      <c r="D126" s="408"/>
      <c r="E126" s="409"/>
    </row>
    <row r="127" spans="2:5" ht="20.05" customHeight="1" x14ac:dyDescent="0.35">
      <c r="B127" s="346" t="s">
        <v>17</v>
      </c>
      <c r="C127" s="346" t="s">
        <v>18</v>
      </c>
      <c r="D127" s="346" t="s">
        <v>19</v>
      </c>
      <c r="E127" s="346" t="s">
        <v>20</v>
      </c>
    </row>
    <row r="128" spans="2:5" ht="20.05" customHeight="1" x14ac:dyDescent="0.35">
      <c r="B128" s="496" t="s">
        <v>932</v>
      </c>
      <c r="C128" s="497"/>
      <c r="D128" s="497"/>
      <c r="E128" s="498"/>
    </row>
    <row r="129" spans="2:5" ht="20.05" customHeight="1" x14ac:dyDescent="0.35">
      <c r="B129" s="4" t="s">
        <v>85</v>
      </c>
      <c r="C129" s="89" t="str">
        <f>sample_mgmt_az1_mgmt_vm_vlan</f>
        <v>1110</v>
      </c>
      <c r="D129" s="337" t="str">
        <f>mgmt_az1_mgmt_vm_vlan</f>
        <v>Value Missing</v>
      </c>
      <c r="E129" s="33" t="s">
        <v>3284</v>
      </c>
    </row>
    <row r="130" spans="2:5" ht="20.05" customHeight="1" x14ac:dyDescent="0.35">
      <c r="B130" s="4" t="s">
        <v>187</v>
      </c>
      <c r="C130" s="80" t="str">
        <f>sample_mgmt_az1_mgmt_vm_gateway_ip</f>
        <v>10.11.10.1</v>
      </c>
      <c r="D130" s="337" t="str">
        <f>mgmt_az1_mgmt_vm_gateway_ip</f>
        <v>Value Missing</v>
      </c>
      <c r="E130" s="33"/>
    </row>
    <row r="131" spans="2:5" ht="20.05" customHeight="1" x14ac:dyDescent="0.35">
      <c r="B131" s="4" t="s">
        <v>188</v>
      </c>
      <c r="C131" s="80" t="str">
        <f>sample_mgmt_az1_mgmt_cidr</f>
        <v>10.11.11.0/24</v>
      </c>
      <c r="D131" s="337" t="str">
        <f>mgmt_az1_mgmt_cidr</f>
        <v>Value Missing</v>
      </c>
      <c r="E131" s="33"/>
    </row>
    <row r="132" spans="2:5" ht="20.05" customHeight="1" x14ac:dyDescent="0.35">
      <c r="B132" s="4" t="s">
        <v>160</v>
      </c>
      <c r="C132" s="80">
        <f>sample_mgmt_az1_mgmt_vm_mtu</f>
        <v>1500</v>
      </c>
      <c r="D132" s="337" t="str">
        <f>mgmt_az1_mgmt_vm_mtu</f>
        <v>Value Missing</v>
      </c>
      <c r="E132" s="33"/>
    </row>
    <row r="133" spans="2:5" ht="20.05" customHeight="1" x14ac:dyDescent="0.35">
      <c r="B133" s="496" t="s">
        <v>3285</v>
      </c>
      <c r="C133" s="497"/>
      <c r="D133" s="497"/>
      <c r="E133" s="498"/>
    </row>
    <row r="134" spans="2:5" ht="20.05" customHeight="1" x14ac:dyDescent="0.35">
      <c r="B134" s="4" t="s">
        <v>85</v>
      </c>
      <c r="C134" s="362" t="str">
        <f>sample_mgmt_az1_rtep_overlay_vlan</f>
        <v>1120</v>
      </c>
      <c r="D134" s="337" t="str">
        <f>mgmt_az1_rtep_overlay_vlan</f>
        <v>Value Missing</v>
      </c>
      <c r="E134" s="337"/>
    </row>
    <row r="135" spans="2:5" ht="20.05" customHeight="1" x14ac:dyDescent="0.35">
      <c r="B135" s="4" t="s">
        <v>187</v>
      </c>
      <c r="C135" s="362" t="str">
        <f>sample_mgmt_az1_rtep_overlay_gateway_ip</f>
        <v>10.11.20.1</v>
      </c>
      <c r="D135" s="337" t="str">
        <f>mgmt_az1_rtep_overlay_gateway_ip</f>
        <v>Value Missing</v>
      </c>
      <c r="E135" s="337"/>
    </row>
    <row r="136" spans="2:5" ht="20.05" customHeight="1" x14ac:dyDescent="0.35">
      <c r="B136" s="4" t="s">
        <v>188</v>
      </c>
      <c r="C136" s="362" t="str">
        <f>sample_mgmt_az1_rtep_overlay_cidr</f>
        <v>10.11.20.0/24</v>
      </c>
      <c r="D136" s="337" t="str">
        <f>mgmt_az1_rtep_overlay_cidr</f>
        <v>Value Missing</v>
      </c>
      <c r="E136" s="337"/>
    </row>
    <row r="137" spans="2:5" ht="20.05" customHeight="1" x14ac:dyDescent="0.35">
      <c r="B137" s="496" t="s">
        <v>3276</v>
      </c>
      <c r="C137" s="497"/>
      <c r="D137" s="497"/>
      <c r="E137" s="498"/>
    </row>
    <row r="138" spans="2:5" ht="20.05" customHeight="1" x14ac:dyDescent="0.35">
      <c r="B138" s="4" t="str">
        <f>mgmt_nsxt_global_mgra_fqdn</f>
        <v>Value Missing</v>
      </c>
      <c r="C138" s="362" t="str">
        <f>sample_mgmt_nsxt_gm_vip_ip</f>
        <v>10.11.10.81</v>
      </c>
      <c r="D138" s="337" t="str">
        <f>mgmt_nsxt_gm_vip_ip</f>
        <v>Value Missing</v>
      </c>
      <c r="E138" s="337"/>
    </row>
    <row r="139" spans="2:5" ht="20.05" customHeight="1" x14ac:dyDescent="0.35">
      <c r="B139" s="4" t="str">
        <f>mgmt_nsxt_global_mgra_fqdn</f>
        <v>Value Missing</v>
      </c>
      <c r="C139" s="362" t="str">
        <f>sample_mgmt_nsxt_global_mgra_ip</f>
        <v>10.11.10.82</v>
      </c>
      <c r="D139" s="337" t="str">
        <f>mgmt_nsxt_global_mgra_ip</f>
        <v>Value Missing</v>
      </c>
      <c r="E139" s="337"/>
    </row>
    <row r="140" spans="2:5" ht="20.05" customHeight="1" x14ac:dyDescent="0.35">
      <c r="B140" s="4" t="str">
        <f>mgmt_nsxt_global_mgrb_fqdn</f>
        <v>Value Missing</v>
      </c>
      <c r="C140" s="362" t="str">
        <f>sample_mgmt_nsxt_global_mgrb_ip</f>
        <v>10.11.10.83</v>
      </c>
      <c r="D140" s="337" t="str">
        <f>mgmt_nsxt_global_mgrb_ip</f>
        <v>Value Missing</v>
      </c>
      <c r="E140" s="337"/>
    </row>
    <row r="141" spans="2:5" ht="20.05" customHeight="1" x14ac:dyDescent="0.35">
      <c r="B141" s="4" t="str">
        <f>mgmt_nsxt_global_mgrc_fqdn</f>
        <v>Value Missing</v>
      </c>
      <c r="C141" s="362" t="str">
        <f>sample_mgmt_nsxt_global_mgrc_ip</f>
        <v>10.11.10.84</v>
      </c>
      <c r="D141" s="337" t="str">
        <f>mgmt_nsxt_global_mgrc_ip</f>
        <v>Value Missing</v>
      </c>
      <c r="E141" s="337"/>
    </row>
    <row r="142" spans="2:5" ht="20.05" customHeight="1" x14ac:dyDescent="0.35">
      <c r="B142" s="30" t="str">
        <f>sample_mgmt_az1_en1_hostname</f>
        <v>sfo-m01-en1</v>
      </c>
      <c r="C142" s="80" t="str">
        <f>sample_mgmt_az1_en1_mgmt_cidr</f>
        <v>10.11.10.75/24</v>
      </c>
      <c r="D142" s="337" t="str">
        <f>mgmt_az1_en1_mgmt_cidr</f>
        <v>Value Missing</v>
      </c>
      <c r="E142" s="337"/>
    </row>
    <row r="143" spans="2:5" ht="20.05" customHeight="1" x14ac:dyDescent="0.35">
      <c r="B143" s="99" t="s">
        <v>2729</v>
      </c>
      <c r="C143" s="80" t="str">
        <f>sample_mgmt_az1_en1_uplink01_interface_cidr</f>
        <v>10.11.17.2/24</v>
      </c>
      <c r="D143" s="337" t="str">
        <f>mgmt_az1_en1_uplink01_interface_cidr</f>
        <v>Value Missing</v>
      </c>
      <c r="E143" s="337" t="s">
        <v>156</v>
      </c>
    </row>
    <row r="144" spans="2:5" ht="20.05" customHeight="1" x14ac:dyDescent="0.35">
      <c r="B144" s="99" t="s">
        <v>2729</v>
      </c>
      <c r="C144" s="80" t="str">
        <f>sample_mgmt_az1_en1_uplink02_interface_cidr</f>
        <v>10.11.18.2/24</v>
      </c>
      <c r="D144" s="337" t="str">
        <f>mgmt_az1_en1_uplink02_interface_cidr</f>
        <v>Value Missing</v>
      </c>
      <c r="E144" s="337" t="s">
        <v>1057</v>
      </c>
    </row>
    <row r="145" spans="2:5" ht="20.05" customHeight="1" x14ac:dyDescent="0.35">
      <c r="B145" s="179" t="s">
        <v>2729</v>
      </c>
      <c r="C145" s="80" t="str">
        <f>sample_mgmt_az1_en1_edge_overlay_interface_ip_1_ip</f>
        <v>10.11.19.2</v>
      </c>
      <c r="D145" s="337" t="str">
        <f>mgmt_az1_en1_edge_overlay_interface_ip_1_ip</f>
        <v>Value Missing</v>
      </c>
      <c r="E145" s="337" t="s">
        <v>1046</v>
      </c>
    </row>
    <row r="146" spans="2:5" ht="20.05" customHeight="1" x14ac:dyDescent="0.35">
      <c r="B146" s="180" t="s">
        <v>2729</v>
      </c>
      <c r="C146" s="80" t="str">
        <f>sample_mgmt_az1_en1_edge_overlay_interface_ip_2_ip</f>
        <v>10.11.19.3</v>
      </c>
      <c r="D146" s="337" t="str">
        <f>mgmt_az1_en1_edge_overlay_interface_ip_2_ip</f>
        <v>Value Missing</v>
      </c>
      <c r="E146" s="337" t="s">
        <v>3277</v>
      </c>
    </row>
    <row r="147" spans="2:5" ht="20.05" customHeight="1" x14ac:dyDescent="0.35">
      <c r="B147" s="30" t="str">
        <f>sample_mgmt_az1_en2_hostname</f>
        <v>sfo-m01-en2</v>
      </c>
      <c r="C147" s="80" t="str">
        <f>sample_mgmt_az1_en2_mgmt_cidr</f>
        <v>10.11.10.76/24</v>
      </c>
      <c r="D147" s="337" t="str">
        <f>mgmt_az1_en2_mgmt_cidr</f>
        <v>Value Missing</v>
      </c>
      <c r="E147" s="337"/>
    </row>
    <row r="148" spans="2:5" ht="20.05" customHeight="1" x14ac:dyDescent="0.35">
      <c r="B148" s="99" t="s">
        <v>2729</v>
      </c>
      <c r="C148" s="80" t="str">
        <f>sample_mgmt_az1_en2_uplink01_interface_cidr</f>
        <v>10.11.17.3/24</v>
      </c>
      <c r="D148" s="337" t="str">
        <f>mgmt_az1_en2_uplink01_interface_cidr</f>
        <v>Value Missing</v>
      </c>
      <c r="E148" s="337" t="s">
        <v>167</v>
      </c>
    </row>
    <row r="149" spans="2:5" ht="20.05" customHeight="1" x14ac:dyDescent="0.35">
      <c r="B149" s="99" t="s">
        <v>2729</v>
      </c>
      <c r="C149" s="80" t="str">
        <f>sample_mgmt_az1_en2_uplink02_interface_cidr</f>
        <v>10.11.18.3/24</v>
      </c>
      <c r="D149" s="337" t="str">
        <f>mgmt_az1_en2_uplink02_interface_cidr</f>
        <v>Value Missing</v>
      </c>
      <c r="E149" s="337" t="s">
        <v>165</v>
      </c>
    </row>
    <row r="150" spans="2:5" ht="20.05" customHeight="1" x14ac:dyDescent="0.35">
      <c r="B150" s="179" t="s">
        <v>2729</v>
      </c>
      <c r="C150" s="80" t="str">
        <f>sample_mgmt_az1_en2_edge_overlay_interface_ip_1_ip</f>
        <v>10.11.19.4</v>
      </c>
      <c r="D150" s="337" t="str">
        <f>mgmt_az1_en2_edge_overlay_interface_ip_1_ip</f>
        <v>Value Missing</v>
      </c>
      <c r="E150" s="337" t="s">
        <v>1052</v>
      </c>
    </row>
    <row r="151" spans="2:5" ht="20.05" customHeight="1" x14ac:dyDescent="0.35">
      <c r="B151" s="180" t="s">
        <v>2729</v>
      </c>
      <c r="C151" s="80" t="str">
        <f>sample_mgmt_az1_en2_edge_overlay_interface_ip_2_ip</f>
        <v>10.11.19.5</v>
      </c>
      <c r="D151" s="337" t="str">
        <f>mgmt_az1_en2_edge_overlay_interface_ip_2_ip</f>
        <v>Value Missing</v>
      </c>
      <c r="E151" s="337" t="s">
        <v>1054</v>
      </c>
    </row>
  </sheetData>
  <sheetProtection algorithmName="SHA-512" hashValue="nUPEmXMgPmMwaLeMRjscM78D2cKiq3FkSMxuKmDGwswDMXwujgaWnMf2FMNjAa0vcWbbIFHsUTUBFCnP6g8SnQ==" saltValue="lTeQBUBWNmGPOerRTEbUyw==" spinCount="100000" sheet="1" objects="1" scenarios="1"/>
  <mergeCells count="26">
    <mergeCell ref="B137:E137"/>
    <mergeCell ref="B62:E62"/>
    <mergeCell ref="B64:E64"/>
    <mergeCell ref="B117:E117"/>
    <mergeCell ref="B126:E126"/>
    <mergeCell ref="B133:E133"/>
    <mergeCell ref="B128:E128"/>
    <mergeCell ref="B76:E76"/>
    <mergeCell ref="B83:E83"/>
    <mergeCell ref="B90:E90"/>
    <mergeCell ref="B97:E97"/>
    <mergeCell ref="B100:E100"/>
    <mergeCell ref="B2:E2"/>
    <mergeCell ref="B3:E3"/>
    <mergeCell ref="B69:E69"/>
    <mergeCell ref="B56:E56"/>
    <mergeCell ref="B19:E19"/>
    <mergeCell ref="B29:E29"/>
    <mergeCell ref="B24:E24"/>
    <mergeCell ref="B51:E51"/>
    <mergeCell ref="B49:E49"/>
    <mergeCell ref="B9:E9"/>
    <mergeCell ref="B14:E14"/>
    <mergeCell ref="B7:E7"/>
    <mergeCell ref="B6:E6"/>
    <mergeCell ref="B37:E37"/>
  </mergeCells>
  <conditionalFormatting sqref="B98:B99">
    <cfRule type="expression" dxfId="291" priority="2" stopIfTrue="1">
      <formula>mgmt_stretched_cluster_result="Excluded"</formula>
    </cfRule>
    <cfRule type="containsBlanks" dxfId="290" priority="3">
      <formula>LEN(TRIM(B98))=0</formula>
    </cfRule>
    <cfRule type="notContainsBlanks" dxfId="288" priority="5" stopIfTrue="1">
      <formula>LEN(TRIM(B98))&gt;0</formula>
    </cfRule>
  </conditionalFormatting>
  <conditionalFormatting sqref="B101:B116">
    <cfRule type="expression" dxfId="286" priority="6" stopIfTrue="1">
      <formula>mgmt_stretched_cluster_result="Excluded"</formula>
    </cfRule>
    <cfRule type="containsBlanks" dxfId="285" priority="7">
      <formula>LEN(TRIM(B101))=0</formula>
    </cfRule>
    <cfRule type="notContainsBlanks" dxfId="284" priority="9" stopIfTrue="1">
      <formula>LEN(TRIM(B101))&gt;0</formula>
    </cfRule>
  </conditionalFormatting>
  <conditionalFormatting sqref="D10:D13">
    <cfRule type="containsBlanks" dxfId="283" priority="55">
      <formula>LEN(TRIM(D10))=0</formula>
    </cfRule>
    <cfRule type="notContainsBlanks" dxfId="282" priority="84">
      <formula>LEN(TRIM(D10))&gt;0</formula>
    </cfRule>
    <cfRule type="expression" dxfId="281" priority="54">
      <formula>OR((mgmt_domain_result="Excluded"),(mgmt_vns_result="Excluded"))</formula>
    </cfRule>
  </conditionalFormatting>
  <conditionalFormatting sqref="D15:D18">
    <cfRule type="containsBlanks" dxfId="279" priority="65">
      <formula>LEN(TRIM(D15))=0</formula>
    </cfRule>
    <cfRule type="expression" dxfId="278" priority="64">
      <formula>OR((mgmt_domain_result="Excluded"),(mgmt_vns_result="Excluded"))</formula>
    </cfRule>
    <cfRule type="notContainsBlanks" dxfId="276" priority="85">
      <formula>LEN(TRIM(D15))&gt;0</formula>
    </cfRule>
  </conditionalFormatting>
  <conditionalFormatting sqref="D20:D23">
    <cfRule type="expression" dxfId="275" priority="61">
      <formula>OR((mgmt_domain_result="Excluded"),(mgmt_vns_result="Excluded"))</formula>
    </cfRule>
    <cfRule type="containsBlanks" dxfId="273" priority="62">
      <formula>LEN(TRIM(D20))=0</formula>
    </cfRule>
  </conditionalFormatting>
  <conditionalFormatting sqref="D20:D24">
    <cfRule type="notContainsBlanks" dxfId="272" priority="82">
      <formula>LEN(TRIM(D20))&gt;0</formula>
    </cfRule>
  </conditionalFormatting>
  <conditionalFormatting sqref="D24 D8:D9">
    <cfRule type="expression" dxfId="271" priority="80">
      <formula>mgmt_domain_existing_vcenter_chosen="Selected"</formula>
    </cfRule>
  </conditionalFormatting>
  <conditionalFormatting sqref="D24">
    <cfRule type="containsBlanks" dxfId="270" priority="83">
      <formula>LEN(TRIM(D24))=0</formula>
    </cfRule>
    <cfRule type="expression" dxfId="268" priority="79">
      <formula>input_mgmt_principal_storage_chosen="VMFS on Fibre Channel (FC)"</formula>
    </cfRule>
  </conditionalFormatting>
  <conditionalFormatting sqref="D25:D28">
    <cfRule type="notContainsBlanks" dxfId="267" priority="60">
      <formula>LEN(TRIM(D25))&gt;0</formula>
    </cfRule>
    <cfRule type="containsBlanks" dxfId="265" priority="58">
      <formula>LEN(TRIM(D25))=0</formula>
    </cfRule>
    <cfRule type="expression" dxfId="264" priority="57">
      <formula>OR((mgmt_domain_result="Excluded"),(mgmt_vns_result="Excluded"))</formula>
    </cfRule>
  </conditionalFormatting>
  <conditionalFormatting sqref="D30:D36">
    <cfRule type="notContainsBlanks" dxfId="263" priority="86">
      <formula>LEN(TRIM(D30))&gt;0</formula>
    </cfRule>
    <cfRule type="expression" dxfId="262" priority="71">
      <formula>mgmt_vns_chosen&lt;&gt;"Centralized Connectivity"</formula>
    </cfRule>
    <cfRule type="containsBlanks" dxfId="260" priority="74">
      <formula>LEN(TRIM(D30))=0</formula>
    </cfRule>
    <cfRule type="expression" dxfId="259" priority="72">
      <formula>OR((mgmt_domain_result="Excluded"),(mgmt_vns_result="Excluded"))</formula>
    </cfRule>
  </conditionalFormatting>
  <conditionalFormatting sqref="D38:D47">
    <cfRule type="containsBlanks" dxfId="258" priority="68">
      <formula>LEN(TRIM(D38))=0</formula>
    </cfRule>
    <cfRule type="notContainsBlanks" dxfId="256" priority="70">
      <formula>LEN(TRIM(D38))&gt;0</formula>
    </cfRule>
    <cfRule type="expression" dxfId="255" priority="67">
      <formula>OR((mgmt_domain_result="Excluded"),(mgmt_vns_result="Excluded"))</formula>
    </cfRule>
  </conditionalFormatting>
  <conditionalFormatting sqref="D50:D51">
    <cfRule type="expression" dxfId="254" priority="50">
      <formula>mgmt_domain_existing_vcenter_chosen="Selected"</formula>
    </cfRule>
  </conditionalFormatting>
  <conditionalFormatting sqref="D52:D55 D57:D60">
    <cfRule type="expression" dxfId="253" priority="46">
      <formula>mgmt_avi_loadbalancer_result="Excluded"</formula>
    </cfRule>
  </conditionalFormatting>
  <conditionalFormatting sqref="D52:D55">
    <cfRule type="notContainsBlanks" dxfId="252" priority="49">
      <formula>LEN(TRIM(D52))&gt;0</formula>
    </cfRule>
    <cfRule type="containsBlanks" dxfId="250" priority="47">
      <formula>LEN(TRIM(D52))=0</formula>
    </cfRule>
  </conditionalFormatting>
  <conditionalFormatting sqref="D57:D60">
    <cfRule type="notContainsBlanks" dxfId="249" priority="53">
      <formula>LEN(TRIM(D57))&gt;0</formula>
    </cfRule>
    <cfRule type="containsBlanks" dxfId="248" priority="51">
      <formula>LEN(TRIM(D57))=0</formula>
    </cfRule>
  </conditionalFormatting>
  <conditionalFormatting sqref="D63:D64">
    <cfRule type="expression" dxfId="246" priority="45">
      <formula>mgmt_domain_existing_vcenter_chosen="Selected"</formula>
    </cfRule>
  </conditionalFormatting>
  <conditionalFormatting sqref="D65:D68 D98:D99 D101:D116">
    <cfRule type="containsBlanks" dxfId="245" priority="37">
      <formula>LEN(TRIM(D65))=0</formula>
    </cfRule>
    <cfRule type="notContainsBlanks" dxfId="244" priority="39" stopIfTrue="1">
      <formula>LEN(TRIM(D65))&gt;0</formula>
    </cfRule>
    <cfRule type="expression" dxfId="243" priority="36" stopIfTrue="1">
      <formula>mgmt_stretched_cluster_result="Excluded"</formula>
    </cfRule>
  </conditionalFormatting>
  <conditionalFormatting sqref="D70:D75">
    <cfRule type="expression" dxfId="242" priority="22" stopIfTrue="1">
      <formula>mgmt_stretched_cluster_result="Excluded"</formula>
    </cfRule>
    <cfRule type="notContainsBlanks" dxfId="241" priority="25" stopIfTrue="1">
      <formula>LEN(TRIM(D70))&gt;0</formula>
    </cfRule>
    <cfRule type="containsBlanks" dxfId="239" priority="23">
      <formula>LEN(TRIM(D70))=0</formula>
    </cfRule>
  </conditionalFormatting>
  <conditionalFormatting sqref="D77:D82">
    <cfRule type="containsBlanks" dxfId="237" priority="19">
      <formula>LEN(TRIM(D77))=0</formula>
    </cfRule>
    <cfRule type="expression" dxfId="236" priority="18" stopIfTrue="1">
      <formula>mgmt_stretched_cluster_result="Excluded"</formula>
    </cfRule>
    <cfRule type="notContainsBlanks" dxfId="235" priority="21" stopIfTrue="1">
      <formula>LEN(TRIM(D77))&gt;0</formula>
    </cfRule>
  </conditionalFormatting>
  <conditionalFormatting sqref="D84:D89">
    <cfRule type="expression" dxfId="234" priority="1">
      <formula>mgmt_principal_storage_chosen&lt;&gt;"NFSv3"</formula>
    </cfRule>
  </conditionalFormatting>
  <conditionalFormatting sqref="D91:D96">
    <cfRule type="notContainsBlanks" dxfId="233" priority="17" stopIfTrue="1">
      <formula>LEN(TRIM(D91))&gt;0</formula>
    </cfRule>
    <cfRule type="containsBlanks" dxfId="231" priority="15">
      <formula>LEN(TRIM(D91))=0</formula>
    </cfRule>
    <cfRule type="expression" dxfId="230" priority="14" stopIfTrue="1">
      <formula>mgmt_stretched_cluster_result="Excluded"</formula>
    </cfRule>
  </conditionalFormatting>
  <conditionalFormatting sqref="D118:D124">
    <cfRule type="notContainsBlanks" dxfId="228" priority="43">
      <formula>LEN(TRIM(D118))&gt;0</formula>
    </cfRule>
    <cfRule type="expression" dxfId="226" priority="40">
      <formula>OR((mgmt_domain_result="Excluded"),(mgmt_vns_result="Excluded"))</formula>
    </cfRule>
    <cfRule type="expression" dxfId="225" priority="38">
      <formula>mgmt_vns_chosen&lt;&gt;"Overlay-Backed"</formula>
    </cfRule>
    <cfRule type="containsBlanks" dxfId="224" priority="42">
      <formula>LEN(TRIM(D118))=0</formula>
    </cfRule>
  </conditionalFormatting>
  <conditionalFormatting sqref="D127:D128">
    <cfRule type="expression" dxfId="223" priority="30">
      <formula>mgmt_domain_existing_vcenter_chosen="Selected"</formula>
    </cfRule>
  </conditionalFormatting>
  <conditionalFormatting sqref="D129:D132">
    <cfRule type="notContainsBlanks" dxfId="222" priority="29">
      <formula>LEN(TRIM(D129))&gt;0</formula>
    </cfRule>
    <cfRule type="containsBlanks" dxfId="220" priority="27">
      <formula>LEN(TRIM(D129))=0</formula>
    </cfRule>
    <cfRule type="expression" dxfId="219" priority="26">
      <formula>mgmt_avi_loadbalancer_result="Excluded"</formula>
    </cfRule>
  </conditionalFormatting>
  <conditionalFormatting sqref="D133">
    <cfRule type="expression" dxfId="218" priority="35">
      <formula>mgmt_domain_existing_vcenter_chosen="Selected"</formula>
    </cfRule>
  </conditionalFormatting>
  <conditionalFormatting sqref="D134:D136">
    <cfRule type="notContainsBlanks" dxfId="217" priority="13">
      <formula>LEN(TRIM(D134))&gt;0</formula>
    </cfRule>
    <cfRule type="expression" dxfId="215" priority="10">
      <formula>mgmt_avi_loadbalancer_result="Excluded"</formula>
    </cfRule>
    <cfRule type="containsBlanks" dxfId="214" priority="11">
      <formula>LEN(TRIM(D134))=0</formula>
    </cfRule>
  </conditionalFormatting>
  <conditionalFormatting sqref="D138:D151">
    <cfRule type="notContainsBlanks" dxfId="213" priority="34">
      <formula>LEN(TRIM(D138))&gt;0</formula>
    </cfRule>
    <cfRule type="expression" dxfId="211" priority="31">
      <formula>OR((mgmt_domain_result="Excluded"),(mgmt_vns_result="Excluded"))</formula>
    </cfRule>
    <cfRule type="containsBlanks" dxfId="210" priority="32">
      <formula>LEN(TRIM(D138))=0</formula>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4" stopIfTrue="1" operator="containsText" id="{5332AF51-4EB9-D944-827C-6C26B9375CB4}">
            <xm:f>NOT(ISERROR(SEARCH("Value Missing",B98)))</xm:f>
            <xm:f>"Value Missing"</xm:f>
            <x14:dxf>
              <font>
                <color theme="1"/>
              </font>
              <fill>
                <patternFill>
                  <bgColor rgb="FFFFBE29"/>
                </patternFill>
              </fill>
            </x14:dxf>
          </x14:cfRule>
          <xm:sqref>B98:B99</xm:sqref>
        </x14:conditionalFormatting>
        <x14:conditionalFormatting xmlns:xm="http://schemas.microsoft.com/office/excel/2006/main">
          <x14:cfRule type="containsText" priority="8" stopIfTrue="1" operator="containsText" id="{6F12DB5D-E0A9-454B-A486-C5017B91CD9E}">
            <xm:f>NOT(ISERROR(SEARCH("Value Missing",B101)))</xm:f>
            <xm:f>"Value Missing"</xm:f>
            <x14:dxf>
              <font>
                <color theme="1"/>
              </font>
              <fill>
                <patternFill>
                  <bgColor rgb="FFFFBE29"/>
                </patternFill>
              </fill>
            </x14:dxf>
          </x14:cfRule>
          <xm:sqref>B101:B116</xm:sqref>
        </x14:conditionalFormatting>
        <x14:conditionalFormatting xmlns:xm="http://schemas.microsoft.com/office/excel/2006/main">
          <x14:cfRule type="containsText" priority="56" operator="containsText" id="{0BACB2E9-1795-A042-8238-B4388C39E7AA}">
            <xm:f>NOT(ISERROR(SEARCH("Value Missing",D10)))</xm:f>
            <xm:f>"Value Missing"</xm:f>
            <x14:dxf>
              <font>
                <color theme="1"/>
              </font>
              <fill>
                <patternFill>
                  <bgColor rgb="FFFFBE29"/>
                </patternFill>
              </fill>
            </x14:dxf>
          </x14:cfRule>
          <xm:sqref>D10:D13</xm:sqref>
        </x14:conditionalFormatting>
        <x14:conditionalFormatting xmlns:xm="http://schemas.microsoft.com/office/excel/2006/main">
          <x14:cfRule type="containsText" priority="66" operator="containsText" id="{D6B3E001-F36D-D249-81D2-225FAF68AD97}">
            <xm:f>NOT(ISERROR(SEARCH("Value Missing",D15)))</xm:f>
            <xm:f>"Value Missing"</xm:f>
            <x14:dxf>
              <font>
                <color theme="1"/>
              </font>
              <fill>
                <patternFill>
                  <bgColor rgb="FFFFBE29"/>
                </patternFill>
              </fill>
            </x14:dxf>
          </x14:cfRule>
          <xm:sqref>D15:D18</xm:sqref>
        </x14:conditionalFormatting>
        <x14:conditionalFormatting xmlns:xm="http://schemas.microsoft.com/office/excel/2006/main">
          <x14:cfRule type="containsText" priority="63" operator="containsText" id="{79F169C9-1172-984F-8F9F-1EBED5A03215}">
            <xm:f>NOT(ISERROR(SEARCH("Value Missing",D20)))</xm:f>
            <xm:f>"Value Missing"</xm:f>
            <x14:dxf>
              <font>
                <color theme="1"/>
              </font>
              <fill>
                <patternFill>
                  <bgColor rgb="FFFFBE29"/>
                </patternFill>
              </fill>
            </x14:dxf>
          </x14:cfRule>
          <xm:sqref>D20:D23</xm:sqref>
        </x14:conditionalFormatting>
        <x14:conditionalFormatting xmlns:xm="http://schemas.microsoft.com/office/excel/2006/main">
          <x14:cfRule type="containsText" priority="81" stopIfTrue="1" operator="containsText" id="{DD02FDDE-7EF3-D947-9541-B9C59C9D9B36}">
            <xm:f>NOT(ISERROR(SEARCH("Value Missing",D24)))</xm:f>
            <xm:f>"Value Missing"</xm:f>
            <x14:dxf>
              <font>
                <color rgb="FF0E223A"/>
              </font>
              <fill>
                <patternFill>
                  <bgColor rgb="FFFFBE29"/>
                </patternFill>
              </fill>
            </x14:dxf>
          </x14:cfRule>
          <xm:sqref>D24</xm:sqref>
        </x14:conditionalFormatting>
        <x14:conditionalFormatting xmlns:xm="http://schemas.microsoft.com/office/excel/2006/main">
          <x14:cfRule type="containsText" priority="59" operator="containsText" id="{A84D36B2-DD1D-0546-8471-D3FDFF7DB0D9}">
            <xm:f>NOT(ISERROR(SEARCH("Value Missing",D25)))</xm:f>
            <xm:f>"Value Missing"</xm:f>
            <x14:dxf>
              <font>
                <color theme="1"/>
              </font>
              <fill>
                <patternFill>
                  <bgColor rgb="FFFFBE29"/>
                </patternFill>
              </fill>
            </x14:dxf>
          </x14:cfRule>
          <xm:sqref>D25:D28</xm:sqref>
        </x14:conditionalFormatting>
        <x14:conditionalFormatting xmlns:xm="http://schemas.microsoft.com/office/excel/2006/main">
          <x14:cfRule type="containsText" priority="73" operator="containsText" id="{A63EF1E4-6E52-114B-AAE8-13A520C9936D}">
            <xm:f>NOT(ISERROR(SEARCH("Value Missing",D30)))</xm:f>
            <xm:f>"Value Missing"</xm:f>
            <x14:dxf>
              <font>
                <color theme="1"/>
              </font>
              <fill>
                <patternFill>
                  <bgColor rgb="FFFFBE29"/>
                </patternFill>
              </fill>
            </x14:dxf>
          </x14:cfRule>
          <xm:sqref>D30:D36</xm:sqref>
        </x14:conditionalFormatting>
        <x14:conditionalFormatting xmlns:xm="http://schemas.microsoft.com/office/excel/2006/main">
          <x14:cfRule type="containsText" priority="69" operator="containsText" id="{1663532D-294C-CB4C-B41A-F924FBAB7090}">
            <xm:f>NOT(ISERROR(SEARCH("Value Missing",D38)))</xm:f>
            <xm:f>"Value Missing"</xm:f>
            <x14:dxf>
              <font>
                <color theme="1"/>
              </font>
              <fill>
                <patternFill>
                  <bgColor rgb="FFFFBE29"/>
                </patternFill>
              </fill>
            </x14:dxf>
          </x14:cfRule>
          <xm:sqref>D38:D47</xm:sqref>
        </x14:conditionalFormatting>
        <x14:conditionalFormatting xmlns:xm="http://schemas.microsoft.com/office/excel/2006/main">
          <x14:cfRule type="containsText" priority="48" operator="containsText" id="{59A10F34-52E1-2D40-AEA2-A11B56421DE3}">
            <xm:f>NOT(ISERROR(SEARCH("Value Missing",D52)))</xm:f>
            <xm:f>"Value Missing"</xm:f>
            <x14:dxf>
              <font>
                <color theme="1"/>
              </font>
              <fill>
                <patternFill>
                  <bgColor rgb="FFFFBE29"/>
                </patternFill>
              </fill>
            </x14:dxf>
          </x14:cfRule>
          <xm:sqref>D52:D55</xm:sqref>
        </x14:conditionalFormatting>
        <x14:conditionalFormatting xmlns:xm="http://schemas.microsoft.com/office/excel/2006/main">
          <x14:cfRule type="containsText" priority="52" operator="containsText" id="{B011AF18-DC27-9B45-BEA8-FB410A93DD8E}">
            <xm:f>NOT(ISERROR(SEARCH("Value Missing",D57)))</xm:f>
            <xm:f>"Value Missing"</xm:f>
            <x14:dxf>
              <font>
                <color theme="1"/>
              </font>
              <fill>
                <patternFill>
                  <bgColor rgb="FFFFBE29"/>
                </patternFill>
              </fill>
            </x14:dxf>
          </x14:cfRule>
          <xm:sqref>D57:D60</xm:sqref>
        </x14:conditionalFormatting>
        <x14:conditionalFormatting xmlns:xm="http://schemas.microsoft.com/office/excel/2006/main">
          <x14:cfRule type="containsText" priority="24" stopIfTrue="1" operator="containsText" id="{C16AD4A5-7146-8546-88CE-DCF4A43945A3}">
            <xm:f>NOT(ISERROR(SEARCH("Value Missing",D70)))</xm:f>
            <xm:f>"Value Missing"</xm:f>
            <x14:dxf>
              <font>
                <color theme="1"/>
              </font>
              <fill>
                <patternFill>
                  <bgColor rgb="FFFFBE29"/>
                </patternFill>
              </fill>
            </x14:dxf>
          </x14:cfRule>
          <xm:sqref>D70:D75</xm:sqref>
        </x14:conditionalFormatting>
        <x14:conditionalFormatting xmlns:xm="http://schemas.microsoft.com/office/excel/2006/main">
          <x14:cfRule type="containsText" priority="20" stopIfTrue="1" operator="containsText" id="{4A17EEEC-C710-F945-B9F5-1B25E7BFCD7C}">
            <xm:f>NOT(ISERROR(SEARCH("Value Missing",D77)))</xm:f>
            <xm:f>"Value Missing"</xm:f>
            <x14:dxf>
              <font>
                <color theme="1"/>
              </font>
              <fill>
                <patternFill>
                  <bgColor rgb="FFFFBE29"/>
                </patternFill>
              </fill>
            </x14:dxf>
          </x14:cfRule>
          <xm:sqref>D77:D82</xm:sqref>
        </x14:conditionalFormatting>
        <x14:conditionalFormatting xmlns:xm="http://schemas.microsoft.com/office/excel/2006/main">
          <x14:cfRule type="containsText" priority="16" stopIfTrue="1" operator="containsText" id="{096F47E6-5F8D-694F-A137-DADCBC45FD18}">
            <xm:f>NOT(ISERROR(SEARCH("Value Missing",D91)))</xm:f>
            <xm:f>"Value Missing"</xm:f>
            <x14:dxf>
              <font>
                <color theme="1"/>
              </font>
              <fill>
                <patternFill>
                  <bgColor rgb="FFFFBE29"/>
                </patternFill>
              </fill>
            </x14:dxf>
          </x14:cfRule>
          <xm:sqref>D91:D96</xm:sqref>
        </x14:conditionalFormatting>
        <x14:conditionalFormatting xmlns:xm="http://schemas.microsoft.com/office/excel/2006/main">
          <x14:cfRule type="containsText" priority="41" stopIfTrue="1" operator="containsText" id="{2BEACADF-F6E6-874B-8004-073C384B0E26}">
            <xm:f>NOT(ISERROR(SEARCH("Value Missing",D65)))</xm:f>
            <xm:f>"Value Missing"</xm:f>
            <x14:dxf>
              <font>
                <color theme="1"/>
              </font>
              <fill>
                <patternFill>
                  <bgColor rgb="FFFFBE29"/>
                </patternFill>
              </fill>
            </x14:dxf>
          </x14:cfRule>
          <xm:sqref>D118:D124 D65:D68 D98:D99 D101:D116</xm:sqref>
        </x14:conditionalFormatting>
        <x14:conditionalFormatting xmlns:xm="http://schemas.microsoft.com/office/excel/2006/main">
          <x14:cfRule type="containsText" priority="44" operator="containsText" id="{2992D1B3-A8B1-7C44-98C5-75E07A3AEA22}">
            <xm:f>NOT(ISERROR(SEARCH("Value Missing",D118)))</xm:f>
            <xm:f>"Value Missing"</xm:f>
            <x14:dxf>
              <font>
                <color theme="1"/>
              </font>
              <fill>
                <patternFill>
                  <bgColor rgb="FFFFBE29"/>
                </patternFill>
              </fill>
            </x14:dxf>
          </x14:cfRule>
          <xm:sqref>D118:D124</xm:sqref>
        </x14:conditionalFormatting>
        <x14:conditionalFormatting xmlns:xm="http://schemas.microsoft.com/office/excel/2006/main">
          <x14:cfRule type="containsText" priority="28" operator="containsText" id="{9454E179-569A-7A41-9E83-FA9A8C9DF310}">
            <xm:f>NOT(ISERROR(SEARCH("Value Missing",D129)))</xm:f>
            <xm:f>"Value Missing"</xm:f>
            <x14:dxf>
              <font>
                <color theme="1"/>
              </font>
              <fill>
                <patternFill>
                  <bgColor rgb="FFFFBE29"/>
                </patternFill>
              </fill>
            </x14:dxf>
          </x14:cfRule>
          <xm:sqref>D129:D132</xm:sqref>
        </x14:conditionalFormatting>
        <x14:conditionalFormatting xmlns:xm="http://schemas.microsoft.com/office/excel/2006/main">
          <x14:cfRule type="containsText" priority="12" operator="containsText" id="{EA074F36-CE07-E14B-8C09-3FE943F4657A}">
            <xm:f>NOT(ISERROR(SEARCH("Value Missing",D134)))</xm:f>
            <xm:f>"Value Missing"</xm:f>
            <x14:dxf>
              <font>
                <color theme="1"/>
              </font>
              <fill>
                <patternFill>
                  <bgColor rgb="FFFFBE29"/>
                </patternFill>
              </fill>
            </x14:dxf>
          </x14:cfRule>
          <xm:sqref>D134:D136</xm:sqref>
        </x14:conditionalFormatting>
        <x14:conditionalFormatting xmlns:xm="http://schemas.microsoft.com/office/excel/2006/main">
          <x14:cfRule type="containsText" priority="33" operator="containsText" id="{434F7923-6B80-C34E-8FB8-B27C9ECED7D0}">
            <xm:f>NOT(ISERROR(SEARCH("Value Missing",D138)))</xm:f>
            <xm:f>"Value Missing"</xm:f>
            <x14:dxf>
              <font>
                <color theme="1"/>
              </font>
              <fill>
                <patternFill>
                  <bgColor rgb="FFFFBE29"/>
                </patternFill>
              </fill>
            </x14:dxf>
          </x14:cfRule>
          <xm:sqref>D138:D151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E0BAA-2FCE-2F4D-AFAA-0B3FCAADE1E9}">
  <sheetPr codeName="Sheet2">
    <tabColor rgb="FF0E223A"/>
  </sheetPr>
  <dimension ref="A1:AM36"/>
  <sheetViews>
    <sheetView showGridLines="0" tabSelected="1" zoomScale="120" zoomScaleNormal="120" workbookViewId="0">
      <pane ySplit="4" topLeftCell="A6" activePane="bottomLeft" state="frozen"/>
      <selection pane="bottomLeft"/>
    </sheetView>
  </sheetViews>
  <sheetFormatPr defaultColWidth="10.85546875" defaultRowHeight="15" x14ac:dyDescent="0.35"/>
  <cols>
    <col min="1" max="1" width="2.85546875" style="8" customWidth="1"/>
    <col min="2" max="4" width="1.85546875" style="8" customWidth="1"/>
    <col min="5" max="5" width="60.85546875" style="8" customWidth="1"/>
    <col min="6" max="8" width="1.85546875" style="8" customWidth="1"/>
    <col min="9" max="9" width="2.85546875" style="8" customWidth="1"/>
    <col min="10" max="10" width="47.5" style="8" bestFit="1" customWidth="1"/>
    <col min="11" max="11" width="76" style="8" customWidth="1"/>
    <col min="12" max="12" width="25.35546875" style="8" customWidth="1"/>
    <col min="13" max="13" width="100.85546875" style="8" customWidth="1"/>
    <col min="14" max="21" width="10.85546875" style="8" customWidth="1"/>
    <col min="22" max="16384" width="10.85546875" style="8"/>
  </cols>
  <sheetData>
    <row r="1" spans="1:39" s="7" customFormat="1" ht="16" customHeight="1" x14ac:dyDescent="0.45">
      <c r="A1" s="39"/>
    </row>
    <row r="2" spans="1:39" s="2" customFormat="1" ht="54" customHeight="1" x14ac:dyDescent="0.45">
      <c r="A2" s="7"/>
      <c r="B2" s="404" t="s">
        <v>3679</v>
      </c>
      <c r="C2" s="405"/>
      <c r="D2" s="405"/>
      <c r="E2" s="405"/>
      <c r="F2" s="405"/>
      <c r="G2" s="405"/>
      <c r="H2" s="405"/>
      <c r="I2" s="405"/>
      <c r="J2" s="405"/>
      <c r="K2" s="405"/>
      <c r="L2" s="405"/>
      <c r="M2" s="406"/>
      <c r="O2" s="7"/>
      <c r="P2" s="7"/>
      <c r="Q2" s="7"/>
      <c r="R2" s="7"/>
      <c r="S2" s="7"/>
      <c r="T2" s="7"/>
      <c r="U2" s="7"/>
      <c r="V2" s="7"/>
      <c r="W2" s="7"/>
      <c r="X2" s="7"/>
      <c r="Y2" s="7"/>
      <c r="Z2" s="7"/>
      <c r="AA2" s="7"/>
      <c r="AB2" s="7"/>
      <c r="AC2" s="7"/>
      <c r="AD2" s="7"/>
      <c r="AE2" s="7"/>
      <c r="AF2" s="7"/>
      <c r="AG2" s="7"/>
      <c r="AH2" s="7"/>
      <c r="AI2" s="7"/>
      <c r="AJ2" s="7"/>
      <c r="AK2" s="7"/>
      <c r="AL2" s="7"/>
      <c r="AM2" s="7"/>
    </row>
    <row r="3" spans="1:39" s="2" customFormat="1" ht="20.05" customHeight="1" x14ac:dyDescent="0.45">
      <c r="A3" s="7"/>
      <c r="B3" s="416" t="s">
        <v>3680</v>
      </c>
      <c r="C3" s="417"/>
      <c r="D3" s="417"/>
      <c r="E3" s="417"/>
      <c r="F3" s="417"/>
      <c r="G3" s="417"/>
      <c r="H3" s="417"/>
      <c r="I3" s="417"/>
      <c r="J3" s="417"/>
      <c r="K3" s="417"/>
      <c r="L3" s="417"/>
      <c r="M3" s="322" t="str">
        <f ca="1">pnp_version_number</f>
        <v>v1.9.0.008</v>
      </c>
      <c r="O3" s="7"/>
      <c r="P3" s="7"/>
      <c r="Q3" s="7"/>
      <c r="R3" s="7"/>
      <c r="S3" s="7"/>
      <c r="T3" s="7"/>
      <c r="U3" s="7"/>
      <c r="V3" s="7"/>
      <c r="W3" s="7"/>
      <c r="X3" s="7"/>
      <c r="Y3" s="7"/>
      <c r="Z3" s="7"/>
      <c r="AA3" s="7"/>
      <c r="AB3" s="7"/>
      <c r="AC3" s="7"/>
      <c r="AD3" s="7"/>
      <c r="AE3" s="7"/>
      <c r="AF3" s="7"/>
      <c r="AG3" s="7"/>
      <c r="AH3" s="7"/>
      <c r="AI3" s="7"/>
      <c r="AJ3" s="7"/>
      <c r="AK3" s="7"/>
      <c r="AL3" s="7"/>
      <c r="AM3" s="7"/>
    </row>
    <row r="4" spans="1:39" s="7" customFormat="1" ht="16" customHeight="1" x14ac:dyDescent="0.45">
      <c r="I4" s="40"/>
      <c r="J4" s="40"/>
    </row>
    <row r="5" spans="1:39" s="7" customFormat="1" ht="16" customHeight="1" x14ac:dyDescent="0.45"/>
    <row r="6" spans="1:39" s="2" customFormat="1" ht="20.05" customHeight="1" x14ac:dyDescent="0.45">
      <c r="A6" s="7"/>
      <c r="B6" s="407" t="s">
        <v>3681</v>
      </c>
      <c r="C6" s="408"/>
      <c r="D6" s="408"/>
      <c r="E6" s="408"/>
      <c r="F6" s="408"/>
      <c r="G6" s="408"/>
      <c r="H6" s="408"/>
      <c r="I6" s="408"/>
      <c r="J6" s="408"/>
      <c r="K6" s="408"/>
      <c r="L6" s="408"/>
      <c r="M6" s="409"/>
      <c r="O6" s="7"/>
      <c r="P6" s="7"/>
      <c r="Q6" s="7"/>
      <c r="R6" s="7"/>
      <c r="S6" s="7"/>
      <c r="T6" s="7"/>
      <c r="U6" s="7"/>
      <c r="V6" s="7"/>
      <c r="W6" s="7"/>
      <c r="X6" s="7"/>
      <c r="Y6" s="7"/>
      <c r="Z6" s="7"/>
      <c r="AA6" s="7"/>
      <c r="AB6" s="7"/>
      <c r="AC6" s="7"/>
      <c r="AD6" s="7"/>
      <c r="AE6" s="7"/>
      <c r="AF6" s="7"/>
      <c r="AG6" s="7"/>
      <c r="AH6" s="7"/>
      <c r="AI6" s="7"/>
      <c r="AJ6" s="7"/>
      <c r="AK6" s="7"/>
      <c r="AL6" s="7"/>
      <c r="AM6" s="7"/>
    </row>
    <row r="7" spans="1:39" s="2" customFormat="1" ht="20.05" customHeight="1" x14ac:dyDescent="0.45">
      <c r="A7" s="7"/>
      <c r="B7" s="410" t="s">
        <v>3682</v>
      </c>
      <c r="C7" s="411"/>
      <c r="D7" s="411"/>
      <c r="E7" s="411"/>
      <c r="F7" s="411"/>
      <c r="G7" s="411"/>
      <c r="H7" s="411"/>
      <c r="I7" s="411"/>
      <c r="J7" s="411"/>
      <c r="K7" s="411"/>
      <c r="L7" s="411"/>
      <c r="M7" s="412"/>
      <c r="O7" s="7"/>
      <c r="P7" s="7"/>
      <c r="Q7" s="7"/>
      <c r="R7" s="7"/>
      <c r="S7" s="7"/>
      <c r="T7" s="7"/>
      <c r="U7" s="7"/>
      <c r="V7" s="7"/>
      <c r="W7" s="7"/>
      <c r="X7" s="7"/>
      <c r="Y7" s="7"/>
      <c r="Z7" s="7"/>
      <c r="AA7" s="7"/>
      <c r="AB7" s="7"/>
      <c r="AC7" s="7"/>
      <c r="AD7" s="7"/>
      <c r="AE7" s="7"/>
      <c r="AF7" s="7"/>
      <c r="AG7" s="7"/>
      <c r="AH7" s="7"/>
      <c r="AI7" s="7"/>
      <c r="AJ7" s="7"/>
      <c r="AK7" s="7"/>
      <c r="AL7" s="7"/>
      <c r="AM7" s="7"/>
    </row>
    <row r="8" spans="1:39" s="7" customFormat="1" ht="20.05" customHeight="1" x14ac:dyDescent="0.45">
      <c r="I8" s="40"/>
    </row>
    <row r="9" spans="1:39" ht="16.3" x14ac:dyDescent="0.35">
      <c r="J9" s="415" t="s">
        <v>195</v>
      </c>
      <c r="K9" s="415"/>
      <c r="L9" s="415"/>
      <c r="M9" s="415"/>
    </row>
    <row r="10" spans="1:39" ht="15.45" x14ac:dyDescent="0.35">
      <c r="J10" s="413" t="s">
        <v>3683</v>
      </c>
      <c r="K10" s="413"/>
      <c r="L10" s="413"/>
      <c r="M10" s="413"/>
    </row>
    <row r="11" spans="1:39" x14ac:dyDescent="0.35">
      <c r="J11" s="414" t="str">
        <f>IF(vcf_version_chosen="No Version Selected","Select Version",vcf_version_chosen)</f>
        <v>9.0.2.0</v>
      </c>
      <c r="K11" s="414"/>
      <c r="L11" s="414"/>
      <c r="M11" s="414"/>
    </row>
    <row r="12" spans="1:39" x14ac:dyDescent="0.35">
      <c r="J12" s="414"/>
      <c r="K12" s="414"/>
      <c r="L12" s="414"/>
      <c r="M12" s="414"/>
    </row>
    <row r="14" spans="1:39" ht="17.600000000000001" x14ac:dyDescent="0.35">
      <c r="J14" s="407" t="s">
        <v>1306</v>
      </c>
      <c r="K14" s="408"/>
      <c r="L14" s="408"/>
      <c r="M14" s="409"/>
    </row>
    <row r="15" spans="1:39" ht="15.45" x14ac:dyDescent="0.35">
      <c r="J15" s="346" t="s">
        <v>9</v>
      </c>
      <c r="K15" s="346" t="s">
        <v>10</v>
      </c>
      <c r="L15" s="346" t="s">
        <v>11</v>
      </c>
      <c r="M15" s="346" t="s">
        <v>12</v>
      </c>
    </row>
    <row r="16" spans="1:39" x14ac:dyDescent="0.35">
      <c r="J16" s="114" t="s">
        <v>4026</v>
      </c>
      <c r="K16" s="99" t="str">
        <f>CONCATENATE(mgmt_domain_deployment_type_chosen," Deployment Version")</f>
        <v>VMware Cloud Foundation Deployment Version</v>
      </c>
      <c r="L16" s="112" t="str">
        <f>IF(vcf_version_chosen="No Version Selected","Excluded","Included")</f>
        <v>Included</v>
      </c>
      <c r="M16" s="337" t="str">
        <f>IF(vcf_version_result="Excluded",CONCATENATE("Cause: ",mgmt_domain_deployment_type_chosen, " Deployment Version is not selected"),CONCATENATE(mgmt_domain_deployment_type_chosen," Version ",vcf_version," selected"))</f>
        <v>VMware Cloud Foundation Version 9.0.2.0 selected</v>
      </c>
    </row>
    <row r="17" spans="5:14" x14ac:dyDescent="0.35">
      <c r="J17" s="115" t="s">
        <v>3683</v>
      </c>
      <c r="K17" s="99" t="s">
        <v>3684</v>
      </c>
      <c r="L17" s="112" t="str">
        <f>IF(vcf_version_chosen="No Version Selected","Excluded","Included")</f>
        <v>Included</v>
      </c>
      <c r="M17" s="337" t="str">
        <f>IF(vcf_version_result="Excluded",CONCATENATE("Cause: ",mgmt_domain_deployment_type_chosen, " Deployment Version is not selected"),IF(mgmt_domain_deployment_type_chosen="VMware Cloud Foundation","VMware Cloud Foundation Private Cloud will be deployed","VMware vSphere Foundation will be deployed"))</f>
        <v>VMware Cloud Foundation Private Cloud will be deployed</v>
      </c>
    </row>
    <row r="18" spans="5:14" x14ac:dyDescent="0.35">
      <c r="J18" s="116" t="s">
        <v>2483</v>
      </c>
      <c r="K18" s="99" t="s">
        <v>3685</v>
      </c>
      <c r="L18" s="112" t="str">
        <f>IF(vcf_version_chosen="No Version Selected","Excluded",IF(mgmt_domain_deployment_type_chosen="VMware vSphere Foundation","Excluded",IF(mgmt_domain_chosen="Deploy a new VCF fleet","Included","Included")))</f>
        <v>Included</v>
      </c>
      <c r="M18" s="337" t="str">
        <f>IF(vcf_version_result="Excluded",CONCATENATE("Cause: ",mgmt_domain_deployment_type_chosen, " Deployment Version is not selected"),IF(mgmt_domain_deployment_type_chosen="VMware vSphere Foundation","Option not required for deployment specification type",IF(mgmt_domain_chosen="First Instance","Operation will be performed on the First VCF Instance","Operation will be performed on an additional VCF Instance")))</f>
        <v>Operation will be performed on the First VCF Instance</v>
      </c>
    </row>
    <row r="19" spans="5:14" x14ac:dyDescent="0.35">
      <c r="J19" s="117" t="s">
        <v>2486</v>
      </c>
      <c r="K19" s="99" t="s">
        <v>3686</v>
      </c>
      <c r="L19" s="112" t="str">
        <f>IF(vcf_version_chosen="No Version Selected","Excluded",
IF(AND(mgmt_domain_deployment_type_chosen="VMware vSphere Foundation",vcf_granular_option_chosen="Create VI Workload Domain"),"Excluded",
IF(AND(mgmt_domain_deployment_type_chosen="VMware vSphere Foundation",vcf_granular_option_chosen="Create Cluster"),"Excluded",
IF(AND(mgmt_domain_deployment_type_chosen="VMware Cloud Foundation",vcf_granular_option_chosen="VMware vSphere Foundation Deployment"),"Excluded",
IF(vcf_granular_option_chosen="None Chosen","Excluded","Included")))))</f>
        <v>Included</v>
      </c>
      <c r="M19" s="337" t="str">
        <f>IF(vcf_version_result="Excluded",CONCATENATE("Cause: ",mgmt_domain_deployment_type_chosen," Deployment Version is not selected"),
IF(AND(mgmt_domain_deployment_type_chosen="VMware vSphere Foundation",vcf_granular_option_chosen="Create VI Workload Domain"),"Option not supported for deployment specification type",
IF(AND(mgmt_domain_deployment_type_chosen="VMware vSphere Foundation",vcf_granular_option_chosen="Create Cluster"),"Option not supported for deployment specification type",
IF(AND(mgmt_domain_deployment_type_chosen="VMware Cloud Foundation",vcf_granular_option_chosen="VMware vSphere Foundation Deployment"),"Option not supported for deployment specification type",
IF(vcf_granular_option_chosen="None Chosen","No Deployment Type Chosen",IF(vcf_granular_option_chosen="Deploy a new VCF fleet","VMware Cloud Foundation Installer will deploy a new VCF fleet",
IF(vcf_granular_option_chosen="Deploy a VCF Instance in an existing VCF fleet","VMware Cloud Foundation Installer will deploy a new VCF Instance in an existing VCF fleet",
IF(vcf_granular_option_chosen="Create Cluster","A cluster will be added to an existing Workload Domain",
IF(vcf_granular_option_chosen="Create VI Workload Domain","A VI Workload Domain will be added on an exsiting VCF Instance",
IF(vcf_granular_option_chosen="VMware vSphere Foundation Deployment","Deploy a new VMware vSphere Foundation Cluster",""))))))))))</f>
        <v>VMware Cloud Foundation Installer will deploy a new VCF fleet</v>
      </c>
    </row>
    <row r="21" spans="5:14" x14ac:dyDescent="0.35">
      <c r="J21" s="118"/>
    </row>
    <row r="24" spans="5:14" x14ac:dyDescent="0.35">
      <c r="J24" s="119"/>
    </row>
    <row r="25" spans="5:14" x14ac:dyDescent="0.35">
      <c r="J25" s="119"/>
    </row>
    <row r="27" spans="5:14" x14ac:dyDescent="0.35">
      <c r="J27" s="119"/>
    </row>
    <row r="29" spans="5:14" x14ac:dyDescent="0.35">
      <c r="E29" s="120"/>
      <c r="F29" s="120"/>
      <c r="G29" s="120"/>
      <c r="H29" s="120"/>
      <c r="N29" s="120"/>
    </row>
    <row r="30" spans="5:14" x14ac:dyDescent="0.35">
      <c r="E30" s="120"/>
      <c r="F30" s="120"/>
      <c r="G30" s="120"/>
      <c r="H30" s="120"/>
      <c r="N30" s="120"/>
    </row>
    <row r="31" spans="5:14" x14ac:dyDescent="0.35">
      <c r="E31" s="120"/>
      <c r="F31" s="120"/>
      <c r="G31" s="120"/>
      <c r="H31" s="120"/>
      <c r="I31" s="120"/>
      <c r="N31" s="120"/>
    </row>
    <row r="32" spans="5:14" x14ac:dyDescent="0.35">
      <c r="E32" s="120"/>
      <c r="F32" s="120"/>
      <c r="G32" s="120"/>
      <c r="H32" s="120"/>
      <c r="I32" s="120"/>
      <c r="N32" s="120"/>
    </row>
    <row r="33" spans="5:14" x14ac:dyDescent="0.35">
      <c r="E33" s="120"/>
      <c r="F33" s="120"/>
      <c r="G33" s="120"/>
      <c r="H33" s="120"/>
      <c r="I33" s="120"/>
      <c r="N33" s="120"/>
    </row>
    <row r="34" spans="5:14" x14ac:dyDescent="0.35">
      <c r="E34" s="120"/>
      <c r="F34" s="120"/>
      <c r="G34" s="120"/>
      <c r="H34" s="120"/>
      <c r="I34" s="120"/>
      <c r="N34" s="120"/>
    </row>
    <row r="35" spans="5:14" x14ac:dyDescent="0.35">
      <c r="E35" s="120"/>
      <c r="F35" s="120"/>
      <c r="G35" s="120"/>
      <c r="H35" s="120"/>
      <c r="I35" s="120"/>
      <c r="N35" s="120"/>
    </row>
    <row r="36" spans="5:14" x14ac:dyDescent="0.35">
      <c r="E36" s="120"/>
      <c r="F36" s="120"/>
      <c r="G36" s="120"/>
      <c r="H36" s="120"/>
      <c r="I36" s="120"/>
      <c r="N36" s="120"/>
    </row>
  </sheetData>
  <sheetProtection algorithmName="SHA-512" hashValue="5kqjOuF038CXbG4uO5L5/7ylwxEriWAQqrVoem5St3nCS6cHs1hRmqNtZrK0DHeIPfjGjP5lvkYV6772So+Vqg==" saltValue="TZZMuQftE/RALOWcikwknQ==" spinCount="100000" sheet="1" selectLockedCells="1"/>
  <mergeCells count="8">
    <mergeCell ref="B2:M2"/>
    <mergeCell ref="B6:M6"/>
    <mergeCell ref="B7:M7"/>
    <mergeCell ref="J14:M14"/>
    <mergeCell ref="J10:M10"/>
    <mergeCell ref="J11:M12"/>
    <mergeCell ref="J9:M9"/>
    <mergeCell ref="B3:L3"/>
  </mergeCells>
  <conditionalFormatting sqref="J16 L16:M16">
    <cfRule type="expression" dxfId="2629" priority="8">
      <formula>(vcf_version_result="Excluded")</formula>
    </cfRule>
  </conditionalFormatting>
  <conditionalFormatting sqref="J16:J19">
    <cfRule type="expression" dxfId="2628" priority="17" stopIfTrue="1">
      <formula>(vcf_version_result&lt;&gt;"Excluded")</formula>
    </cfRule>
  </conditionalFormatting>
  <conditionalFormatting sqref="J18">
    <cfRule type="expression" dxfId="2627" priority="12">
      <formula>mgmt_domain_deployment_type_chosen="VMware vSphere Foundation"</formula>
    </cfRule>
  </conditionalFormatting>
  <conditionalFormatting sqref="J19 L19:M19">
    <cfRule type="expression" dxfId="2626" priority="1">
      <formula>AND((mgmt_domain_deployment_type_chosen="VMware Cloud Foundation"),(vcf_granular_option_chosen="VMware vSphere Foundation Deployment"))</formula>
    </cfRule>
    <cfRule type="expression" dxfId="2625" priority="2">
      <formula>AND((mgmt_domain_deployment_type_chosen="VMware vSphere Foundation"),(vcf_granular_option_chosen="Create Cluster"))</formula>
    </cfRule>
    <cfRule type="expression" dxfId="2624" priority="3">
      <formula>AND((mgmt_domain_deployment_type_chosen="VMware vSphere Foundation"),(vcf_granular_option_chosen="Create VI Workload Domain"))</formula>
    </cfRule>
  </conditionalFormatting>
  <conditionalFormatting sqref="J19">
    <cfRule type="expression" dxfId="2623" priority="5">
      <formula>(vcf_granular_option_chosen="None Chosen")</formula>
    </cfRule>
    <cfRule type="expression" dxfId="2622" priority="15">
      <formula>AND((mgmt_domain_deployment_type_chosen="VVF"),(vcf_granular_option_chosen="Workload Domain"))</formula>
    </cfRule>
  </conditionalFormatting>
  <conditionalFormatting sqref="J11:L11">
    <cfRule type="expression" dxfId="2621" priority="7">
      <formula>vcf_version="Select Deployment Version"</formula>
    </cfRule>
  </conditionalFormatting>
  <conditionalFormatting sqref="L16:L19">
    <cfRule type="expression" dxfId="2620" priority="13">
      <formula>(vcf_version_result="Excluded")</formula>
    </cfRule>
    <cfRule type="expression" dxfId="2619" priority="19" stopIfTrue="1">
      <formula>(vcf_version_chosen&lt;&gt;"Excluded")</formula>
    </cfRule>
  </conditionalFormatting>
  <conditionalFormatting sqref="L18">
    <cfRule type="expression" dxfId="2618" priority="16">
      <formula>(mgmt_domain_result="Excluded")</formula>
    </cfRule>
    <cfRule type="expression" dxfId="2617" priority="20">
      <formula>(mgmt_domain_result&lt;&gt;"Excluded")</formula>
    </cfRule>
  </conditionalFormatting>
  <conditionalFormatting sqref="L18:M18">
    <cfRule type="expression" dxfId="2616" priority="11">
      <formula>mgmt_domain_deployment_type_chosen="VMware vSphere Foundation"</formula>
    </cfRule>
  </conditionalFormatting>
  <conditionalFormatting sqref="L19:M19">
    <cfRule type="expression" dxfId="2615" priority="9">
      <formula>vcf_granular_option_result="Excluded"</formula>
    </cfRule>
  </conditionalFormatting>
  <conditionalFormatting sqref="M16:M17 M19">
    <cfRule type="expression" dxfId="2614" priority="14">
      <formula>vcf_version_result="Excluded"</formula>
    </cfRule>
    <cfRule type="expression" dxfId="2613" priority="18">
      <formula>vcf_version_result="Included"</formula>
    </cfRule>
  </conditionalFormatting>
  <conditionalFormatting sqref="M18">
    <cfRule type="expression" dxfId="2612" priority="6">
      <formula>mgmt_domain_result="Included"</formula>
    </cfRule>
    <cfRule type="expression" dxfId="2611" priority="10">
      <formula>mgmt_domain_result="Excluded"</formula>
    </cfRule>
  </conditionalFormatting>
  <dataValidations count="5">
    <dataValidation type="list" allowBlank="1" showInputMessage="1" showErrorMessage="1" sqref="J18" xr:uid="{D3CC7704-A96D-5C40-B51E-CEAAE62F6B18}">
      <formula1>INDIRECT(SUBSTITUTE(J17," ","_"))</formula1>
    </dataValidation>
    <dataValidation type="list" allowBlank="1" showInputMessage="1" showErrorMessage="1" sqref="J17" xr:uid="{BF2BB22A-A9E2-C746-B137-7160675982C4}">
      <formula1>"VMware Cloud Foundation,VMware vSphere Foundation"</formula1>
    </dataValidation>
    <dataValidation type="list" allowBlank="1" showInputMessage="1" showErrorMessage="1" sqref="J16" xr:uid="{845D40E7-F93C-9A45-8F34-252054BD321A}">
      <formula1>"No Version Selected, 9.0.0.0,9.0.1.0,9.0.2.0"</formula1>
    </dataValidation>
    <dataValidation allowBlank="1" showErrorMessage="1" promptTitle="Select Version" prompt="Select Version" sqref="J11:L11" xr:uid="{0CB2B253-FC13-E74C-A78A-0DE109187FA1}"/>
    <dataValidation type="list" allowBlank="1" showInputMessage="1" showErrorMessage="1" sqref="J19" xr:uid="{80022569-3F67-FE44-901D-A1A7DDCB374C}">
      <formula1>IF(mgmt_domain_deployment_type_chosen="VMware vSphere Foundation",VMware_vSphere_Foundation,INDIRECT(SUBSTITUTE(J18," ","_")))</formula1>
    </dataValidation>
  </dataValidations>
  <pageMargins left="0.7" right="0.7" top="0.75" bottom="0.75" header="0.3" footer="0.3"/>
  <pageSetup paperSize="9" orientation="portrait" horizontalDpi="0" verticalDpi="0"/>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90795-3E77-9C43-AF5A-A17717ED4688}">
  <sheetPr codeName="Sheet12"/>
  <dimension ref="A1:F134"/>
  <sheetViews>
    <sheetView showGridLines="0" workbookViewId="0">
      <pane ySplit="4" topLeftCell="A5" activePane="bottomLeft" state="frozen"/>
      <selection pane="bottomLeft"/>
    </sheetView>
  </sheetViews>
  <sheetFormatPr defaultColWidth="11" defaultRowHeight="15.9" x14ac:dyDescent="0.45"/>
  <cols>
    <col min="1" max="1" width="2.85546875" customWidth="1"/>
    <col min="2" max="4" width="75.85546875" customWidth="1"/>
    <col min="5" max="5" width="100.85546875" customWidth="1"/>
  </cols>
  <sheetData>
    <row r="1" spans="1:6" x14ac:dyDescent="0.45">
      <c r="A1" s="120"/>
      <c r="B1" s="120"/>
      <c r="C1" s="120"/>
      <c r="D1" s="120"/>
      <c r="E1" s="120"/>
      <c r="F1" s="120"/>
    </row>
    <row r="2" spans="1:6" ht="54" customHeight="1" x14ac:dyDescent="0.45">
      <c r="A2" s="248"/>
      <c r="B2" s="639" t="s">
        <v>3286</v>
      </c>
      <c r="C2" s="640"/>
      <c r="D2" s="640"/>
      <c r="E2" s="641"/>
      <c r="F2" s="120"/>
    </row>
    <row r="3" spans="1:6" x14ac:dyDescent="0.45">
      <c r="A3" s="249"/>
      <c r="B3" s="502" t="s">
        <v>1</v>
      </c>
      <c r="C3" s="503"/>
      <c r="D3" s="503"/>
      <c r="E3" s="635"/>
      <c r="F3" s="250"/>
    </row>
    <row r="4" spans="1:6" x14ac:dyDescent="0.45">
      <c r="A4" s="120"/>
      <c r="B4" s="120"/>
      <c r="C4" s="120"/>
      <c r="D4" s="120"/>
      <c r="E4" s="120"/>
      <c r="F4" s="120"/>
    </row>
    <row r="5" spans="1:6" x14ac:dyDescent="0.45">
      <c r="A5" s="120"/>
      <c r="B5" s="120"/>
      <c r="C5" s="120"/>
      <c r="D5" s="120"/>
      <c r="E5" s="120"/>
      <c r="F5" s="120"/>
    </row>
    <row r="6" spans="1:6" s="8" customFormat="1" ht="34" customHeight="1" x14ac:dyDescent="0.35">
      <c r="B6" s="407" t="s">
        <v>3287</v>
      </c>
      <c r="C6" s="408"/>
      <c r="D6" s="408"/>
      <c r="E6" s="409"/>
    </row>
    <row r="7" spans="1:6" s="8" customFormat="1" ht="20.05" customHeight="1" x14ac:dyDescent="0.35">
      <c r="B7" s="462" t="s">
        <v>3288</v>
      </c>
      <c r="C7" s="463"/>
      <c r="D7" s="463"/>
      <c r="E7" s="464"/>
    </row>
    <row r="8" spans="1:6" s="8" customFormat="1" ht="20.05" customHeight="1" x14ac:dyDescent="0.35">
      <c r="B8" s="346" t="s">
        <v>17</v>
      </c>
      <c r="C8" s="346" t="s">
        <v>18</v>
      </c>
      <c r="D8" s="346" t="s">
        <v>19</v>
      </c>
      <c r="E8" s="346" t="s">
        <v>20</v>
      </c>
    </row>
    <row r="9" spans="1:6" s="8" customFormat="1" ht="20.05" customHeight="1" x14ac:dyDescent="0.35">
      <c r="B9" s="496" t="s">
        <v>932</v>
      </c>
      <c r="C9" s="497"/>
      <c r="D9" s="497"/>
      <c r="E9" s="498"/>
    </row>
    <row r="10" spans="1:6" s="8" customFormat="1" ht="20.05" customHeight="1" x14ac:dyDescent="0.4">
      <c r="B10" s="128" t="s">
        <v>85</v>
      </c>
      <c r="C10" s="80" t="str">
        <f>IF(wld_dpg_separation_result="Included",CONCATENATE(prefix_wld_az1_vlan,"10"),CONCATENATE(prefix_wld_az1_vlan,"11"))</f>
        <v>1310</v>
      </c>
      <c r="D10" s="337" t="str">
        <f>wld_az1_mgmt_vm_vlan</f>
        <v>Value Missing</v>
      </c>
      <c r="E10" s="33"/>
    </row>
    <row r="11" spans="1:6" s="8" customFormat="1" ht="20.05" customHeight="1" x14ac:dyDescent="0.4">
      <c r="B11" s="128" t="s">
        <v>187</v>
      </c>
      <c r="C11" s="80" t="str">
        <f>IF(wld_dpg_separation_result="Included",CONCATENATE(prefix_wld_az1_cidr,"10.1"),CONCATENATE(prefix_wld_az1_cidr,"11.1"))</f>
        <v>10.13.10.1</v>
      </c>
      <c r="D11" s="337" t="str">
        <f>wld_az1_mgmt_vm_gateway_ip</f>
        <v>Value Missing</v>
      </c>
      <c r="E11" s="33"/>
    </row>
    <row r="12" spans="1:6" s="8" customFormat="1" ht="20.05" customHeight="1" x14ac:dyDescent="0.4">
      <c r="B12" s="128" t="s">
        <v>188</v>
      </c>
      <c r="C12" s="80" t="str">
        <f>IF(wld_dpg_separation_result="Included",CONCATENATE(prefix_wld_az1_cidr,"10.0/24"),CONCATENATE(prefix_wld_az1_cidr,"11.0/24"))</f>
        <v>10.13.10.0/24</v>
      </c>
      <c r="D12" s="337" t="str">
        <f>wld_az1_mgmt_vm_cidr</f>
        <v>Value Missing</v>
      </c>
      <c r="E12" s="33"/>
    </row>
    <row r="13" spans="1:6" s="8" customFormat="1" ht="20.05" customHeight="1" x14ac:dyDescent="0.35">
      <c r="B13" s="4" t="s">
        <v>160</v>
      </c>
      <c r="C13" s="80">
        <v>1500</v>
      </c>
      <c r="D13" s="337" t="str">
        <f>wld_az1_mgmt_vm_mtu</f>
        <v>Value Missing</v>
      </c>
      <c r="E13" s="33"/>
    </row>
    <row r="14" spans="1:6" s="8" customFormat="1" ht="20.05" customHeight="1" x14ac:dyDescent="0.35">
      <c r="B14" s="496" t="s">
        <v>184</v>
      </c>
      <c r="C14" s="497"/>
      <c r="D14" s="497"/>
      <c r="E14" s="498"/>
    </row>
    <row r="15" spans="1:6" s="8" customFormat="1" ht="20.05" customHeight="1" x14ac:dyDescent="0.35">
      <c r="B15" s="4" t="s">
        <v>85</v>
      </c>
      <c r="C15" s="80" t="str">
        <f>sample_wld_az1_uplink01_vlan</f>
        <v>1317</v>
      </c>
      <c r="D15" s="337" t="str">
        <f>wld_az1_uplink01_vlan</f>
        <v>Value Missing</v>
      </c>
      <c r="E15" s="32"/>
    </row>
    <row r="16" spans="1:6" s="8" customFormat="1" ht="20.05" customHeight="1" x14ac:dyDescent="0.35">
      <c r="B16" s="4" t="s">
        <v>187</v>
      </c>
      <c r="C16" s="80" t="str">
        <f>sample_wld_az1_uplink01_gateway_ip</f>
        <v>10.13.17.1</v>
      </c>
      <c r="D16" s="337" t="str">
        <f>wld_az1_uplink01_gateway_ip</f>
        <v>Value Missing</v>
      </c>
      <c r="E16" s="32"/>
    </row>
    <row r="17" spans="2:5" s="8" customFormat="1" ht="20.05" customHeight="1" x14ac:dyDescent="0.35">
      <c r="B17" s="4" t="s">
        <v>188</v>
      </c>
      <c r="C17" s="80" t="str">
        <f>sample_wld_az1_uplink01_cidr</f>
        <v>10.13.17.0/24</v>
      </c>
      <c r="D17" s="337" t="str">
        <f>wld_az1_uplink01_cidr</f>
        <v>Value Missing</v>
      </c>
      <c r="E17" s="32"/>
    </row>
    <row r="18" spans="2:5" s="8" customFormat="1" ht="20.05" customHeight="1" x14ac:dyDescent="0.35">
      <c r="B18" s="4" t="s">
        <v>160</v>
      </c>
      <c r="C18" s="80">
        <f>sample_wld_az1_uplink01_mtu</f>
        <v>9000</v>
      </c>
      <c r="D18" s="337" t="str">
        <f>wld_az1_uplink01_mtu</f>
        <v>Value Missing</v>
      </c>
      <c r="E18" s="32"/>
    </row>
    <row r="19" spans="2:5" s="8" customFormat="1" ht="20.05" customHeight="1" x14ac:dyDescent="0.35">
      <c r="B19" s="496" t="s">
        <v>189</v>
      </c>
      <c r="C19" s="497"/>
      <c r="D19" s="497"/>
      <c r="E19" s="498"/>
    </row>
    <row r="20" spans="2:5" s="8" customFormat="1" ht="20.05" customHeight="1" x14ac:dyDescent="0.35">
      <c r="B20" s="4" t="s">
        <v>85</v>
      </c>
      <c r="C20" s="80" t="str">
        <f>sample_wld_az1_uplink02_vlan</f>
        <v>1318</v>
      </c>
      <c r="D20" s="337" t="str">
        <f>wld_az1_uplink02_vlan</f>
        <v>Value Missing</v>
      </c>
      <c r="E20" s="93"/>
    </row>
    <row r="21" spans="2:5" s="8" customFormat="1" ht="20.05" customHeight="1" x14ac:dyDescent="0.35">
      <c r="B21" s="4" t="s">
        <v>187</v>
      </c>
      <c r="C21" s="80" t="str">
        <f>sample_wld_az1_uplink02_gateway_ip</f>
        <v>10.13.18.1</v>
      </c>
      <c r="D21" s="337" t="str">
        <f>wld_az1_uplink02_gateway_ip</f>
        <v>Value Missing</v>
      </c>
      <c r="E21" s="32"/>
    </row>
    <row r="22" spans="2:5" s="8" customFormat="1" ht="20.05" customHeight="1" x14ac:dyDescent="0.35">
      <c r="B22" s="4" t="s">
        <v>188</v>
      </c>
      <c r="C22" s="80" t="str">
        <f>sample_wld_az1_uplink02_cidr</f>
        <v>10.13.18.0/24</v>
      </c>
      <c r="D22" s="337" t="str">
        <f>wld_az1_uplink01_cidr</f>
        <v>Value Missing</v>
      </c>
      <c r="E22" s="32"/>
    </row>
    <row r="23" spans="2:5" s="8" customFormat="1" ht="20.05" customHeight="1" x14ac:dyDescent="0.35">
      <c r="B23" s="4" t="s">
        <v>160</v>
      </c>
      <c r="C23" s="80">
        <f>sample_wld_az1_uplink02_mtu</f>
        <v>9000</v>
      </c>
      <c r="D23" s="337" t="str">
        <f>wld_az1_uplink02_mtu</f>
        <v>Value Missing</v>
      </c>
      <c r="E23" s="32"/>
    </row>
    <row r="24" spans="2:5" s="8" customFormat="1" ht="20.05" customHeight="1" x14ac:dyDescent="0.35">
      <c r="B24" s="496" t="s">
        <v>191</v>
      </c>
      <c r="C24" s="497"/>
      <c r="D24" s="497"/>
      <c r="E24" s="498"/>
    </row>
    <row r="25" spans="2:5" s="8" customFormat="1" ht="20.05" customHeight="1" x14ac:dyDescent="0.35">
      <c r="B25" s="4" t="s">
        <v>85</v>
      </c>
      <c r="C25" s="80" t="str">
        <f>CONCATENATE(prefix_wld_az1_vlan,"19")</f>
        <v>1319</v>
      </c>
      <c r="D25" s="337" t="str">
        <f>wld_az1_edge_overlay_vlan</f>
        <v>Value Missing</v>
      </c>
      <c r="E25" s="32" t="str">
        <f>IF(AND(mgmt_stretched_cluster_result="Included",mgmt_dpg_reuse_result="Included"),"Stretched L2","")</f>
        <v/>
      </c>
    </row>
    <row r="26" spans="2:5" s="8" customFormat="1" ht="20.05" customHeight="1" x14ac:dyDescent="0.35">
      <c r="B26" s="4" t="s">
        <v>187</v>
      </c>
      <c r="C26" s="80" t="str">
        <f>sample_wld_az1_edge_overlay_gateway_ip</f>
        <v>10.13.19.1</v>
      </c>
      <c r="D26" s="337" t="str">
        <f>wld_az1_edge_overlay_gateway_ip</f>
        <v>Value Missing</v>
      </c>
      <c r="E26" s="32" t="str">
        <f>IF(AND(mgmt_stretched_cluster_result="Included",mgmt_dpg_reuse_result="Excluded"),"Stretched L2","")</f>
        <v/>
      </c>
    </row>
    <row r="27" spans="2:5" s="8" customFormat="1" ht="20.05" customHeight="1" x14ac:dyDescent="0.35">
      <c r="B27" s="4" t="s">
        <v>188</v>
      </c>
      <c r="C27" s="80" t="str">
        <f>sample_wld_az1_edge_overlay_cidr</f>
        <v>10.13.19.0/24</v>
      </c>
      <c r="D27" s="337" t="str">
        <f>wld_az1_edge_overlay_cidr</f>
        <v>Value Missing</v>
      </c>
      <c r="E27" s="32"/>
    </row>
    <row r="28" spans="2:5" s="8" customFormat="1" ht="20.05" customHeight="1" x14ac:dyDescent="0.35">
      <c r="B28" s="526" t="s">
        <v>3289</v>
      </c>
      <c r="C28" s="526"/>
      <c r="D28" s="526"/>
      <c r="E28" s="526"/>
    </row>
    <row r="29" spans="2:5" s="8" customFormat="1" ht="20.05" customHeight="1" x14ac:dyDescent="0.35">
      <c r="B29" s="4" t="s">
        <v>1025</v>
      </c>
      <c r="C29" s="80" t="str">
        <f>sample_wld_en_asn</f>
        <v>65102</v>
      </c>
      <c r="D29" s="337" t="str">
        <f>wld_en_asn</f>
        <v>Value Missing</v>
      </c>
      <c r="E29" s="32"/>
    </row>
    <row r="30" spans="2:5" s="8" customFormat="1" ht="20.05" customHeight="1" x14ac:dyDescent="0.35">
      <c r="B30" s="4" t="s">
        <v>168</v>
      </c>
      <c r="C30" s="80" t="str">
        <f>sample_wld_az1_tor1_peer_ip</f>
        <v>10.13.17.10</v>
      </c>
      <c r="D30" s="337" t="str">
        <f>wld_az1_tor1_peer_ip</f>
        <v>Value Missing</v>
      </c>
      <c r="E30" s="32"/>
    </row>
    <row r="31" spans="2:5" s="8" customFormat="1" ht="20.05" customHeight="1" x14ac:dyDescent="0.35">
      <c r="B31" s="4" t="s">
        <v>169</v>
      </c>
      <c r="C31" s="80" t="str">
        <f>sample_wld_az1_tor1_peer_asn</f>
        <v>65131</v>
      </c>
      <c r="D31" s="337" t="str">
        <f>wld_az1_tor1_peer_asn</f>
        <v>Value Missing</v>
      </c>
      <c r="E31" s="32"/>
    </row>
    <row r="32" spans="2:5" s="8" customFormat="1" ht="20.05" customHeight="1" x14ac:dyDescent="0.35">
      <c r="B32" s="4" t="s">
        <v>170</v>
      </c>
      <c r="C32" s="80" t="str">
        <f>sample_wld_az1_tor1_peer_bgp_password</f>
        <v>VMw@re1!</v>
      </c>
      <c r="D32" s="337" t="str">
        <f>wld_az1_tor1_peer_bgp_password</f>
        <v>Value Missing</v>
      </c>
      <c r="E32" s="32"/>
    </row>
    <row r="33" spans="2:5" s="8" customFormat="1" ht="20.05" customHeight="1" x14ac:dyDescent="0.35">
      <c r="B33" s="4" t="s">
        <v>171</v>
      </c>
      <c r="C33" s="80" t="str">
        <f>sample_wld_az1_tor2_peer_ip</f>
        <v>10.13.18.10</v>
      </c>
      <c r="D33" s="337" t="str">
        <f>wld_az1_tor2_peer_ip</f>
        <v>Value Missing</v>
      </c>
      <c r="E33" s="32"/>
    </row>
    <row r="34" spans="2:5" s="8" customFormat="1" ht="20.05" customHeight="1" x14ac:dyDescent="0.35">
      <c r="B34" s="4" t="s">
        <v>172</v>
      </c>
      <c r="C34" s="80" t="str">
        <f>sample_wld_az1_tor2_peer_asn</f>
        <v>65131</v>
      </c>
      <c r="D34" s="337" t="str">
        <f>wld_az1_tor2_peer_asn</f>
        <v>Value Missing</v>
      </c>
      <c r="E34" s="32"/>
    </row>
    <row r="35" spans="2:5" s="8" customFormat="1" ht="20.05" customHeight="1" x14ac:dyDescent="0.35">
      <c r="B35" s="4" t="s">
        <v>173</v>
      </c>
      <c r="C35" s="80" t="str">
        <f>sample_wld_az1_tor2_peer_bgp_password</f>
        <v>VMw@re1!</v>
      </c>
      <c r="D35" s="337" t="str">
        <f>wld_az1_tor2_peer_bgp_password</f>
        <v>Value Missing</v>
      </c>
      <c r="E35" s="32"/>
    </row>
    <row r="36" spans="2:5" s="8" customFormat="1" ht="20.05" customHeight="1" x14ac:dyDescent="0.35">
      <c r="B36" s="496" t="s">
        <v>3276</v>
      </c>
      <c r="C36" s="497"/>
      <c r="D36" s="497"/>
      <c r="E36" s="498"/>
    </row>
    <row r="37" spans="2:5" s="8" customFormat="1" ht="20.05" customHeight="1" x14ac:dyDescent="0.35">
      <c r="B37" s="30" t="str">
        <f>wld_az1_en1_fqdn</f>
        <v>Value Missing</v>
      </c>
      <c r="C37" s="80" t="str">
        <f>sample_wld_az1_en1_mgmt_cidr</f>
        <v>10.13.10.135/24</v>
      </c>
      <c r="D37" s="337" t="str">
        <f>wld_az1_en1_mgmt_cidr</f>
        <v>Value Missing</v>
      </c>
      <c r="E37" s="337"/>
    </row>
    <row r="38" spans="2:5" s="8" customFormat="1" ht="20.05" customHeight="1" x14ac:dyDescent="0.35">
      <c r="B38" s="99" t="s">
        <v>2729</v>
      </c>
      <c r="C38" s="80" t="str">
        <f>sample_wld_az1_en1_uplink01_interface_cidr</f>
        <v>10.13.17.2/24</v>
      </c>
      <c r="D38" s="337" t="str">
        <f>wld_az1_en1_uplink01_interface_cidr</f>
        <v>Value Missing</v>
      </c>
      <c r="E38" s="337" t="s">
        <v>156</v>
      </c>
    </row>
    <row r="39" spans="2:5" s="8" customFormat="1" ht="20.05" customHeight="1" x14ac:dyDescent="0.35">
      <c r="B39" s="99" t="s">
        <v>2729</v>
      </c>
      <c r="C39" s="80" t="str">
        <f>sample_wld_az1_en1_uplink02_interface_cidr</f>
        <v>10.13.18.2/24</v>
      </c>
      <c r="D39" s="337" t="str">
        <f>wld_az1_en1_uplink02_interface_cidr</f>
        <v>Value Missing</v>
      </c>
      <c r="E39" s="337" t="s">
        <v>1057</v>
      </c>
    </row>
    <row r="40" spans="2:5" s="8" customFormat="1" ht="20.05" customHeight="1" x14ac:dyDescent="0.35">
      <c r="B40" s="179" t="s">
        <v>2729</v>
      </c>
      <c r="C40" s="80" t="str">
        <f>sample_wld_az1_en1_edge_overlay_interface_ip_1_ip</f>
        <v>10.13.19.2</v>
      </c>
      <c r="D40" s="337" t="str">
        <f>wld_az1_en1_edge_overlay_interface_ip_1_ip</f>
        <v>Value Missing</v>
      </c>
      <c r="E40" s="337" t="s">
        <v>1046</v>
      </c>
    </row>
    <row r="41" spans="2:5" s="8" customFormat="1" ht="20.05" customHeight="1" x14ac:dyDescent="0.35">
      <c r="B41" s="180" t="s">
        <v>2729</v>
      </c>
      <c r="C41" s="80" t="str">
        <f>sample_wld_az1_en1_edge_overlay_interface_ip_2_ip</f>
        <v>10.13.19.3</v>
      </c>
      <c r="D41" s="337" t="str">
        <f>wld_az1_en1_edge_overlay_interface_ip_2_ip</f>
        <v>Value Missing</v>
      </c>
      <c r="E41" s="337" t="s">
        <v>3277</v>
      </c>
    </row>
    <row r="42" spans="2:5" s="8" customFormat="1" ht="20.05" customHeight="1" x14ac:dyDescent="0.35">
      <c r="B42" s="30" t="str">
        <f>wld_az1_en2_fqdn</f>
        <v>Value Missing</v>
      </c>
      <c r="C42" s="80" t="str">
        <f>sample_wld_az1_en2_mgmt_cidr</f>
        <v>10.13.10.136/24</v>
      </c>
      <c r="D42" s="337" t="str">
        <f>wld_az1_en2_mgmt_cidr</f>
        <v>Value Missing</v>
      </c>
      <c r="E42" s="337"/>
    </row>
    <row r="43" spans="2:5" s="8" customFormat="1" ht="20.05" customHeight="1" x14ac:dyDescent="0.35">
      <c r="B43" s="99" t="s">
        <v>2729</v>
      </c>
      <c r="C43" s="80" t="str">
        <f>sample_wld_az1_en2_uplink01_interface_cidr</f>
        <v>10.13.17.3/24</v>
      </c>
      <c r="D43" s="337" t="str">
        <f>wld_az1_en2_uplink01_interface_cidr</f>
        <v>Value Missing</v>
      </c>
      <c r="E43" s="337" t="s">
        <v>167</v>
      </c>
    </row>
    <row r="44" spans="2:5" s="8" customFormat="1" ht="20.05" customHeight="1" x14ac:dyDescent="0.35">
      <c r="B44" s="99" t="s">
        <v>2729</v>
      </c>
      <c r="C44" s="80" t="str">
        <f>sample_wld_az1_en2_uplink02_interface_cidr</f>
        <v>10.13.18.3/24</v>
      </c>
      <c r="D44" s="337" t="str">
        <f>wld_az1_en2_uplink02_interface_cidr</f>
        <v>Value Missing</v>
      </c>
      <c r="E44" s="337" t="s">
        <v>165</v>
      </c>
    </row>
    <row r="45" spans="2:5" s="8" customFormat="1" ht="20.05" customHeight="1" x14ac:dyDescent="0.35">
      <c r="B45" s="179" t="s">
        <v>2729</v>
      </c>
      <c r="C45" s="80" t="str">
        <f>sample_wld_az1_en2_edge_overlay_interface_ip_1_ip</f>
        <v>10.13.19.4</v>
      </c>
      <c r="D45" s="337" t="str">
        <f>wld_az1_en2_edge_overlay_interface_ip_1_ip</f>
        <v>Value Missing</v>
      </c>
      <c r="E45" s="337" t="s">
        <v>1052</v>
      </c>
    </row>
    <row r="46" spans="2:5" s="8" customFormat="1" ht="20.05" customHeight="1" x14ac:dyDescent="0.35">
      <c r="B46" s="180" t="s">
        <v>2729</v>
      </c>
      <c r="C46" s="80" t="str">
        <f>sample_wld_az1_en2_edge_overlay_interface_ip_2_ip</f>
        <v>10.13.19.5</v>
      </c>
      <c r="D46" s="337" t="str">
        <f>wld_az1_en2_edge_overlay_interface_ip_2_ip</f>
        <v>Value Missing</v>
      </c>
      <c r="E46" s="337" t="s">
        <v>1054</v>
      </c>
    </row>
    <row r="47" spans="2:5" s="8" customFormat="1" ht="20.05" customHeight="1" x14ac:dyDescent="0.35"/>
    <row r="48" spans="2:5" s="8" customFormat="1" ht="34" customHeight="1" x14ac:dyDescent="0.35">
      <c r="B48" s="407" t="s">
        <v>3290</v>
      </c>
      <c r="C48" s="408"/>
      <c r="D48" s="408"/>
      <c r="E48" s="409"/>
    </row>
    <row r="49" spans="2:5" s="8" customFormat="1" ht="20.05" customHeight="1" x14ac:dyDescent="0.35">
      <c r="B49" s="346" t="s">
        <v>17</v>
      </c>
      <c r="C49" s="346" t="s">
        <v>18</v>
      </c>
      <c r="D49" s="346" t="s">
        <v>19</v>
      </c>
      <c r="E49" s="346" t="s">
        <v>20</v>
      </c>
    </row>
    <row r="50" spans="2:5" s="8" customFormat="1" ht="20.05" customHeight="1" x14ac:dyDescent="0.35">
      <c r="B50" s="496" t="s">
        <v>932</v>
      </c>
      <c r="C50" s="497"/>
      <c r="D50" s="497"/>
      <c r="E50" s="498"/>
    </row>
    <row r="51" spans="2:5" s="8" customFormat="1" ht="20.05" customHeight="1" x14ac:dyDescent="0.35">
      <c r="B51" s="4" t="s">
        <v>85</v>
      </c>
      <c r="C51" s="89" t="str">
        <f>sample_wld_az1_mgmt_vm_vlan</f>
        <v>1310</v>
      </c>
      <c r="D51" s="337" t="str">
        <f>wld_az1_mgmt_vm_vlan</f>
        <v>Value Missing</v>
      </c>
      <c r="E51" s="33"/>
    </row>
    <row r="52" spans="2:5" s="8" customFormat="1" ht="20.05" customHeight="1" x14ac:dyDescent="0.35">
      <c r="B52" s="4" t="s">
        <v>187</v>
      </c>
      <c r="C52" s="80" t="str">
        <f>sample_wld_az1_mgmt_vm_gateway_ip</f>
        <v>10.13.10.1</v>
      </c>
      <c r="D52" s="337" t="str">
        <f>wld_az1_mgmt_vm_gateway_ip</f>
        <v>Value Missing</v>
      </c>
      <c r="E52" s="33"/>
    </row>
    <row r="53" spans="2:5" s="8" customFormat="1" ht="20.05" customHeight="1" x14ac:dyDescent="0.35">
      <c r="B53" s="4" t="s">
        <v>188</v>
      </c>
      <c r="C53" s="80" t="str">
        <f>sample_wld_az1_mgmt_cidr</f>
        <v>10.13.11.0/24</v>
      </c>
      <c r="D53" s="337" t="str">
        <f>wld_az1_mgmt_cidr</f>
        <v>Value Missing</v>
      </c>
      <c r="E53" s="33"/>
    </row>
    <row r="54" spans="2:5" s="8" customFormat="1" ht="20.05" customHeight="1" x14ac:dyDescent="0.35">
      <c r="B54" s="4" t="s">
        <v>160</v>
      </c>
      <c r="C54" s="80">
        <f>sample_wld_az1_mgmt_vm_mtu</f>
        <v>1500</v>
      </c>
      <c r="D54" s="337" t="str">
        <f>wld_az1_mgmt_vm_mtu</f>
        <v>Value Missing</v>
      </c>
      <c r="E54" s="33"/>
    </row>
    <row r="55" spans="2:5" s="8" customFormat="1" ht="20.05" customHeight="1" x14ac:dyDescent="0.35">
      <c r="B55" s="496" t="s">
        <v>3276</v>
      </c>
      <c r="C55" s="497"/>
      <c r="D55" s="497"/>
      <c r="E55" s="498"/>
    </row>
    <row r="56" spans="2:5" s="8" customFormat="1" ht="20.05" customHeight="1" x14ac:dyDescent="0.35">
      <c r="B56" s="30" t="str">
        <f>sample_wld_avilb_fqdn</f>
        <v>sfo-w01-avilb01.sfo.rainpole.io</v>
      </c>
      <c r="C56" s="80" t="str">
        <f>sample_wld_avilb_ip</f>
        <v>10.11.10.151</v>
      </c>
      <c r="D56" s="337" t="str">
        <f>wld_avilb_ip</f>
        <v>Value Missing</v>
      </c>
      <c r="E56" s="99" t="s">
        <v>208</v>
      </c>
    </row>
    <row r="57" spans="2:5" s="8" customFormat="1" ht="20.05" customHeight="1" x14ac:dyDescent="0.35">
      <c r="B57" s="99" t="s">
        <v>2729</v>
      </c>
      <c r="C57" s="80" t="str">
        <f>sample_wld_avilb_mgra_ip</f>
        <v>10.11.10.152</v>
      </c>
      <c r="D57" s="337" t="str">
        <f>wld_avilb_mgra_ip</f>
        <v>Value Missing</v>
      </c>
      <c r="E57" s="99" t="s">
        <v>202</v>
      </c>
    </row>
    <row r="58" spans="2:5" s="8" customFormat="1" ht="20.05" customHeight="1" x14ac:dyDescent="0.35">
      <c r="B58" s="99" t="s">
        <v>2729</v>
      </c>
      <c r="C58" s="80" t="str">
        <f>sample_wld_avilb_mgrb_ip</f>
        <v>10.11.10.153</v>
      </c>
      <c r="D58" s="337" t="str">
        <f>wld_avilb_mgrb_ip</f>
        <v>Value Missing</v>
      </c>
      <c r="E58" s="99" t="s">
        <v>204</v>
      </c>
    </row>
    <row r="59" spans="2:5" s="8" customFormat="1" ht="20.05" customHeight="1" x14ac:dyDescent="0.35">
      <c r="B59" s="99" t="s">
        <v>2729</v>
      </c>
      <c r="C59" s="80" t="str">
        <f>sample_wld_avilb_mgrc_ip</f>
        <v>10.11.10.154</v>
      </c>
      <c r="D59" s="337" t="str">
        <f>wld_avilb_mgrc_ip</f>
        <v>Value Missing</v>
      </c>
      <c r="E59" s="99" t="s">
        <v>206</v>
      </c>
    </row>
    <row r="60" spans="2:5" s="8" customFormat="1" ht="20.05" customHeight="1" x14ac:dyDescent="0.35"/>
    <row r="61" spans="2:5" s="8" customFormat="1" ht="34" customHeight="1" x14ac:dyDescent="0.35">
      <c r="B61" s="407" t="s">
        <v>1180</v>
      </c>
      <c r="C61" s="408"/>
      <c r="D61" s="408"/>
      <c r="E61" s="409"/>
    </row>
    <row r="62" spans="2:5" s="8" customFormat="1" ht="20.05" customHeight="1" x14ac:dyDescent="0.35">
      <c r="B62" s="346" t="s">
        <v>17</v>
      </c>
      <c r="C62" s="346" t="s">
        <v>18</v>
      </c>
      <c r="D62" s="346" t="s">
        <v>19</v>
      </c>
      <c r="E62" s="346" t="s">
        <v>20</v>
      </c>
    </row>
    <row r="63" spans="2:5" s="8" customFormat="1" ht="20.05" customHeight="1" x14ac:dyDescent="0.35">
      <c r="B63" s="496" t="s">
        <v>3281</v>
      </c>
      <c r="C63" s="497"/>
      <c r="D63" s="497"/>
      <c r="E63" s="498"/>
    </row>
    <row r="64" spans="2:5" s="8" customFormat="1" ht="20.05" customHeight="1" x14ac:dyDescent="0.35">
      <c r="B64" s="4" t="s">
        <v>85</v>
      </c>
      <c r="C64" s="80" t="str">
        <f>IF(mgmt_dpg_reuse_result="Included",CONCATENATE(prefix_wld_witness_vlan,"10"),CONCATENATE(prefix_wld_witness_vlan,"11"))</f>
        <v>2110</v>
      </c>
      <c r="D64" s="258" t="str">
        <f>wld_witnessaz_mgmt_vlan</f>
        <v>Value Missing</v>
      </c>
      <c r="E64" s="32"/>
    </row>
    <row r="65" spans="2:5" s="8" customFormat="1" ht="20.05" customHeight="1" x14ac:dyDescent="0.35">
      <c r="B65" s="4" t="s">
        <v>187</v>
      </c>
      <c r="C65" s="362" t="str">
        <f>sample_wld_witnessaz_mgmt_gateway_ip</f>
        <v>10.21.10.1</v>
      </c>
      <c r="D65" s="258" t="str">
        <f>wld_witnessaz_mgmt_gateway_ip</f>
        <v>Value Missing</v>
      </c>
      <c r="E65" s="32"/>
    </row>
    <row r="66" spans="2:5" s="8" customFormat="1" ht="20.05" customHeight="1" x14ac:dyDescent="0.35">
      <c r="B66" s="4" t="s">
        <v>188</v>
      </c>
      <c r="C66" s="80" t="str">
        <f>IF(mgmt_dpg_reuse_result="Included",CONCATENATE(prefix_wld_witness_cidr,"10.0/24"),CONCATENATE(prefix_wld_witness_cidr,"11.0/24"))</f>
        <v>10.21.10.0/24</v>
      </c>
      <c r="D66" s="258" t="str">
        <f>wld_witnessaz_mgmt_cidr</f>
        <v>Value Missing</v>
      </c>
      <c r="E66" s="32"/>
    </row>
    <row r="67" spans="2:5" s="8" customFormat="1" ht="20.05" customHeight="1" x14ac:dyDescent="0.35">
      <c r="B67" s="4" t="s">
        <v>160</v>
      </c>
      <c r="C67" s="362">
        <f>sample_wld_witnessaz_mgmt_mtu</f>
        <v>1500</v>
      </c>
      <c r="D67" s="258" t="str">
        <f>wld_witnessaz_mgmt_mtu</f>
        <v>Value Missing</v>
      </c>
      <c r="E67" s="32"/>
    </row>
    <row r="68" spans="2:5" s="8" customFormat="1" ht="20.05" customHeight="1" x14ac:dyDescent="0.35">
      <c r="B68" s="502" t="s">
        <v>251</v>
      </c>
      <c r="C68" s="503"/>
      <c r="D68" s="503"/>
      <c r="E68" s="635"/>
    </row>
    <row r="69" spans="2:5" s="8" customFormat="1" ht="20.05" customHeight="1" x14ac:dyDescent="0.35">
      <c r="B69" s="22" t="s">
        <v>85</v>
      </c>
      <c r="C69" s="80" t="str">
        <f>sample_wld_az2_vmotion_vlan</f>
        <v>1412</v>
      </c>
      <c r="D69" s="258" t="str">
        <f>wld_az2_vmotion_vlan</f>
        <v>Value Missing</v>
      </c>
      <c r="E69" s="199"/>
    </row>
    <row r="70" spans="2:5" s="8" customFormat="1" ht="20.05" customHeight="1" x14ac:dyDescent="0.35">
      <c r="B70" s="22" t="s">
        <v>187</v>
      </c>
      <c r="C70" s="80" t="str">
        <f>sample_wld_az2_vmotion_gateway_ip</f>
        <v>10.14.12.1</v>
      </c>
      <c r="D70" s="258" t="str">
        <f>wld_az2_vmotion_gateway_ip</f>
        <v>Value Missing</v>
      </c>
      <c r="E70" s="160"/>
    </row>
    <row r="71" spans="2:5" s="8" customFormat="1" ht="20.05" customHeight="1" x14ac:dyDescent="0.35">
      <c r="B71" s="22" t="s">
        <v>188</v>
      </c>
      <c r="C71" s="80" t="str">
        <f>CONCATENATE(prefix_wld_az2_cidr,"12.0/24")</f>
        <v>10.14.12.0/24</v>
      </c>
      <c r="D71" s="258" t="str">
        <f>wld_az2_vmotion_cidr</f>
        <v>Value Missing</v>
      </c>
      <c r="E71" s="160"/>
    </row>
    <row r="72" spans="2:5" s="8" customFormat="1" ht="20.05" customHeight="1" x14ac:dyDescent="0.35">
      <c r="B72" s="22" t="s">
        <v>160</v>
      </c>
      <c r="C72" s="80">
        <f>sample_wld_az2_vmotion_mtu</f>
        <v>9000</v>
      </c>
      <c r="D72" s="258" t="str">
        <f>wld_az2_vmotion_mtu</f>
        <v>Value Missing</v>
      </c>
      <c r="E72" s="160"/>
    </row>
    <row r="73" spans="2:5" s="8" customFormat="1" ht="20.05" customHeight="1" x14ac:dyDescent="0.35">
      <c r="B73" s="22" t="s">
        <v>255</v>
      </c>
      <c r="C73" s="80" t="str">
        <f>sample_wld_az2_vmotion_pool_end_ip</f>
        <v>10.14.12.116</v>
      </c>
      <c r="D73" s="258" t="str">
        <f>wld_az2_vmotion_pool_end_ip</f>
        <v>Value Missing</v>
      </c>
      <c r="E73" s="160"/>
    </row>
    <row r="74" spans="2:5" s="8" customFormat="1" ht="20.05" customHeight="1" x14ac:dyDescent="0.35">
      <c r="B74" s="22" t="s">
        <v>256</v>
      </c>
      <c r="C74" s="80" t="str">
        <f>sample_wld_az2_vmotion_pool_start_ip</f>
        <v>10.14.12.101</v>
      </c>
      <c r="D74" s="258" t="str">
        <f>wld_az2_vmotion_pool_start_ip</f>
        <v>Value Missing</v>
      </c>
      <c r="E74" s="160"/>
    </row>
    <row r="75" spans="2:5" s="8" customFormat="1" ht="20.05" customHeight="1" x14ac:dyDescent="0.35">
      <c r="B75" s="502" t="s">
        <v>257</v>
      </c>
      <c r="C75" s="503"/>
      <c r="D75" s="503"/>
      <c r="E75" s="504"/>
    </row>
    <row r="76" spans="2:5" s="8" customFormat="1" ht="20.05" customHeight="1" x14ac:dyDescent="0.35">
      <c r="B76" s="22" t="s">
        <v>85</v>
      </c>
      <c r="C76" s="80" t="str">
        <f>sample_wld_az2_principal_storage_vlan</f>
        <v>1413</v>
      </c>
      <c r="D76" s="9" t="str">
        <f>wld_az2_principal_storage_vlan</f>
        <v>Value Missing</v>
      </c>
      <c r="E76" s="160"/>
    </row>
    <row r="77" spans="2:5" s="8" customFormat="1" ht="20.05" customHeight="1" x14ac:dyDescent="0.35">
      <c r="B77" s="22" t="s">
        <v>187</v>
      </c>
      <c r="C77" s="80" t="str">
        <f>sample_wld_az2_principal_storage_gateway_ip</f>
        <v>10.14.13.1</v>
      </c>
      <c r="D77" s="9" t="str">
        <f>wld_az2_principal_storage_gateway_ip</f>
        <v>Value Missing</v>
      </c>
      <c r="E77" s="160"/>
    </row>
    <row r="78" spans="2:5" s="8" customFormat="1" ht="20.05" customHeight="1" x14ac:dyDescent="0.35">
      <c r="B78" s="22" t="s">
        <v>160</v>
      </c>
      <c r="C78" s="80">
        <f>sample_wld_az2_principal_storage_mtu</f>
        <v>9000</v>
      </c>
      <c r="D78" s="9" t="str">
        <f>wld_az2_principal_storage_mtu</f>
        <v>Value Missing</v>
      </c>
      <c r="E78" s="160"/>
    </row>
    <row r="79" spans="2:5" s="8" customFormat="1" ht="20.05" customHeight="1" x14ac:dyDescent="0.35">
      <c r="B79" s="22" t="s">
        <v>188</v>
      </c>
      <c r="C79" s="80" t="str">
        <f>CONCATENATE(prefix_mgmt_az2_cidr,"13.0/24")</f>
        <v>10.12.13.0/24</v>
      </c>
      <c r="D79" s="9" t="str">
        <f>wld_az2_principal_storage_network</f>
        <v>Value Missing</v>
      </c>
      <c r="E79" s="160"/>
    </row>
    <row r="80" spans="2:5" s="8" customFormat="1" ht="20.05" customHeight="1" x14ac:dyDescent="0.35">
      <c r="B80" s="22" t="s">
        <v>255</v>
      </c>
      <c r="C80" s="80" t="str">
        <f>sample_mgmt_az2_vsan_pool_start_ip</f>
        <v>10.12.13.101</v>
      </c>
      <c r="D80" s="9" t="str">
        <f>wld_az2_principal_storage_pool_start_ip</f>
        <v>Value Missing</v>
      </c>
      <c r="E80" s="160"/>
    </row>
    <row r="81" spans="2:5" s="8" customFormat="1" ht="20.05" customHeight="1" x14ac:dyDescent="0.35">
      <c r="B81" s="22" t="s">
        <v>256</v>
      </c>
      <c r="C81" s="80" t="str">
        <f>sample_mgmt_az2_vsan_pool_end_ip</f>
        <v>10.12.13.116</v>
      </c>
      <c r="D81" s="9" t="str">
        <f>wld_az2_principal_storage_pool_end_ip</f>
        <v>Value Missing</v>
      </c>
      <c r="E81" s="160"/>
    </row>
    <row r="82" spans="2:5" s="8" customFormat="1" ht="20.05" customHeight="1" x14ac:dyDescent="0.35">
      <c r="B82" s="502" t="s">
        <v>258</v>
      </c>
      <c r="C82" s="503"/>
      <c r="D82" s="503"/>
      <c r="E82" s="504"/>
    </row>
    <row r="83" spans="2:5" s="8" customFormat="1" ht="20.05" customHeight="1" x14ac:dyDescent="0.35">
      <c r="B83" s="22" t="s">
        <v>85</v>
      </c>
      <c r="C83" s="135" t="str">
        <f>sample_wld_az2_secondary_storage_vlan</f>
        <v>1415</v>
      </c>
      <c r="D83" s="9" t="str">
        <f>wld_az2_secondary_storage_vlan</f>
        <v>Value Missing</v>
      </c>
      <c r="E83" s="160"/>
    </row>
    <row r="84" spans="2:5" s="8" customFormat="1" ht="20.05" customHeight="1" x14ac:dyDescent="0.35">
      <c r="B84" s="22" t="s">
        <v>187</v>
      </c>
      <c r="C84" s="135" t="str">
        <f>sample_wld_az2_secondary_storage_gateway_ip</f>
        <v>10.14.15.1</v>
      </c>
      <c r="D84" s="9" t="str">
        <f>wld_az2_secondary_storage_gateway_ip</f>
        <v>Value Missing</v>
      </c>
      <c r="E84" s="160"/>
    </row>
    <row r="85" spans="2:5" s="8" customFormat="1" ht="20.05" customHeight="1" x14ac:dyDescent="0.35">
      <c r="B85" s="22" t="s">
        <v>160</v>
      </c>
      <c r="C85" s="135">
        <f>sample_wld_az2_secondary_storage_mtu</f>
        <v>9000</v>
      </c>
      <c r="D85" s="9" t="str">
        <f>wld_az2_secondary_storage_mtu</f>
        <v>Value Missing</v>
      </c>
      <c r="E85" s="160"/>
    </row>
    <row r="86" spans="2:5" s="8" customFormat="1" ht="20.05" customHeight="1" x14ac:dyDescent="0.35">
      <c r="B86" s="22" t="s">
        <v>188</v>
      </c>
      <c r="C86" s="135" t="str">
        <f>CONCATENATE(prefix_wld_az2_cidr,"15.0/24")</f>
        <v>10.14.15.0/24</v>
      </c>
      <c r="D86" s="9" t="str">
        <f>wld_az2_secondary_storage_cidr</f>
        <v>Value Missing</v>
      </c>
      <c r="E86" s="160"/>
    </row>
    <row r="87" spans="2:5" s="8" customFormat="1" ht="20.05" customHeight="1" x14ac:dyDescent="0.35">
      <c r="B87" s="22" t="s">
        <v>255</v>
      </c>
      <c r="C87" s="135" t="str">
        <f>sample_wld_az2_secondary_storage_pool_start_ip</f>
        <v>10.14.15.101</v>
      </c>
      <c r="D87" s="9" t="str">
        <f>wld_az2_secondary_storage_pool_start_ip</f>
        <v>Value Missing</v>
      </c>
      <c r="E87" s="160"/>
    </row>
    <row r="88" spans="2:5" s="8" customFormat="1" ht="20.05" customHeight="1" x14ac:dyDescent="0.35">
      <c r="B88" s="22" t="s">
        <v>256</v>
      </c>
      <c r="C88" s="135" t="str">
        <f>sample_wld_az2_secondary_storage_pool_end_ip</f>
        <v>10.14.15.116</v>
      </c>
      <c r="D88" s="9" t="str">
        <f>wld_az2_secondary_storage_pool_end_ip</f>
        <v>Value Missing</v>
      </c>
      <c r="E88" s="160"/>
    </row>
    <row r="89" spans="2:5" s="8" customFormat="1" ht="20.05" customHeight="1" x14ac:dyDescent="0.35">
      <c r="B89" s="496" t="s">
        <v>3291</v>
      </c>
      <c r="C89" s="497"/>
      <c r="D89" s="497"/>
      <c r="E89" s="498"/>
    </row>
    <row r="90" spans="2:5" s="8" customFormat="1" ht="20.05" customHeight="1" x14ac:dyDescent="0.35">
      <c r="B90" s="4" t="s">
        <v>85</v>
      </c>
      <c r="C90" s="362" t="str">
        <f>sample_wld_az2_host_overlay_vlan</f>
        <v>1414</v>
      </c>
      <c r="D90" s="258" t="str">
        <f>wld_az2_host_overlay_vlan</f>
        <v>Value Missing</v>
      </c>
      <c r="E90" s="56"/>
    </row>
    <row r="91" spans="2:5" s="8" customFormat="1" ht="20.05" customHeight="1" x14ac:dyDescent="0.35">
      <c r="B91" s="4" t="s">
        <v>187</v>
      </c>
      <c r="C91" s="80" t="str">
        <f>sample_wld_az2_host_overlay_gateway_ip</f>
        <v>10.14.14.1</v>
      </c>
      <c r="D91" s="258" t="str">
        <f>wld_az2_host_overlay_gateway_ip</f>
        <v>Value Missing</v>
      </c>
      <c r="E91" s="56"/>
    </row>
    <row r="92" spans="2:5" s="8" customFormat="1" ht="20.05" customHeight="1" x14ac:dyDescent="0.35">
      <c r="B92" s="4" t="s">
        <v>188</v>
      </c>
      <c r="C92" s="80" t="str">
        <f>sample_wld_az2_host_overlay_cidr</f>
        <v>10.14.14.0/24</v>
      </c>
      <c r="D92" s="258" t="str">
        <f>wld_az2_host_overlay_cidr</f>
        <v>Value Missing</v>
      </c>
      <c r="E92" s="56"/>
    </row>
    <row r="93" spans="2:5" s="8" customFormat="1" ht="20.05" customHeight="1" x14ac:dyDescent="0.35">
      <c r="B93" s="4" t="s">
        <v>160</v>
      </c>
      <c r="C93" s="80">
        <f>sample_wld_az2_host_overlay_mtu</f>
        <v>9000</v>
      </c>
      <c r="D93" s="258" t="str">
        <f>wld_az2_host_overlay_cidr</f>
        <v>Value Missing</v>
      </c>
    </row>
    <row r="94" spans="2:5" s="8" customFormat="1" ht="20.05" customHeight="1" x14ac:dyDescent="0.35">
      <c r="B94" s="22" t="s">
        <v>255</v>
      </c>
      <c r="C94" s="80" t="str">
        <f>sample_wld_az2_host_overlay_pool_start_ip</f>
        <v>10.14.14.101</v>
      </c>
      <c r="D94" s="9" t="str">
        <f>wld_az2_host_overlay_pool_start_ip</f>
        <v>Value Missing</v>
      </c>
      <c r="E94" s="160"/>
    </row>
    <row r="95" spans="2:5" s="8" customFormat="1" ht="20.05" customHeight="1" x14ac:dyDescent="0.35">
      <c r="B95" s="22" t="s">
        <v>256</v>
      </c>
      <c r="C95" s="80" t="str">
        <f>sample_wld_az2_host_overlay_pool_end_ip</f>
        <v>10.14.14.132</v>
      </c>
      <c r="D95" s="9" t="str">
        <f>wld_az2_host_overlay_pool_end_ip</f>
        <v>Value Missing</v>
      </c>
      <c r="E95" s="160"/>
    </row>
    <row r="96" spans="2:5" s="8" customFormat="1" ht="20.05" customHeight="1" x14ac:dyDescent="0.35">
      <c r="B96" s="496" t="s">
        <v>939</v>
      </c>
      <c r="C96" s="497"/>
      <c r="D96" s="497"/>
      <c r="E96" s="498"/>
    </row>
    <row r="97" spans="2:5" s="8" customFormat="1" ht="20.05" customHeight="1" x14ac:dyDescent="0.35">
      <c r="B97" s="9" t="str">
        <f>mgmt_witness_hostname</f>
        <v>Value Missing</v>
      </c>
      <c r="C97" s="181" t="str">
        <f>sample_wld_witness_ip</f>
        <v>10.21.10.219</v>
      </c>
      <c r="D97" s="182" t="e">
        <f>wld_witness_mgmt_ip</f>
        <v>#NAME?</v>
      </c>
      <c r="E97" s="150" t="s">
        <v>278</v>
      </c>
    </row>
    <row r="98" spans="2:5" s="8" customFormat="1" ht="20.05" customHeight="1" x14ac:dyDescent="0.35">
      <c r="B98" s="9" t="str">
        <f>wld_witness_zone_vc_hostname</f>
        <v>Value Missing</v>
      </c>
      <c r="C98" s="181" t="str">
        <f>sample_wld_witness_zone_vc_ip</f>
        <v>10.21.10.70</v>
      </c>
      <c r="D98" s="182" t="str">
        <f>wld_witness_zone_vc_ip</f>
        <v>Value Missing</v>
      </c>
      <c r="E98" s="150" t="s">
        <v>274</v>
      </c>
    </row>
    <row r="99" spans="2:5" s="8" customFormat="1" ht="20.05" customHeight="1" x14ac:dyDescent="0.35">
      <c r="B99" s="526" t="s">
        <v>3289</v>
      </c>
      <c r="C99" s="526"/>
      <c r="D99" s="526"/>
      <c r="E99" s="526"/>
    </row>
    <row r="100" spans="2:5" s="8" customFormat="1" ht="20.05" customHeight="1" x14ac:dyDescent="0.35">
      <c r="B100" s="4" t="s">
        <v>1025</v>
      </c>
      <c r="C100" s="80" t="str">
        <f>sample_wld_en_asn</f>
        <v>65102</v>
      </c>
      <c r="D100" s="182" t="str">
        <f>wld_en_asn</f>
        <v>Value Missing</v>
      </c>
      <c r="E100" s="32"/>
    </row>
    <row r="101" spans="2:5" s="8" customFormat="1" ht="20.05" customHeight="1" x14ac:dyDescent="0.35">
      <c r="B101" s="4" t="s">
        <v>168</v>
      </c>
      <c r="C101" s="80" t="str">
        <f>sample_wld_az2_tor1_peer_ip</f>
        <v>10.13.17.11</v>
      </c>
      <c r="D101" s="182" t="str">
        <f>wld_az1_tor1_peer_ip</f>
        <v>Value Missing</v>
      </c>
      <c r="E101" s="32"/>
    </row>
    <row r="102" spans="2:5" s="8" customFormat="1" ht="20.05" customHeight="1" x14ac:dyDescent="0.35">
      <c r="B102" s="4" t="s">
        <v>169</v>
      </c>
      <c r="C102" s="80" t="str">
        <f>sample_wld_az2_tor1_peer_asn</f>
        <v>65141</v>
      </c>
      <c r="D102" s="182" t="str">
        <f>wld_az1_tor1_peer_asn</f>
        <v>Value Missing</v>
      </c>
      <c r="E102" s="32"/>
    </row>
    <row r="103" spans="2:5" s="8" customFormat="1" ht="20.05" customHeight="1" x14ac:dyDescent="0.35">
      <c r="B103" s="4" t="s">
        <v>170</v>
      </c>
      <c r="C103" s="80" t="str">
        <f>sample_wld_az2_tor1_peer_bgp_password</f>
        <v>VMw@re1!</v>
      </c>
      <c r="D103" s="182" t="str">
        <f>wld_az1_tor1_peer_bgp_password</f>
        <v>Value Missing</v>
      </c>
      <c r="E103" s="32"/>
    </row>
    <row r="104" spans="2:5" s="8" customFormat="1" ht="20.05" customHeight="1" x14ac:dyDescent="0.35">
      <c r="B104" s="4" t="s">
        <v>171</v>
      </c>
      <c r="C104" s="80" t="str">
        <f>sample_wld_az2_tor2_peer_ip</f>
        <v>10.13.18.11</v>
      </c>
      <c r="D104" s="182" t="str">
        <f>wld_az1_tor2_peer_ip</f>
        <v>Value Missing</v>
      </c>
      <c r="E104" s="32"/>
    </row>
    <row r="105" spans="2:5" s="8" customFormat="1" ht="20.05" customHeight="1" x14ac:dyDescent="0.35">
      <c r="B105" s="4" t="s">
        <v>172</v>
      </c>
      <c r="C105" s="80" t="str">
        <f>sample_wld_az2_tor2_peer_asn</f>
        <v>65141</v>
      </c>
      <c r="D105" s="182" t="str">
        <f>wld_az1_tor2_peer_asn</f>
        <v>Value Missing</v>
      </c>
      <c r="E105" s="32"/>
    </row>
    <row r="106" spans="2:5" s="8" customFormat="1" ht="20.05" customHeight="1" x14ac:dyDescent="0.35">
      <c r="B106" s="4" t="s">
        <v>173</v>
      </c>
      <c r="C106" s="80" t="str">
        <f>sample_wld_az2_tor2_peer_bgp_password</f>
        <v>VMw@re1!</v>
      </c>
      <c r="D106" s="182" t="str">
        <f>wld_az1_tor2_peer_bgp_password</f>
        <v>Value Missing</v>
      </c>
      <c r="E106" s="32"/>
    </row>
    <row r="107" spans="2:5" s="8" customFormat="1" ht="20.05" customHeight="1" x14ac:dyDescent="0.35"/>
    <row r="108" spans="2:5" s="8" customFormat="1" ht="34" customHeight="1" x14ac:dyDescent="0.35">
      <c r="B108" s="407" t="s">
        <v>1029</v>
      </c>
      <c r="C108" s="408"/>
      <c r="D108" s="408"/>
      <c r="E108" s="409"/>
    </row>
    <row r="109" spans="2:5" s="8" customFormat="1" ht="20.05" customHeight="1" x14ac:dyDescent="0.35">
      <c r="B109" s="346" t="s">
        <v>17</v>
      </c>
      <c r="C109" s="346" t="s">
        <v>18</v>
      </c>
      <c r="D109" s="346" t="s">
        <v>19</v>
      </c>
      <c r="E109" s="346" t="s">
        <v>20</v>
      </c>
    </row>
    <row r="110" spans="2:5" s="8" customFormat="1" ht="20.05" customHeight="1" x14ac:dyDescent="0.35">
      <c r="B110" s="496" t="s">
        <v>932</v>
      </c>
      <c r="C110" s="497"/>
      <c r="D110" s="497"/>
      <c r="E110" s="498"/>
    </row>
    <row r="111" spans="2:5" s="8" customFormat="1" ht="20.05" customHeight="1" x14ac:dyDescent="0.35">
      <c r="B111" s="4" t="s">
        <v>85</v>
      </c>
      <c r="C111" s="89" t="str">
        <f>sample_mgmt_az1_mgmt_vm_vlan</f>
        <v>1110</v>
      </c>
      <c r="D111" s="337" t="str">
        <f>mgmt_az1_mgmt_vm_vlan</f>
        <v>Value Missing</v>
      </c>
      <c r="E111" s="33"/>
    </row>
    <row r="112" spans="2:5" s="8" customFormat="1" ht="20.05" customHeight="1" x14ac:dyDescent="0.35">
      <c r="B112" s="4" t="s">
        <v>187</v>
      </c>
      <c r="C112" s="80" t="str">
        <f>sample_mgmt_az1_mgmt_vm_gateway_ip</f>
        <v>10.11.10.1</v>
      </c>
      <c r="D112" s="337" t="str">
        <f>mgmt_az1_mgmt_vm_gateway_ip</f>
        <v>Value Missing</v>
      </c>
      <c r="E112" s="33"/>
    </row>
    <row r="113" spans="2:5" s="8" customFormat="1" ht="20.05" customHeight="1" x14ac:dyDescent="0.35">
      <c r="B113" s="4" t="s">
        <v>188</v>
      </c>
      <c r="C113" s="80" t="str">
        <f>sample_mgmt_az1_mgmt_cidr</f>
        <v>10.11.11.0/24</v>
      </c>
      <c r="D113" s="337" t="str">
        <f>mgmt_az1_mgmt_cidr</f>
        <v>Value Missing</v>
      </c>
      <c r="E113" s="33"/>
    </row>
    <row r="114" spans="2:5" s="8" customFormat="1" ht="20.05" customHeight="1" x14ac:dyDescent="0.35">
      <c r="B114" s="4" t="s">
        <v>160</v>
      </c>
      <c r="C114" s="80">
        <v>1500</v>
      </c>
      <c r="D114" s="337" t="str">
        <f>wld_witnessaz_mgmt_mtu</f>
        <v>Value Missing</v>
      </c>
      <c r="E114" s="33"/>
    </row>
    <row r="115" spans="2:5" s="8" customFormat="1" ht="20.05" customHeight="1" x14ac:dyDescent="0.35">
      <c r="B115" s="496" t="s">
        <v>3285</v>
      </c>
      <c r="C115" s="497"/>
      <c r="D115" s="497"/>
      <c r="E115" s="498"/>
    </row>
    <row r="116" spans="2:5" s="8" customFormat="1" ht="20.05" customHeight="1" x14ac:dyDescent="0.35">
      <c r="B116" s="4" t="s">
        <v>85</v>
      </c>
      <c r="C116" s="362" t="str">
        <f>sample_wld_az1_rtep_overlay_vlan</f>
        <v>1320</v>
      </c>
      <c r="D116" s="337" t="str">
        <f>wld_az1_rtep_overlay_vlan</f>
        <v>Value Missing</v>
      </c>
      <c r="E116" s="337"/>
    </row>
    <row r="117" spans="2:5" s="8" customFormat="1" ht="20.05" customHeight="1" x14ac:dyDescent="0.35">
      <c r="B117" s="4" t="s">
        <v>187</v>
      </c>
      <c r="C117" s="362" t="str">
        <f>sample_wld_az1_rtep_overlay_gateway_ip</f>
        <v>10.13.20.1</v>
      </c>
      <c r="D117" s="337" t="str">
        <f>wld_az1_rtep_overlay_gateway_ip</f>
        <v>Value Missing</v>
      </c>
      <c r="E117" s="337"/>
    </row>
    <row r="118" spans="2:5" s="8" customFormat="1" ht="20.05" customHeight="1" x14ac:dyDescent="0.35">
      <c r="B118" s="4" t="s">
        <v>188</v>
      </c>
      <c r="C118" s="362" t="str">
        <f>sample_wld_az1_rtep_overlay_cidr</f>
        <v>10.13.20.0/24</v>
      </c>
      <c r="D118" s="337" t="str">
        <f>wld_az1_rtep_overlay_cidr</f>
        <v>Value Missing</v>
      </c>
      <c r="E118" s="337"/>
    </row>
    <row r="119" spans="2:5" s="8" customFormat="1" ht="20.05" customHeight="1" x14ac:dyDescent="0.35">
      <c r="B119" s="496" t="s">
        <v>3276</v>
      </c>
      <c r="C119" s="497"/>
      <c r="D119" s="497"/>
      <c r="E119" s="498"/>
    </row>
    <row r="120" spans="2:5" s="8" customFormat="1" ht="20.05" customHeight="1" x14ac:dyDescent="0.35">
      <c r="B120" s="4" t="str">
        <f>wld_nsxt_global_mgra_fqdn</f>
        <v>Value Missing</v>
      </c>
      <c r="C120" s="362" t="str">
        <f>sample_wld_nsxt_gm_vip_ip</f>
        <v>10.11.10.141</v>
      </c>
      <c r="D120" s="337" t="str">
        <f>wld_nsxt_gm_vip_ip</f>
        <v>Value Missing</v>
      </c>
      <c r="E120" s="337"/>
    </row>
    <row r="121" spans="2:5" s="8" customFormat="1" ht="20.05" customHeight="1" x14ac:dyDescent="0.35">
      <c r="B121" s="4" t="str">
        <f>wld_nsxt_global_mgra_fqdn</f>
        <v>Value Missing</v>
      </c>
      <c r="C121" s="362" t="str">
        <f>sample_wld_nsxt_global_mgra_ip</f>
        <v>10.11.10.142</v>
      </c>
      <c r="D121" s="337" t="str">
        <f>wld_nsxt_global_mgra_ip</f>
        <v>Value Missing</v>
      </c>
      <c r="E121" s="337"/>
    </row>
    <row r="122" spans="2:5" s="8" customFormat="1" ht="20.05" customHeight="1" x14ac:dyDescent="0.35">
      <c r="B122" s="4" t="str">
        <f>wld_nsxt_global_mgrb_fqdn</f>
        <v>Value Missing</v>
      </c>
      <c r="C122" s="362" t="str">
        <f>sample_wld_nsxt_global_mgrb_ip</f>
        <v>10.11.10.143</v>
      </c>
      <c r="D122" s="337" t="str">
        <f>wld_nsxt_global_mgrb_ip</f>
        <v>Value Missing</v>
      </c>
      <c r="E122" s="337"/>
    </row>
    <row r="123" spans="2:5" s="8" customFormat="1" ht="20.05" customHeight="1" x14ac:dyDescent="0.35">
      <c r="B123" s="4" t="str">
        <f>wld_nsxt_global_mgrc_fqdn</f>
        <v>Value Missing</v>
      </c>
      <c r="C123" s="362" t="str">
        <f>sample_wld_nsxt_global_mgrc_ip</f>
        <v>10.11.10.144</v>
      </c>
      <c r="D123" s="337" t="str">
        <f>wld_nsxt_global_mgrc_ip</f>
        <v>Value Missing</v>
      </c>
      <c r="E123" s="337"/>
    </row>
    <row r="124" spans="2:5" s="8" customFormat="1" ht="20.05" customHeight="1" x14ac:dyDescent="0.35">
      <c r="B124" s="30" t="str">
        <f>wld_az1_en1_hostname</f>
        <v>Value Missing</v>
      </c>
      <c r="C124" s="80" t="str">
        <f>sample_wld_az1_en1_mgmt_cidr</f>
        <v>10.13.10.135/24</v>
      </c>
      <c r="D124" s="337" t="str">
        <f>wld_az1_en1_mgmt_cidr</f>
        <v>Value Missing</v>
      </c>
      <c r="E124" s="337"/>
    </row>
    <row r="125" spans="2:5" s="8" customFormat="1" ht="20.05" customHeight="1" x14ac:dyDescent="0.35">
      <c r="B125" s="99" t="s">
        <v>2729</v>
      </c>
      <c r="C125" s="80" t="str">
        <f>sample_wld_az1_en1_uplink01_interface_cidr</f>
        <v>10.13.17.2/24</v>
      </c>
      <c r="D125" s="337" t="str">
        <f>wld_az1_en1_uplink01_interface_cidr</f>
        <v>Value Missing</v>
      </c>
      <c r="E125" s="337" t="s">
        <v>156</v>
      </c>
    </row>
    <row r="126" spans="2:5" s="8" customFormat="1" ht="20.05" customHeight="1" x14ac:dyDescent="0.35">
      <c r="B126" s="99" t="s">
        <v>2729</v>
      </c>
      <c r="C126" s="80" t="str">
        <f>sample_wld_az1_en1_uplink02_interface_cidr</f>
        <v>10.13.18.2/24</v>
      </c>
      <c r="D126" s="337" t="str">
        <f>wld_az1_en1_uplink02_interface_cidr</f>
        <v>Value Missing</v>
      </c>
      <c r="E126" s="337" t="s">
        <v>1057</v>
      </c>
    </row>
    <row r="127" spans="2:5" s="8" customFormat="1" ht="20.05" customHeight="1" x14ac:dyDescent="0.35">
      <c r="B127" s="179" t="s">
        <v>2729</v>
      </c>
      <c r="C127" s="80" t="str">
        <f>sample_wld_az1_en1_edge_overlay_interface_ip_1_ip</f>
        <v>10.13.19.2</v>
      </c>
      <c r="D127" s="337" t="str">
        <f>wld_az1_en1_edge_overlay_interface_ip_1_ip</f>
        <v>Value Missing</v>
      </c>
      <c r="E127" s="337" t="s">
        <v>1046</v>
      </c>
    </row>
    <row r="128" spans="2:5" s="8" customFormat="1" ht="20.05" customHeight="1" x14ac:dyDescent="0.35">
      <c r="B128" s="180" t="s">
        <v>2729</v>
      </c>
      <c r="C128" s="80" t="str">
        <f>sample_wld_az1_en1_edge_overlay_interface_ip_2_ip</f>
        <v>10.13.19.3</v>
      </c>
      <c r="D128" s="337" t="str">
        <f>wld_az1_en1_edge_overlay_interface_ip_2_ip</f>
        <v>Value Missing</v>
      </c>
      <c r="E128" s="337" t="s">
        <v>3277</v>
      </c>
    </row>
    <row r="129" spans="2:5" s="8" customFormat="1" ht="20.05" customHeight="1" x14ac:dyDescent="0.35">
      <c r="B129" s="30" t="str">
        <f>wld_az1_en2_hostname</f>
        <v>Value Missing</v>
      </c>
      <c r="C129" s="80" t="str">
        <f>sample_wld_az1_en2_mgmt_cidr</f>
        <v>10.13.10.136/24</v>
      </c>
      <c r="D129" s="337" t="str">
        <f>wld_az1_en2_mgmt_cidr</f>
        <v>Value Missing</v>
      </c>
      <c r="E129" s="337"/>
    </row>
    <row r="130" spans="2:5" s="8" customFormat="1" ht="20.05" customHeight="1" x14ac:dyDescent="0.35">
      <c r="B130" s="99" t="s">
        <v>2729</v>
      </c>
      <c r="C130" s="80" t="str">
        <f>sample_wld_az1_en2_uplink01_interface_cidr</f>
        <v>10.13.17.3/24</v>
      </c>
      <c r="D130" s="337" t="str">
        <f>wld_az1_en2_uplink01_interface_cidr</f>
        <v>Value Missing</v>
      </c>
      <c r="E130" s="337" t="s">
        <v>167</v>
      </c>
    </row>
    <row r="131" spans="2:5" s="8" customFormat="1" ht="20.05" customHeight="1" x14ac:dyDescent="0.35">
      <c r="B131" s="99" t="s">
        <v>2729</v>
      </c>
      <c r="C131" s="80" t="str">
        <f>sample_wld_az1_en2_uplink02_interface_cidr</f>
        <v>10.13.18.3/24</v>
      </c>
      <c r="D131" s="337" t="str">
        <f>wld_az1_en2_uplink02_interface_cidr</f>
        <v>Value Missing</v>
      </c>
      <c r="E131" s="337" t="s">
        <v>165</v>
      </c>
    </row>
    <row r="132" spans="2:5" s="8" customFormat="1" ht="20.05" customHeight="1" x14ac:dyDescent="0.35">
      <c r="B132" s="179" t="s">
        <v>2729</v>
      </c>
      <c r="C132" s="80" t="str">
        <f>sample_wld_az1_en2_edge_overlay_interface_ip_1_ip</f>
        <v>10.13.19.4</v>
      </c>
      <c r="D132" s="337" t="str">
        <f>wld_az1_en2_edge_overlay_interface_ip_1_ip</f>
        <v>Value Missing</v>
      </c>
      <c r="E132" s="337" t="s">
        <v>1052</v>
      </c>
    </row>
    <row r="133" spans="2:5" s="8" customFormat="1" ht="20.05" customHeight="1" x14ac:dyDescent="0.35">
      <c r="B133" s="180" t="s">
        <v>2729</v>
      </c>
      <c r="C133" s="80" t="str">
        <f>sample_wld_az1_en2_edge_overlay_interface_ip_2_ip</f>
        <v>10.13.19.5</v>
      </c>
      <c r="D133" s="337" t="str">
        <f>wld_az1_en2_edge_overlay_interface_ip_2_ip</f>
        <v>Value Missing</v>
      </c>
      <c r="E133" s="337" t="s">
        <v>1054</v>
      </c>
    </row>
    <row r="134" spans="2:5" s="8" customFormat="1" ht="15" x14ac:dyDescent="0.35"/>
  </sheetData>
  <sheetProtection algorithmName="SHA-512" hashValue="wMD+ohXfwNic6hEwU7M+jcDvLnXevg1dUYhbKkNCgHUOR5rhYXzkRMIkNL2X1qsBgP+7gC5XBfGTvmTcDIH40A==" saltValue="6j/vw7K6PWc/iO7jUcGWMQ==" spinCount="100000" sheet="1" objects="1" scenarios="1"/>
  <mergeCells count="25">
    <mergeCell ref="B2:E2"/>
    <mergeCell ref="B3:E3"/>
    <mergeCell ref="B6:E6"/>
    <mergeCell ref="B99:E99"/>
    <mergeCell ref="B108:E108"/>
    <mergeCell ref="B24:E24"/>
    <mergeCell ref="B28:E28"/>
    <mergeCell ref="B7:E7"/>
    <mergeCell ref="B9:E9"/>
    <mergeCell ref="B14:E14"/>
    <mergeCell ref="B19:E19"/>
    <mergeCell ref="B36:E36"/>
    <mergeCell ref="B119:E119"/>
    <mergeCell ref="B48:E48"/>
    <mergeCell ref="B50:E50"/>
    <mergeCell ref="B55:E55"/>
    <mergeCell ref="B61:E61"/>
    <mergeCell ref="B63:E63"/>
    <mergeCell ref="B110:E110"/>
    <mergeCell ref="B96:E96"/>
    <mergeCell ref="B115:E115"/>
    <mergeCell ref="B89:E89"/>
    <mergeCell ref="B68:E68"/>
    <mergeCell ref="B75:E75"/>
    <mergeCell ref="B82:E82"/>
  </mergeCells>
  <conditionalFormatting sqref="B97:B98">
    <cfRule type="containsBlanks" dxfId="209" priority="70">
      <formula>LEN(TRIM(B97))=0</formula>
    </cfRule>
    <cfRule type="expression" dxfId="208" priority="69" stopIfTrue="1">
      <formula>wld_stretched_cluster_result="Excluded"</formula>
    </cfRule>
    <cfRule type="notContainsBlanks" dxfId="207" priority="72" stopIfTrue="1">
      <formula>LEN(TRIM(B97))&gt;0</formula>
    </cfRule>
  </conditionalFormatting>
  <conditionalFormatting sqref="D10:D13 D15:D18 D20:D23 D29:D35 D37:D46">
    <cfRule type="expression" dxfId="205" priority="116">
      <formula>OR((wld_domain_result="Excluded"),(wld_bgp_result="Excluded"))</formula>
    </cfRule>
  </conditionalFormatting>
  <conditionalFormatting sqref="D10:D13">
    <cfRule type="containsBlanks" dxfId="203" priority="123">
      <formula>LEN(TRIM(D10))=0</formula>
    </cfRule>
    <cfRule type="notContainsBlanks" dxfId="202" priority="139">
      <formula>LEN(TRIM(D10))&gt;0</formula>
    </cfRule>
  </conditionalFormatting>
  <conditionalFormatting sqref="D15:D18">
    <cfRule type="containsBlanks" dxfId="200" priority="127">
      <formula>LEN(TRIM(D15))=0</formula>
    </cfRule>
    <cfRule type="notContainsBlanks" dxfId="199" priority="140">
      <formula>LEN(TRIM(D15))&gt;0</formula>
    </cfRule>
  </conditionalFormatting>
  <conditionalFormatting sqref="D20:D23">
    <cfRule type="containsBlanks" dxfId="197" priority="125">
      <formula>LEN(TRIM(D20))=0</formula>
    </cfRule>
  </conditionalFormatting>
  <conditionalFormatting sqref="D20:D27">
    <cfRule type="notContainsBlanks" dxfId="196" priority="137">
      <formula>LEN(TRIM(D20))&gt;0</formula>
    </cfRule>
  </conditionalFormatting>
  <conditionalFormatting sqref="D24 D8:D9">
    <cfRule type="expression" dxfId="195" priority="135">
      <formula>mgmt_domain_existing_vcenter_chosen="Selected"</formula>
    </cfRule>
  </conditionalFormatting>
  <conditionalFormatting sqref="D24">
    <cfRule type="expression" dxfId="194" priority="134">
      <formula>input_mgmt_principal_storage_chosen="VMFS on Fibre Channel (FC)"</formula>
    </cfRule>
    <cfRule type="containsBlanks" dxfId="192" priority="138">
      <formula>LEN(TRIM(D24))=0</formula>
    </cfRule>
  </conditionalFormatting>
  <conditionalFormatting sqref="D25:D27">
    <cfRule type="expression" dxfId="191" priority="2">
      <formula>OR((wld_domain_result="Excluded"),(wld_bgp_result="Excluded"))</formula>
    </cfRule>
    <cfRule type="containsBlanks" dxfId="190" priority="3">
      <formula>LEN(TRIM(D25))=0</formula>
    </cfRule>
  </conditionalFormatting>
  <conditionalFormatting sqref="D29:D35">
    <cfRule type="notContainsBlanks" dxfId="188" priority="141">
      <formula>LEN(TRIM(D29))&gt;0</formula>
    </cfRule>
    <cfRule type="containsBlanks" dxfId="187" priority="132">
      <formula>LEN(TRIM(D29))=0</formula>
    </cfRule>
  </conditionalFormatting>
  <conditionalFormatting sqref="D37:D46">
    <cfRule type="containsBlanks" dxfId="185" priority="129">
      <formula>LEN(TRIM(D37))=0</formula>
    </cfRule>
    <cfRule type="notContainsBlanks" dxfId="184" priority="131">
      <formula>LEN(TRIM(D37))&gt;0</formula>
    </cfRule>
  </conditionalFormatting>
  <conditionalFormatting sqref="D49:D50">
    <cfRule type="expression" dxfId="182" priority="105">
      <formula>mgmt_domain_existing_vcenter_chosen="Selected"</formula>
    </cfRule>
  </conditionalFormatting>
  <conditionalFormatting sqref="D51:D54 D56:D59">
    <cfRule type="expression" dxfId="181" priority="101">
      <formula>wld_avi_loadbalancer_result="Excluded"</formula>
    </cfRule>
  </conditionalFormatting>
  <conditionalFormatting sqref="D51:D54">
    <cfRule type="notContainsBlanks" dxfId="180" priority="104">
      <formula>LEN(TRIM(D51))&gt;0</formula>
    </cfRule>
    <cfRule type="containsBlanks" dxfId="178" priority="102">
      <formula>LEN(TRIM(D51))=0</formula>
    </cfRule>
  </conditionalFormatting>
  <conditionalFormatting sqref="D56:D59">
    <cfRule type="containsBlanks" dxfId="177" priority="106">
      <formula>LEN(TRIM(D56))=0</formula>
    </cfRule>
    <cfRule type="notContainsBlanks" dxfId="176" priority="108">
      <formula>LEN(TRIM(D56))&gt;0</formula>
    </cfRule>
  </conditionalFormatting>
  <conditionalFormatting sqref="D62:D63">
    <cfRule type="expression" dxfId="174" priority="100">
      <formula>mgmt_domain_existing_vcenter_chosen="Selected"</formula>
    </cfRule>
  </conditionalFormatting>
  <conditionalFormatting sqref="D64:D67">
    <cfRule type="containsBlanks" dxfId="173" priority="16">
      <formula>LEN(TRIM(D64))=0</formula>
    </cfRule>
    <cfRule type="expression" dxfId="172" priority="15" stopIfTrue="1">
      <formula>wld_stretched_cluster_result="Excluded"</formula>
    </cfRule>
    <cfRule type="expression" dxfId="171" priority="14">
      <formula>mgmt_domain_deployment_type_chosen="VMware vSphere Foundation"</formula>
    </cfRule>
    <cfRule type="notContainsBlanks" dxfId="170" priority="18" stopIfTrue="1">
      <formula>LEN(TRIM(D64))&gt;0</formula>
    </cfRule>
  </conditionalFormatting>
  <conditionalFormatting sqref="D69:D74">
    <cfRule type="notContainsBlanks" dxfId="168" priority="13" stopIfTrue="1">
      <formula>LEN(TRIM(D69))&gt;0</formula>
    </cfRule>
    <cfRule type="containsBlanks" dxfId="166" priority="11">
      <formula>LEN(TRIM(D69))=0</formula>
    </cfRule>
    <cfRule type="expression" dxfId="165" priority="9">
      <formula>mgmt_domain_deployment_type_chosen="VMware vSphere Foundation"</formula>
    </cfRule>
    <cfRule type="expression" dxfId="164" priority="10" stopIfTrue="1">
      <formula>wld_stretched_cluster_result="Excluded"</formula>
    </cfRule>
  </conditionalFormatting>
  <conditionalFormatting sqref="D76:D81">
    <cfRule type="notContainsBlanks" dxfId="163" priority="53" stopIfTrue="1">
      <formula>LEN(TRIM(D76))&gt;0</formula>
    </cfRule>
    <cfRule type="expression" dxfId="162" priority="50" stopIfTrue="1">
      <formula>wld_stretched_cluster_result="Excluded"</formula>
    </cfRule>
    <cfRule type="containsBlanks" dxfId="161" priority="51">
      <formula>LEN(TRIM(D76))=0</formula>
    </cfRule>
  </conditionalFormatting>
  <conditionalFormatting sqref="D83:D88">
    <cfRule type="notContainsBlanks" dxfId="159" priority="8" stopIfTrue="1">
      <formula>LEN(TRIM(D83))&gt;0</formula>
    </cfRule>
    <cfRule type="containsBlanks" dxfId="157" priority="6">
      <formula>LEN(TRIM(D83))=0</formula>
    </cfRule>
    <cfRule type="expression" dxfId="156" priority="5" stopIfTrue="1">
      <formula>wld_stretched_cluster_result="Excluded"</formula>
    </cfRule>
    <cfRule type="expression" dxfId="155" priority="1">
      <formula>wld_secondary_storage_result="Excluded"</formula>
    </cfRule>
  </conditionalFormatting>
  <conditionalFormatting sqref="D89">
    <cfRule type="expression" dxfId="154" priority="66">
      <formula>mgmt_domain_existing_vcenter_chosen="Selected"</formula>
    </cfRule>
  </conditionalFormatting>
  <conditionalFormatting sqref="D90:D93 D97:D98">
    <cfRule type="expression" dxfId="153" priority="96" stopIfTrue="1">
      <formula>wld_stretched_cluster_result="Excluded"</formula>
    </cfRule>
    <cfRule type="containsBlanks" dxfId="152" priority="97">
      <formula>LEN(TRIM(D90))=0</formula>
    </cfRule>
    <cfRule type="notContainsBlanks" dxfId="150" priority="99" stopIfTrue="1">
      <formula>LEN(TRIM(D90))&gt;0</formula>
    </cfRule>
  </conditionalFormatting>
  <conditionalFormatting sqref="D90:D93">
    <cfRule type="expression" dxfId="149" priority="58">
      <formula>mgmt_domain_deployment_type_chosen="VMware vSphere Foundation"</formula>
    </cfRule>
  </conditionalFormatting>
  <conditionalFormatting sqref="D94:D95">
    <cfRule type="notContainsBlanks" dxfId="148" priority="49" stopIfTrue="1">
      <formula>LEN(TRIM(D94))&gt;0</formula>
    </cfRule>
    <cfRule type="containsBlanks" dxfId="146" priority="47">
      <formula>LEN(TRIM(D94))=0</formula>
    </cfRule>
    <cfRule type="expression" dxfId="145" priority="46" stopIfTrue="1">
      <formula>wld_stretched_cluster_result="Excluded"</formula>
    </cfRule>
  </conditionalFormatting>
  <conditionalFormatting sqref="D100:D106">
    <cfRule type="notContainsBlanks" dxfId="144" priority="22" stopIfTrue="1">
      <formula>LEN(TRIM(D100))&gt;0</formula>
    </cfRule>
    <cfRule type="containsBlanks" dxfId="142" priority="20">
      <formula>LEN(TRIM(D100))=0</formula>
    </cfRule>
    <cfRule type="expression" dxfId="141" priority="19" stopIfTrue="1">
      <formula>wld_stretched_cluster_result="Excluded"</formula>
    </cfRule>
  </conditionalFormatting>
  <conditionalFormatting sqref="D109:D110">
    <cfRule type="expression" dxfId="140" priority="92">
      <formula>mgmt_domain_existing_vcenter_chosen="Selected"</formula>
    </cfRule>
  </conditionalFormatting>
  <conditionalFormatting sqref="D111:D114 D116:D118 D120:D133">
    <cfRule type="notContainsBlanks" dxfId="138" priority="94">
      <formula>LEN(TRIM(D111))&gt;0</formula>
    </cfRule>
    <cfRule type="expression" dxfId="137" priority="68">
      <formula>wld_nsxt_federation_result="Excluded"</formula>
    </cfRule>
  </conditionalFormatting>
  <conditionalFormatting sqref="D115">
    <cfRule type="expression" dxfId="136" priority="95">
      <formula>mgmt_domain_existing_vcenter_chosen="Selected"</formula>
    </cfRule>
  </conditionalFormatting>
  <conditionalFormatting sqref="D120:D133 D111:D114 D116:D118">
    <cfRule type="containsBlanks" dxfId="135" priority="91">
      <formula>LEN(TRIM(D111))=0</formula>
    </cfRule>
  </conditionalFormatting>
  <conditionalFormatting sqref="D124:D133">
    <cfRule type="expression" dxfId="134" priority="90">
      <formula>OR((wld_domain_result="Excluded"),(wld_vns_result="Excluded"))</formula>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71" stopIfTrue="1" operator="containsText" id="{FE5607DF-0EB2-6744-B779-8E1B8E69A7EF}">
            <xm:f>NOT(ISERROR(SEARCH("Value Missing",B97)))</xm:f>
            <xm:f>"Value Missing"</xm:f>
            <x14:dxf>
              <font>
                <color theme="1"/>
              </font>
              <fill>
                <patternFill>
                  <bgColor rgb="FFFFBE29"/>
                </patternFill>
              </fill>
            </x14:dxf>
          </x14:cfRule>
          <xm:sqref>B97:B98</xm:sqref>
        </x14:conditionalFormatting>
        <x14:conditionalFormatting xmlns:xm="http://schemas.microsoft.com/office/excel/2006/main">
          <x14:cfRule type="containsText" priority="124" operator="containsText" id="{E5EDB088-127A-FA48-A29E-E371BE0C58AE}">
            <xm:f>NOT(ISERROR(SEARCH("Value Missing",D10)))</xm:f>
            <xm:f>"Value Missing"</xm:f>
            <x14:dxf>
              <font>
                <color theme="1"/>
              </font>
              <fill>
                <patternFill>
                  <bgColor rgb="FFFFBE29"/>
                </patternFill>
              </fill>
            </x14:dxf>
          </x14:cfRule>
          <xm:sqref>D10:D13</xm:sqref>
        </x14:conditionalFormatting>
        <x14:conditionalFormatting xmlns:xm="http://schemas.microsoft.com/office/excel/2006/main">
          <x14:cfRule type="containsText" priority="128" operator="containsText" id="{41778B76-5EC9-5D46-8535-39F269506A9B}">
            <xm:f>NOT(ISERROR(SEARCH("Value Missing",D15)))</xm:f>
            <xm:f>"Value Missing"</xm:f>
            <x14:dxf>
              <font>
                <color theme="1"/>
              </font>
              <fill>
                <patternFill>
                  <bgColor rgb="FFFFBE29"/>
                </patternFill>
              </fill>
            </x14:dxf>
          </x14:cfRule>
          <xm:sqref>D15:D18</xm:sqref>
        </x14:conditionalFormatting>
        <x14:conditionalFormatting xmlns:xm="http://schemas.microsoft.com/office/excel/2006/main">
          <x14:cfRule type="containsText" priority="126" operator="containsText" id="{7EA8EC3C-8EE8-5642-8C97-E653304C54C5}">
            <xm:f>NOT(ISERROR(SEARCH("Value Missing",D20)))</xm:f>
            <xm:f>"Value Missing"</xm:f>
            <x14:dxf>
              <font>
                <color theme="1"/>
              </font>
              <fill>
                <patternFill>
                  <bgColor rgb="FFFFBE29"/>
                </patternFill>
              </fill>
            </x14:dxf>
          </x14:cfRule>
          <xm:sqref>D20:D23</xm:sqref>
        </x14:conditionalFormatting>
        <x14:conditionalFormatting xmlns:xm="http://schemas.microsoft.com/office/excel/2006/main">
          <x14:cfRule type="containsText" priority="136" stopIfTrue="1" operator="containsText" id="{DB0F4BB3-D523-4447-878D-DF8B4A81E554}">
            <xm:f>NOT(ISERROR(SEARCH("Value Missing",D24)))</xm:f>
            <xm:f>"Value Missing"</xm:f>
            <x14:dxf>
              <font>
                <color rgb="FF0E223A"/>
              </font>
              <fill>
                <patternFill>
                  <bgColor rgb="FFFFBE29"/>
                </patternFill>
              </fill>
            </x14:dxf>
          </x14:cfRule>
          <xm:sqref>D24</xm:sqref>
        </x14:conditionalFormatting>
        <x14:conditionalFormatting xmlns:xm="http://schemas.microsoft.com/office/excel/2006/main">
          <x14:cfRule type="containsText" priority="4" operator="containsText" id="{F2A4D477-D319-6342-B8D1-8D1E6F60A54B}">
            <xm:f>NOT(ISERROR(SEARCH("Value Missing",D25)))</xm:f>
            <xm:f>"Value Missing"</xm:f>
            <x14:dxf>
              <font>
                <color theme="1"/>
              </font>
              <fill>
                <patternFill>
                  <bgColor rgb="FFFFBE29"/>
                </patternFill>
              </fill>
            </x14:dxf>
          </x14:cfRule>
          <xm:sqref>D25:D27</xm:sqref>
        </x14:conditionalFormatting>
        <x14:conditionalFormatting xmlns:xm="http://schemas.microsoft.com/office/excel/2006/main">
          <x14:cfRule type="containsText" priority="133" operator="containsText" id="{56C4391B-0BF1-0444-B6AB-C42DA8B5D5EA}">
            <xm:f>NOT(ISERROR(SEARCH("Value Missing",D29)))</xm:f>
            <xm:f>"Value Missing"</xm:f>
            <x14:dxf>
              <font>
                <color theme="1"/>
              </font>
              <fill>
                <patternFill>
                  <bgColor rgb="FFFFBE29"/>
                </patternFill>
              </fill>
            </x14:dxf>
          </x14:cfRule>
          <xm:sqref>D29:D35</xm:sqref>
        </x14:conditionalFormatting>
        <x14:conditionalFormatting xmlns:xm="http://schemas.microsoft.com/office/excel/2006/main">
          <x14:cfRule type="containsText" priority="130" operator="containsText" id="{44A45759-F4F9-D145-946E-23FF84BC6853}">
            <xm:f>NOT(ISERROR(SEARCH("Value Missing",D37)))</xm:f>
            <xm:f>"Value Missing"</xm:f>
            <x14:dxf>
              <font>
                <color theme="1"/>
              </font>
              <fill>
                <patternFill>
                  <bgColor rgb="FFFFBE29"/>
                </patternFill>
              </fill>
            </x14:dxf>
          </x14:cfRule>
          <xm:sqref>D37:D46</xm:sqref>
        </x14:conditionalFormatting>
        <x14:conditionalFormatting xmlns:xm="http://schemas.microsoft.com/office/excel/2006/main">
          <x14:cfRule type="containsText" priority="103" operator="containsText" id="{380DB61A-EC44-884C-90AD-43892422DB29}">
            <xm:f>NOT(ISERROR(SEARCH("Value Missing",D51)))</xm:f>
            <xm:f>"Value Missing"</xm:f>
            <x14:dxf>
              <font>
                <color theme="1"/>
              </font>
              <fill>
                <patternFill>
                  <bgColor rgb="FFFFBE29"/>
                </patternFill>
              </fill>
            </x14:dxf>
          </x14:cfRule>
          <xm:sqref>D51:D54</xm:sqref>
        </x14:conditionalFormatting>
        <x14:conditionalFormatting xmlns:xm="http://schemas.microsoft.com/office/excel/2006/main">
          <x14:cfRule type="containsText" priority="107" operator="containsText" id="{BC64B5A3-7E55-D04C-9EE5-A7FD1E8BE104}">
            <xm:f>NOT(ISERROR(SEARCH("Value Missing",D56)))</xm:f>
            <xm:f>"Value Missing"</xm:f>
            <x14:dxf>
              <font>
                <color theme="1"/>
              </font>
              <fill>
                <patternFill>
                  <bgColor rgb="FFFFBE29"/>
                </patternFill>
              </fill>
            </x14:dxf>
          </x14:cfRule>
          <xm:sqref>D56:D59</xm:sqref>
        </x14:conditionalFormatting>
        <x14:conditionalFormatting xmlns:xm="http://schemas.microsoft.com/office/excel/2006/main">
          <x14:cfRule type="containsText" priority="17" stopIfTrue="1" operator="containsText" id="{66CDB210-9332-BD43-985C-D86C318F2B67}">
            <xm:f>NOT(ISERROR(SEARCH("Value Missing",D64)))</xm:f>
            <xm:f>"Value Missing"</xm:f>
            <x14:dxf>
              <font>
                <color theme="1"/>
              </font>
              <fill>
                <patternFill>
                  <bgColor rgb="FFFFBE29"/>
                </patternFill>
              </fill>
            </x14:dxf>
          </x14:cfRule>
          <xm:sqref>D64:D67</xm:sqref>
        </x14:conditionalFormatting>
        <x14:conditionalFormatting xmlns:xm="http://schemas.microsoft.com/office/excel/2006/main">
          <x14:cfRule type="containsText" priority="12" stopIfTrue="1" operator="containsText" id="{EDF13E9E-1BCE-8B45-B5AE-73484880B674}">
            <xm:f>NOT(ISERROR(SEARCH("Value Missing",D69)))</xm:f>
            <xm:f>"Value Missing"</xm:f>
            <x14:dxf>
              <font>
                <color theme="1"/>
              </font>
              <fill>
                <patternFill>
                  <bgColor rgb="FFFFBE29"/>
                </patternFill>
              </fill>
            </x14:dxf>
          </x14:cfRule>
          <xm:sqref>D69:D74</xm:sqref>
        </x14:conditionalFormatting>
        <x14:conditionalFormatting xmlns:xm="http://schemas.microsoft.com/office/excel/2006/main">
          <x14:cfRule type="containsText" priority="52" stopIfTrue="1" operator="containsText" id="{10C308F2-C4FC-CF44-B780-61D23B397331}">
            <xm:f>NOT(ISERROR(SEARCH("Value Missing",D76)))</xm:f>
            <xm:f>"Value Missing"</xm:f>
            <x14:dxf>
              <font>
                <color theme="1"/>
              </font>
              <fill>
                <patternFill>
                  <bgColor rgb="FFFFBE29"/>
                </patternFill>
              </fill>
            </x14:dxf>
          </x14:cfRule>
          <xm:sqref>D76:D81</xm:sqref>
        </x14:conditionalFormatting>
        <x14:conditionalFormatting xmlns:xm="http://schemas.microsoft.com/office/excel/2006/main">
          <x14:cfRule type="containsText" priority="7" stopIfTrue="1" operator="containsText" id="{9AB7BA9A-510F-1949-ABEF-62389D7135D1}">
            <xm:f>NOT(ISERROR(SEARCH("Value Missing",D83)))</xm:f>
            <xm:f>"Value Missing"</xm:f>
            <x14:dxf>
              <font>
                <color theme="1"/>
              </font>
              <fill>
                <patternFill>
                  <bgColor rgb="FFFFBE29"/>
                </patternFill>
              </fill>
            </x14:dxf>
          </x14:cfRule>
          <xm:sqref>D83:D88</xm:sqref>
        </x14:conditionalFormatting>
        <x14:conditionalFormatting xmlns:xm="http://schemas.microsoft.com/office/excel/2006/main">
          <x14:cfRule type="containsText" priority="98" stopIfTrue="1" operator="containsText" id="{D6D77E41-DD4C-274C-9606-212298DFF473}">
            <xm:f>NOT(ISERROR(SEARCH("Value Missing",D90)))</xm:f>
            <xm:f>"Value Missing"</xm:f>
            <x14:dxf>
              <font>
                <color theme="1"/>
              </font>
              <fill>
                <patternFill>
                  <bgColor rgb="FFFFBE29"/>
                </patternFill>
              </fill>
            </x14:dxf>
          </x14:cfRule>
          <xm:sqref>D90:D93 D97:D98</xm:sqref>
        </x14:conditionalFormatting>
        <x14:conditionalFormatting xmlns:xm="http://schemas.microsoft.com/office/excel/2006/main">
          <x14:cfRule type="containsText" priority="48" stopIfTrue="1" operator="containsText" id="{ABEE340E-16B7-DE4B-B09E-B60F6355486F}">
            <xm:f>NOT(ISERROR(SEARCH("Value Missing",D94)))</xm:f>
            <xm:f>"Value Missing"</xm:f>
            <x14:dxf>
              <font>
                <color theme="1"/>
              </font>
              <fill>
                <patternFill>
                  <bgColor rgb="FFFFBE29"/>
                </patternFill>
              </fill>
            </x14:dxf>
          </x14:cfRule>
          <xm:sqref>D94:D95</xm:sqref>
        </x14:conditionalFormatting>
        <x14:conditionalFormatting xmlns:xm="http://schemas.microsoft.com/office/excel/2006/main">
          <x14:cfRule type="containsText" priority="21" stopIfTrue="1" operator="containsText" id="{BB9E7CB7-0730-4C49-9A77-0A67090896A5}">
            <xm:f>NOT(ISERROR(SEARCH("Value Missing",D100)))</xm:f>
            <xm:f>"Value Missing"</xm:f>
            <x14:dxf>
              <font>
                <color theme="1"/>
              </font>
              <fill>
                <patternFill>
                  <bgColor rgb="FFFFBE29"/>
                </patternFill>
              </fill>
            </x14:dxf>
          </x14:cfRule>
          <xm:sqref>D100:D106</xm:sqref>
        </x14:conditionalFormatting>
        <x14:conditionalFormatting xmlns:xm="http://schemas.microsoft.com/office/excel/2006/main">
          <x14:cfRule type="containsText" priority="93" operator="containsText" id="{2D87D5BA-6A9D-DB43-83CB-A355E471219A}">
            <xm:f>NOT(ISERROR(SEARCH("Value Missing",D111)))</xm:f>
            <xm:f>"Value Missing"</xm:f>
            <x14:dxf>
              <font>
                <color theme="1"/>
              </font>
              <fill>
                <patternFill>
                  <bgColor rgb="FFFFBE29"/>
                </patternFill>
              </fill>
            </x14:dxf>
          </x14:cfRule>
          <xm:sqref>D111:D114 D116:D118 D120:D133</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1532-02EC-E34E-B89A-5F794A3A7C51}">
  <sheetPr codeName="Sheet10">
    <tabColor theme="2" tint="-9.9978637043366805E-2"/>
  </sheetPr>
  <dimension ref="B1:I230"/>
  <sheetViews>
    <sheetView showGridLines="0" workbookViewId="0">
      <pane ySplit="4" topLeftCell="A5" activePane="bottomLeft" state="frozen"/>
      <selection pane="bottomLeft" activeCell="E16" sqref="E16"/>
    </sheetView>
  </sheetViews>
  <sheetFormatPr defaultColWidth="10.85546875" defaultRowHeight="15" x14ac:dyDescent="0.35"/>
  <cols>
    <col min="1" max="1" width="2.85546875" style="8" customWidth="1"/>
    <col min="2" max="2" width="42" style="8" customWidth="1"/>
    <col min="3" max="3" width="35.85546875" style="8" customWidth="1"/>
    <col min="4" max="8" width="20.85546875" style="8" customWidth="1"/>
    <col min="9" max="9" width="2.85546875" style="8" customWidth="1"/>
    <col min="10" max="11" width="35.85546875" style="8" customWidth="1"/>
    <col min="12" max="16" width="20.85546875" style="8" customWidth="1"/>
    <col min="17" max="24" width="10.85546875" style="8" customWidth="1"/>
    <col min="25" max="16384" width="10.85546875" style="8"/>
  </cols>
  <sheetData>
    <row r="1" spans="2:8" ht="15" customHeight="1" x14ac:dyDescent="0.35">
      <c r="B1" s="120"/>
      <c r="C1" s="120"/>
      <c r="D1" s="120"/>
      <c r="E1" s="120"/>
      <c r="F1" s="120"/>
      <c r="G1" s="120"/>
    </row>
    <row r="2" spans="2:8" ht="54" customHeight="1" x14ac:dyDescent="0.35">
      <c r="B2" s="260" t="s">
        <v>3292</v>
      </c>
      <c r="C2" s="260"/>
      <c r="D2" s="260"/>
      <c r="E2" s="260"/>
      <c r="F2" s="260"/>
      <c r="G2" s="260"/>
      <c r="H2" s="260"/>
    </row>
    <row r="3" spans="2:8" ht="15" customHeight="1" x14ac:dyDescent="0.35">
      <c r="B3" s="259" t="s">
        <v>1</v>
      </c>
      <c r="C3" s="259"/>
      <c r="D3" s="259"/>
      <c r="E3" s="259"/>
      <c r="F3" s="259"/>
      <c r="G3" s="259"/>
      <c r="H3" s="259"/>
    </row>
    <row r="4" spans="2:8" x14ac:dyDescent="0.35">
      <c r="B4" s="120"/>
      <c r="C4" s="120"/>
      <c r="D4" s="120"/>
      <c r="E4" s="120"/>
      <c r="F4" s="120"/>
      <c r="G4" s="120"/>
    </row>
    <row r="6" spans="2:8" ht="34" customHeight="1" x14ac:dyDescent="0.35">
      <c r="B6" s="397" t="s">
        <v>3293</v>
      </c>
      <c r="C6" s="397"/>
      <c r="D6" s="397"/>
      <c r="E6" s="397"/>
      <c r="F6" s="397"/>
      <c r="G6" s="397"/>
      <c r="H6" s="397"/>
    </row>
    <row r="8" spans="2:8" ht="34" customHeight="1" x14ac:dyDescent="0.35">
      <c r="B8" s="509" t="s">
        <v>3294</v>
      </c>
      <c r="C8" s="510"/>
      <c r="D8" s="510"/>
      <c r="E8" s="510"/>
      <c r="F8" s="510"/>
      <c r="G8" s="510"/>
      <c r="H8" s="510"/>
    </row>
    <row r="9" spans="2:8" ht="20.05" customHeight="1" x14ac:dyDescent="0.35">
      <c r="B9" s="465"/>
      <c r="C9" s="466"/>
      <c r="D9" s="466"/>
      <c r="E9" s="466"/>
      <c r="F9" s="466"/>
      <c r="G9" s="466"/>
      <c r="H9" s="466"/>
    </row>
    <row r="10" spans="2:8" ht="20.05" customHeight="1" x14ac:dyDescent="0.35">
      <c r="B10" s="43" t="s">
        <v>3295</v>
      </c>
      <c r="C10" s="43" t="s">
        <v>2745</v>
      </c>
      <c r="D10" s="130" t="s">
        <v>3296</v>
      </c>
      <c r="E10" s="130" t="s">
        <v>3297</v>
      </c>
      <c r="F10" s="130" t="s">
        <v>252</v>
      </c>
      <c r="G10" s="130" t="s">
        <v>3298</v>
      </c>
      <c r="H10" s="130" t="s">
        <v>3299</v>
      </c>
    </row>
    <row r="11" spans="2:8" ht="20.05" customHeight="1" x14ac:dyDescent="0.35">
      <c r="B11" s="4" t="s">
        <v>1272</v>
      </c>
      <c r="C11" s="337" t="str">
        <f>mgmt_cl01_az1_mgmt_pg</f>
        <v>Value Missing</v>
      </c>
      <c r="D11" s="337" t="str">
        <f>mgmt_az1_mgmt_vm_vlan</f>
        <v>Value Missing</v>
      </c>
      <c r="E11" s="337" t="str">
        <f>mgmt_az1_mgmt_vm_cidr</f>
        <v>Value Missing</v>
      </c>
      <c r="F11" s="337" t="str">
        <f t="array" ref="F11">mgmt_az1_mgmt_vm_network</f>
        <v>Value Missing</v>
      </c>
      <c r="G11" s="337" t="str">
        <f>mgmt_az1_mgmt_vm_gateway_ip</f>
        <v>Value Missing</v>
      </c>
      <c r="H11" s="337" t="str">
        <f>mgmt_az1_mgmt_vm_mtu</f>
        <v>Value Missing</v>
      </c>
    </row>
    <row r="12" spans="2:8" ht="20.05" customHeight="1" x14ac:dyDescent="0.35">
      <c r="B12" s="4" t="s">
        <v>3300</v>
      </c>
      <c r="C12" s="337" t="str">
        <f>mgmt_cl01_az1_mgmt_pg</f>
        <v>Value Missing</v>
      </c>
      <c r="D12" s="337" t="str">
        <f>mgmt_az1_mgmt_vlan</f>
        <v>Value Missing</v>
      </c>
      <c r="E12" s="337" t="str">
        <f>mgmt_az1_mgmt_cidr</f>
        <v>Value Missing</v>
      </c>
      <c r="F12" s="337" t="str">
        <f t="array" ref="F12">mgmt_az1_mgmt_network</f>
        <v>Value Missing</v>
      </c>
      <c r="G12" s="337" t="str">
        <f>mgmt_az1_mgmt_gateway_ip</f>
        <v>Value Missing</v>
      </c>
      <c r="H12" s="337" t="str">
        <f>mgmt_az1_mgmt_mtu</f>
        <v>Value Missing</v>
      </c>
    </row>
    <row r="13" spans="2:8" ht="20.05" customHeight="1" x14ac:dyDescent="0.35">
      <c r="B13" s="4" t="s">
        <v>251</v>
      </c>
      <c r="C13" s="337" t="str">
        <f>mgmt_cl01_az1_vmotion_pg</f>
        <v>Value Missing</v>
      </c>
      <c r="D13" s="337" t="str">
        <f>mgmt_az1_vmotion_vlan</f>
        <v>Value Missing</v>
      </c>
      <c r="E13" s="337" t="str">
        <f>mgmt_az1_vmotion_cidr</f>
        <v>Value Missing</v>
      </c>
      <c r="F13" s="337" t="str">
        <f t="array" ref="F13">mgmt_az1_vmotion_network</f>
        <v>Value Missing</v>
      </c>
      <c r="G13" s="337" t="str">
        <f>mgmt_az1_vmotion_gateway_ip</f>
        <v>Value Missing</v>
      </c>
      <c r="H13" s="337" t="str">
        <f>mgmt_az1_vmotion_mtu</f>
        <v>Value Missing</v>
      </c>
    </row>
    <row r="14" spans="2:8" ht="20.05" customHeight="1" x14ac:dyDescent="0.35">
      <c r="B14" s="4" t="s">
        <v>257</v>
      </c>
      <c r="C14" s="337" t="str">
        <f>mgmt_cl01_az1_vsan_pg</f>
        <v>Value Missing</v>
      </c>
      <c r="D14" s="337" t="str">
        <f>mgmt_az1_vsan_vlan</f>
        <v>Value Missing</v>
      </c>
      <c r="E14" s="337" t="str">
        <f>mgmt_az1_vsan_cidr</f>
        <v>Value Missing</v>
      </c>
      <c r="F14" s="337" t="str">
        <f t="array" ref="F14">mgmt_az1_vsan_network</f>
        <v>Value Missing</v>
      </c>
      <c r="G14" s="337" t="str">
        <f>mgmt_az1_vsan_gateway_ip</f>
        <v>Value Missing</v>
      </c>
      <c r="H14" s="337" t="str">
        <f>mgmt_az1_vsan_mtu</f>
        <v>Value Missing</v>
      </c>
    </row>
    <row r="15" spans="2:8" ht="20.05" customHeight="1" x14ac:dyDescent="0.35">
      <c r="B15" s="4" t="s">
        <v>1278</v>
      </c>
      <c r="C15" s="337" t="str">
        <f t="array" ref="C15">mgmt_az1_host_overlay_pg</f>
        <v>N/A</v>
      </c>
      <c r="D15" s="337" t="str">
        <f>mgmt_az1_host_overlay_vlan</f>
        <v>Value Missing</v>
      </c>
      <c r="E15" s="337" t="str">
        <f>mgmt_az1_host_overlay_cidr</f>
        <v>Value Missing</v>
      </c>
      <c r="F15" s="337" t="str">
        <f t="array" ref="F15">mgmt_az1_host_overlay_network</f>
        <v>Value Missing</v>
      </c>
      <c r="G15" s="337" t="str">
        <f>mgmt_az1_host_overlay_gateway_ip</f>
        <v>Value Missing</v>
      </c>
      <c r="H15" s="337" t="str">
        <f>mgmt_az1_host_overlay_mtu</f>
        <v>Value Missing</v>
      </c>
    </row>
    <row r="16" spans="2:8" ht="20.05" customHeight="1" x14ac:dyDescent="0.35">
      <c r="B16" s="4" t="s">
        <v>1291</v>
      </c>
      <c r="C16" s="337" t="str">
        <f>mgmt_vrms_pg</f>
        <v>Value Missing</v>
      </c>
      <c r="D16" s="337" t="str">
        <f>mgmt_az1_vrms_vlan</f>
        <v>Value Missing</v>
      </c>
      <c r="E16" s="337">
        <f>mgmt_az1_vrms_cidr</f>
        <v>0</v>
      </c>
      <c r="F16" s="337">
        <f t="array" ref="F16">mgmt_az1_vrms_network</f>
        <v>0</v>
      </c>
      <c r="G16" s="337">
        <f>mgmt_az1_vrms_gateway_ip</f>
        <v>0</v>
      </c>
      <c r="H16" s="337" t="str">
        <f>mgmt_az1_vrms_mtu</f>
        <v>Value Missing</v>
      </c>
    </row>
    <row r="17" spans="2:8" ht="20.05" customHeight="1" x14ac:dyDescent="0.35">
      <c r="B17" s="4" t="s">
        <v>3301</v>
      </c>
      <c r="C17" s="337" t="str">
        <f>mgmt_cl01_az1_uplink01_pg</f>
        <v>Value Missing</v>
      </c>
      <c r="D17" s="337" t="str">
        <f>mgmt_az1_uplink01_vlan</f>
        <v>Value Missing</v>
      </c>
      <c r="E17" s="337" t="str">
        <f>mgmt_az1_uplink01_cidr</f>
        <v>Value Missing</v>
      </c>
      <c r="F17" s="337" t="str">
        <f t="array" ref="F17">mgmt_az1_uplink01_network</f>
        <v>Value Missing</v>
      </c>
      <c r="G17" s="337" t="str">
        <f>mgmt_az1_uplink01_gateway_ip</f>
        <v>Value Missing</v>
      </c>
      <c r="H17" s="337" t="str">
        <f>mgmt_az1_uplink01_mtu</f>
        <v>Value Missing</v>
      </c>
    </row>
    <row r="18" spans="2:8" ht="20.05" customHeight="1" x14ac:dyDescent="0.35">
      <c r="B18" s="17" t="s">
        <v>3302</v>
      </c>
      <c r="C18" s="337" t="str">
        <f>mgmt_cl01_az1_uplink02_pg</f>
        <v>Value Missing</v>
      </c>
      <c r="D18" s="337" t="str">
        <f>mgmt_az1_uplink02_vlan</f>
        <v>Value Missing</v>
      </c>
      <c r="E18" s="337" t="str">
        <f>mgmt_az1_uplink02_cidr</f>
        <v>Value Missing</v>
      </c>
      <c r="F18" s="337" t="str">
        <f t="array" ref="F18">mgmt_az1_uplink02_network</f>
        <v>Value Missing</v>
      </c>
      <c r="G18" s="337" t="str">
        <f>mgmt_az1_uplink02_gateway_ip</f>
        <v>Value Missing</v>
      </c>
      <c r="H18" s="337" t="str">
        <f>mgmt_az1_uplink02_mtu</f>
        <v>Value Missing</v>
      </c>
    </row>
    <row r="19" spans="2:8" ht="20.05" customHeight="1" x14ac:dyDescent="0.35">
      <c r="B19" s="17" t="s">
        <v>1287</v>
      </c>
      <c r="C19" s="337" t="str">
        <f>mgmt_az1_edge_overlay_pg</f>
        <v>N/A</v>
      </c>
      <c r="D19" s="337" t="str">
        <f>mgmt_az1_edge_overlay_vlan</f>
        <v>Value Missing</v>
      </c>
      <c r="E19" s="337" t="str">
        <f>mgmt_az1_edge_overlay_cidr</f>
        <v>Value Missing</v>
      </c>
      <c r="F19" s="337" t="str">
        <f>mgmt_az1_edge_overlay_network</f>
        <v>Value Missing</v>
      </c>
      <c r="G19" s="337" t="str">
        <f>mgmt_az1_edge_overlay_gateway_ip</f>
        <v>Value Missing</v>
      </c>
      <c r="H19" s="337" t="str">
        <f>mgmt_az1_edge_overlay_mtu</f>
        <v>Value Missing</v>
      </c>
    </row>
    <row r="20" spans="2:8" ht="20.05" customHeight="1" x14ac:dyDescent="0.35">
      <c r="B20" s="4" t="s">
        <v>1382</v>
      </c>
      <c r="C20" s="337" t="str">
        <f>mgmt_az1_rtep_overlay_pg</f>
        <v>N/A</v>
      </c>
      <c r="D20" s="337" t="str">
        <f>mgmt_az1_rtep_overlay_vlan</f>
        <v>Value Missing</v>
      </c>
      <c r="E20" s="337" t="str">
        <f>mgmt_az1_rtep_overlay_cidr</f>
        <v>Value Missing</v>
      </c>
      <c r="F20" s="337" t="str">
        <f t="array" ref="F20">mgmt_az1_rtep_overlay_network</f>
        <v>Value Missing</v>
      </c>
      <c r="G20" s="337" t="str">
        <f>mgmt_az1_rtep_overlay_gateway_ip</f>
        <v>Value Missing</v>
      </c>
      <c r="H20" s="337" t="s">
        <v>632</v>
      </c>
    </row>
    <row r="22" spans="2:8" ht="34" customHeight="1" x14ac:dyDescent="0.35">
      <c r="B22" s="509" t="s">
        <v>3303</v>
      </c>
      <c r="C22" s="510"/>
      <c r="D22" s="510"/>
      <c r="E22" s="510"/>
      <c r="F22" s="510"/>
      <c r="G22" s="510"/>
      <c r="H22" s="510"/>
    </row>
    <row r="23" spans="2:8" ht="20.05" customHeight="1" x14ac:dyDescent="0.35">
      <c r="B23" s="465"/>
      <c r="C23" s="466"/>
      <c r="D23" s="466"/>
      <c r="E23" s="466"/>
      <c r="F23" s="466"/>
      <c r="G23" s="466"/>
      <c r="H23" s="466"/>
    </row>
    <row r="24" spans="2:8" ht="20.05" customHeight="1" x14ac:dyDescent="0.35">
      <c r="B24" s="43" t="s">
        <v>3295</v>
      </c>
      <c r="C24" s="43" t="s">
        <v>1268</v>
      </c>
    </row>
    <row r="25" spans="2:8" ht="20.05" customHeight="1" x14ac:dyDescent="0.35">
      <c r="B25" s="4" t="s">
        <v>1025</v>
      </c>
      <c r="C25" s="337" t="str">
        <f>mgmt_en_asn</f>
        <v>Value Missing</v>
      </c>
    </row>
    <row r="26" spans="2:8" ht="20.05" customHeight="1" x14ac:dyDescent="0.35">
      <c r="B26" s="4" t="s">
        <v>168</v>
      </c>
      <c r="C26" s="337" t="str">
        <f>mgmt_az1_tor1_peer_ip</f>
        <v>Value Missing</v>
      </c>
    </row>
    <row r="27" spans="2:8" ht="20.05" customHeight="1" x14ac:dyDescent="0.35">
      <c r="B27" s="4" t="s">
        <v>169</v>
      </c>
      <c r="C27" s="337" t="str">
        <f>mgmt_az1_tor1_peer_asn</f>
        <v>Value Missing</v>
      </c>
    </row>
    <row r="28" spans="2:8" ht="20.05" customHeight="1" x14ac:dyDescent="0.35">
      <c r="B28" s="4" t="s">
        <v>170</v>
      </c>
      <c r="C28" s="337" t="str">
        <f>mgmt_az1_tor1_peer_bgp_password</f>
        <v>Value Missing</v>
      </c>
    </row>
    <row r="29" spans="2:8" ht="20.05" customHeight="1" x14ac:dyDescent="0.35">
      <c r="B29" s="4" t="s">
        <v>171</v>
      </c>
      <c r="C29" s="337" t="str">
        <f>mgmt_az1_tor2_peer_ip</f>
        <v>Value Missing</v>
      </c>
    </row>
    <row r="30" spans="2:8" ht="20.05" customHeight="1" x14ac:dyDescent="0.35">
      <c r="B30" s="4" t="s">
        <v>172</v>
      </c>
      <c r="C30" s="337" t="str">
        <f>mgmt_az1_tor2_peer_asn</f>
        <v>Value Missing</v>
      </c>
    </row>
    <row r="31" spans="2:8" ht="20.05" customHeight="1" x14ac:dyDescent="0.35">
      <c r="B31" s="4" t="s">
        <v>173</v>
      </c>
      <c r="C31" s="337" t="str">
        <f>mgmt_az1_tor2_peer_bgp_password</f>
        <v>Value Missing</v>
      </c>
    </row>
    <row r="33" spans="2:8" ht="34" customHeight="1" x14ac:dyDescent="0.35">
      <c r="B33" s="509" t="s">
        <v>3304</v>
      </c>
      <c r="C33" s="510"/>
      <c r="D33" s="510"/>
      <c r="E33" s="510"/>
      <c r="F33" s="510"/>
      <c r="G33" s="510"/>
      <c r="H33" s="510"/>
    </row>
    <row r="34" spans="2:8" ht="20.05" customHeight="1" x14ac:dyDescent="0.35">
      <c r="B34" s="465"/>
      <c r="C34" s="466"/>
      <c r="D34" s="466"/>
      <c r="E34" s="466"/>
      <c r="F34" s="466"/>
      <c r="G34" s="466"/>
      <c r="H34" s="466"/>
    </row>
    <row r="35" spans="2:8" ht="20.05" customHeight="1" x14ac:dyDescent="0.35">
      <c r="B35" s="43" t="s">
        <v>3295</v>
      </c>
      <c r="C35" s="43" t="s">
        <v>2745</v>
      </c>
      <c r="D35" s="130" t="s">
        <v>85</v>
      </c>
      <c r="E35" s="130" t="s">
        <v>3297</v>
      </c>
      <c r="F35" s="130" t="s">
        <v>252</v>
      </c>
      <c r="G35" s="130" t="s">
        <v>187</v>
      </c>
      <c r="H35" s="130" t="s">
        <v>160</v>
      </c>
    </row>
    <row r="36" spans="2:8" ht="20.05" customHeight="1" x14ac:dyDescent="0.35">
      <c r="B36" s="4" t="s">
        <v>1272</v>
      </c>
      <c r="C36" s="337" t="str">
        <f>IF(mgmt_stretched_cluster_result="Excluded","Not Required",mgmt_cl01_az1_mgmt_vm_pg)</f>
        <v>Not Required</v>
      </c>
      <c r="D36" s="337" t="str">
        <f>IF(mgmt_stretched_cluster_result="Excluded","Not Required",mgmt_az1_mgmt_vm_vlan)</f>
        <v>Not Required</v>
      </c>
      <c r="E36" s="337" t="str">
        <f>IF(mgmt_stretched_cluster_result="Excluded","Not Required",mgmt_az1_mgmt_vm_cidr)</f>
        <v>Not Required</v>
      </c>
      <c r="F36" s="337" t="str">
        <f>IF(mgmt_stretched_cluster_result="Excluded","Not Required",mgmt_az1_mgmt_vm_network)</f>
        <v>Not Required</v>
      </c>
      <c r="G36" s="337" t="str">
        <f>IF(mgmt_stretched_cluster_result="Excluded","Not Required",mgmt_az1_mgmt_vm_gateway_ip)</f>
        <v>Not Required</v>
      </c>
      <c r="H36" s="337" t="str">
        <f>IF(mgmt_stretched_cluster_result="Excluded","Not Required",mgmt_az1_mgmt_vm_mtu)</f>
        <v>Not Required</v>
      </c>
    </row>
    <row r="37" spans="2:8" ht="20.05" customHeight="1" x14ac:dyDescent="0.35">
      <c r="B37" s="4" t="s">
        <v>3300</v>
      </c>
      <c r="C37" s="337" t="str">
        <f>mgmt_cl01_az2_mgmt_pg</f>
        <v>Value Missing</v>
      </c>
      <c r="D37" s="337" t="str">
        <f>mgmt_az2_mgmt_vlan</f>
        <v>Value Missing</v>
      </c>
      <c r="E37" s="337" t="str">
        <f>mgmt_az2_mgmt_cidr</f>
        <v>Value Missing</v>
      </c>
      <c r="F37" s="337" t="str">
        <f>mgmt_az2_mgmt_network</f>
        <v>Value Missing</v>
      </c>
      <c r="G37" s="337" t="str">
        <f>mgmt_az2_mgmt_gateway_ip</f>
        <v>Value Missing</v>
      </c>
      <c r="H37" s="337" t="str">
        <f>mgmt_az2_mgmt_mtu</f>
        <v>Value Missing</v>
      </c>
    </row>
    <row r="38" spans="2:8" ht="20.05" customHeight="1" x14ac:dyDescent="0.35">
      <c r="B38" s="4" t="s">
        <v>251</v>
      </c>
      <c r="C38" s="337" t="str">
        <f>mgmt_cl01_az2_vmotion_pg</f>
        <v>Value Missing</v>
      </c>
      <c r="D38" s="337" t="str">
        <f>mgmt_az2_vmotion_vlan</f>
        <v>Value Missing</v>
      </c>
      <c r="E38" s="337" t="str">
        <f>mgmt_az2_vmotion_cidr</f>
        <v>Value Missing</v>
      </c>
      <c r="F38" s="337" t="str">
        <f t="array" ref="F38">mgmt_az2_vmotion_network</f>
        <v>Value Missing</v>
      </c>
      <c r="G38" s="337" t="str">
        <f>mgmt_az2_vmotion_gateway_ip</f>
        <v>Value Missing</v>
      </c>
      <c r="H38" s="337" t="str">
        <f>mgmt_az2_vmotion_mtu</f>
        <v>Value Missing</v>
      </c>
    </row>
    <row r="39" spans="2:8" ht="20.05" customHeight="1" x14ac:dyDescent="0.35">
      <c r="B39" s="4" t="s">
        <v>257</v>
      </c>
      <c r="C39" s="337" t="str">
        <f>mgmt_cl01_az2_vsan_pg</f>
        <v>Value Missing</v>
      </c>
      <c r="D39" s="337" t="str">
        <f>mgmt_az2_vsan_vlan</f>
        <v>Value Missing</v>
      </c>
      <c r="E39" s="337" t="str">
        <f>mgmt_az2_vsan_cidr</f>
        <v>Value Missing</v>
      </c>
      <c r="F39" s="337" t="str">
        <f>mgmt_az2_vsan_network</f>
        <v>Value Missing</v>
      </c>
      <c r="G39" s="337" t="str">
        <f>mgmt_az2_vsan_gateway_ip</f>
        <v>Value Missing</v>
      </c>
      <c r="H39" s="337" t="str">
        <f>mgmt_az2_vsan_mtu</f>
        <v>Value Missing</v>
      </c>
    </row>
    <row r="40" spans="2:8" ht="20.05" customHeight="1" x14ac:dyDescent="0.35">
      <c r="B40" s="4" t="s">
        <v>1278</v>
      </c>
      <c r="C40" s="337" t="str">
        <f>mgmt_az2_host_overlay_pg</f>
        <v>N/A</v>
      </c>
      <c r="D40" s="337" t="str">
        <f>mgmt_az2_host_overlay_vlan</f>
        <v>Value Missing</v>
      </c>
      <c r="E40" s="337" t="str">
        <f>mgmt_az2_host_overlay_cidr</f>
        <v>Value Missing</v>
      </c>
      <c r="F40" s="337" t="str">
        <f>mgmt_az2_host_overlay_network</f>
        <v>Value Missing</v>
      </c>
      <c r="G40" s="337" t="str">
        <f>mgmt_az2_host_overlay_gateway_ip</f>
        <v>Value Missing</v>
      </c>
      <c r="H40" s="337" t="str">
        <f>IF(mgmt_stretched_cluster_result="Excluded","Not Required",mgmt_az2_host_overlay_mtu)</f>
        <v>Not Required</v>
      </c>
    </row>
    <row r="41" spans="2:8" ht="20.05" customHeight="1" x14ac:dyDescent="0.35">
      <c r="B41" s="4" t="s">
        <v>3305</v>
      </c>
      <c r="C41" s="337" t="str">
        <f>mgmt_vrms_pg</f>
        <v>Value Missing</v>
      </c>
      <c r="D41" s="337" t="str">
        <f>mgmt_az2_vrms_vlan</f>
        <v>Value Missing</v>
      </c>
      <c r="E41" s="337">
        <f>mgmt_az2_vrms_cidr</f>
        <v>0</v>
      </c>
      <c r="F41" s="337">
        <f t="array" ref="F41">mgmt_az2_vrms_network</f>
        <v>0</v>
      </c>
      <c r="G41" s="337">
        <f>mgmt_az2_vrms_gateway_ip</f>
        <v>0</v>
      </c>
      <c r="H41" s="337">
        <f>mgmt_az2_vrms_mtu</f>
        <v>0</v>
      </c>
    </row>
    <row r="42" spans="2:8" ht="20.05" customHeight="1" x14ac:dyDescent="0.35">
      <c r="B42" s="4" t="s">
        <v>3301</v>
      </c>
      <c r="C42" s="337" t="str">
        <f>IF(mgmt_stretched_cluster_result="Excluded","Not Required",mgmt_cl01_az1_uplink01_pg)</f>
        <v>Not Required</v>
      </c>
      <c r="D42" s="337" t="str">
        <f>IF(mgmt_stretched_cluster_result="Excluded","Not Required",mgmt_az2_uplink01_vlan)</f>
        <v>Not Required</v>
      </c>
      <c r="E42" s="337" t="str">
        <f>IF(mgmt_stretched_cluster_result="Excluded","Not Required",mgmt_az2_uplink01_cidr)</f>
        <v>Not Required</v>
      </c>
      <c r="F42" s="337" t="str">
        <f>IF(mgmt_stretched_cluster_result="Excluded","Not Required",mgmt_az2_uplink01_network)</f>
        <v>Not Required</v>
      </c>
      <c r="G42" s="337" t="str">
        <f>IF(mgmt_stretched_cluster_result="Excluded","Not Required",mgmt_az2_uplink01_gateway_ip)</f>
        <v>Not Required</v>
      </c>
      <c r="H42" s="337" t="str">
        <f>IF(mgmt_stretched_cluster_result="Excluded","Not Required",mgmt_az2_uplink01_mtu)</f>
        <v>Not Required</v>
      </c>
    </row>
    <row r="43" spans="2:8" ht="20.05" customHeight="1" x14ac:dyDescent="0.35">
      <c r="B43" s="17" t="s">
        <v>3302</v>
      </c>
      <c r="C43" s="337" t="str">
        <f>mgmt_cl01_az2_uplink01_pg</f>
        <v>Value Missing</v>
      </c>
      <c r="D43" s="337" t="str">
        <f>mgmt_az2_uplink02_vlan</f>
        <v>Value Missing</v>
      </c>
      <c r="E43" s="337" t="str">
        <f>IF(mgmt_stretched_cluster_result="Excluded","Not Required",mgmt_az2_uplink02_cidr)</f>
        <v>Not Required</v>
      </c>
      <c r="F43" s="337" t="str">
        <f>IF(mgmt_stretched_cluster_result="Excluded","Not Required",mgmt_az2_uplink02_network)</f>
        <v>Not Required</v>
      </c>
      <c r="G43" s="337" t="str">
        <f>IF(mgmt_stretched_cluster_result="Excluded","Not Required",mgmt_az2_uplink02_gateway_ip)</f>
        <v>Not Required</v>
      </c>
      <c r="H43" s="337" t="str">
        <f>IF(mgmt_stretched_cluster_result="Excluded","Not Required",mgmt_az2_uplink02_mtu)</f>
        <v>Not Required</v>
      </c>
    </row>
    <row r="44" spans="2:8" ht="20.05" customHeight="1" x14ac:dyDescent="0.35">
      <c r="B44" s="17" t="s">
        <v>1287</v>
      </c>
      <c r="C44" s="337" t="str">
        <f t="array" ref="C44">mgmt_az2_edge_overlay_pg</f>
        <v>N/A</v>
      </c>
      <c r="D44" s="337" t="str">
        <f>mgmt_az2_edge_overlay_vlan</f>
        <v>Value Missing</v>
      </c>
      <c r="E44" s="337" t="str">
        <f>IF(mgmt_stretched_cluster_result="Excluded","Not Required",mgmt_az1_edge_overlay_cidr)</f>
        <v>Not Required</v>
      </c>
      <c r="F44" s="337" t="str">
        <f>IF(mgmt_stretched_cluster_result="Excluded","Not Required",mgmt_az1_edge_overlay_network)</f>
        <v>Not Required</v>
      </c>
      <c r="G44" s="337" t="str">
        <f>IF(mgmt_stretched_cluster_result="Excluded","Not Required",mgmt_az1_edge_overlay_gateway_ip)</f>
        <v>Not Required</v>
      </c>
      <c r="H44" s="337" t="str">
        <f>IF(mgmt_stretched_cluster_result="Excluded","Not Required",mgmt_az1_edge_overlay_mtu)</f>
        <v>Not Required</v>
      </c>
    </row>
    <row r="45" spans="2:8" ht="20.05" customHeight="1" x14ac:dyDescent="0.35">
      <c r="B45" s="4" t="s">
        <v>1382</v>
      </c>
      <c r="C45" s="337" t="str">
        <f>mgmt_az1_rtep_overlay_pg</f>
        <v>N/A</v>
      </c>
      <c r="D45" s="337" t="str">
        <f>mgmt_az1_rtep_overlay_vlan</f>
        <v>Value Missing</v>
      </c>
      <c r="E45" s="337" t="str">
        <f>mgmt_az1_rtep_overlay_cidr</f>
        <v>Value Missing</v>
      </c>
      <c r="F45" s="337" t="str">
        <f>mgmt_az1_rtep_overlay_network</f>
        <v>Value Missing</v>
      </c>
      <c r="G45" s="337" t="str">
        <f>mgmt_az2_rtep_overlay_gateway_ip</f>
        <v>Value Missing</v>
      </c>
      <c r="H45" s="337" t="s">
        <v>632</v>
      </c>
    </row>
    <row r="47" spans="2:8" ht="34" customHeight="1" x14ac:dyDescent="0.35">
      <c r="B47" s="509" t="s">
        <v>3306</v>
      </c>
      <c r="C47" s="510"/>
      <c r="D47" s="510"/>
      <c r="E47" s="510"/>
      <c r="F47" s="510"/>
      <c r="G47" s="510"/>
      <c r="H47" s="510"/>
    </row>
    <row r="48" spans="2:8" ht="20.05" customHeight="1" x14ac:dyDescent="0.35">
      <c r="B48" s="465"/>
      <c r="C48" s="466"/>
      <c r="D48" s="466"/>
      <c r="E48" s="466"/>
      <c r="F48" s="466"/>
      <c r="G48" s="466"/>
      <c r="H48" s="466"/>
    </row>
    <row r="49" spans="2:8" ht="20.05" customHeight="1" x14ac:dyDescent="0.35">
      <c r="B49" s="43" t="s">
        <v>3295</v>
      </c>
      <c r="C49" s="43" t="s">
        <v>1268</v>
      </c>
    </row>
    <row r="50" spans="2:8" ht="20.05" customHeight="1" x14ac:dyDescent="0.35">
      <c r="B50" s="4" t="s">
        <v>1025</v>
      </c>
      <c r="C50" s="337" t="str">
        <f>IF(mgmt_stretched_cluster_result="Excluded","Not Required",mgmt_en_asn)</f>
        <v>Not Required</v>
      </c>
    </row>
    <row r="51" spans="2:8" ht="20.05" customHeight="1" x14ac:dyDescent="0.35">
      <c r="B51" s="4" t="s">
        <v>168</v>
      </c>
      <c r="C51" s="337" t="str">
        <f>IF(mgmt_stretched_cluster_result="Excluded","Not Required",mgmt_az1_tor1_peer_ip)</f>
        <v>Not Required</v>
      </c>
    </row>
    <row r="52" spans="2:8" ht="20.05" customHeight="1" x14ac:dyDescent="0.35">
      <c r="B52" s="4" t="s">
        <v>169</v>
      </c>
      <c r="C52" s="337" t="str">
        <f>IF(mgmt_stretched_cluster_result="Excluded","Not Required",mgmt_az1_tor1_peer_asn)</f>
        <v>Not Required</v>
      </c>
    </row>
    <row r="53" spans="2:8" ht="20.05" customHeight="1" x14ac:dyDescent="0.35">
      <c r="B53" s="4" t="s">
        <v>170</v>
      </c>
      <c r="C53" s="337" t="str">
        <f>IF(mgmt_stretched_cluster_result="Excluded","Not Required",mgmt_az1_tor1_peer_bgp_password)</f>
        <v>Not Required</v>
      </c>
    </row>
    <row r="54" spans="2:8" ht="20.05" customHeight="1" x14ac:dyDescent="0.35">
      <c r="B54" s="4" t="s">
        <v>171</v>
      </c>
      <c r="C54" s="337" t="str">
        <f>IF(mgmt_stretched_cluster_result="Excluded","Not Required",mgmt_az1_tor2_peer_ip)</f>
        <v>Not Required</v>
      </c>
    </row>
    <row r="55" spans="2:8" ht="20.05" customHeight="1" x14ac:dyDescent="0.35">
      <c r="B55" s="4" t="s">
        <v>172</v>
      </c>
      <c r="C55" s="337" t="str">
        <f>IF(mgmt_stretched_cluster_result="Excluded","Not Required",mgmt_az1_tor2_peer_asn)</f>
        <v>Not Required</v>
      </c>
    </row>
    <row r="56" spans="2:8" ht="20.05" customHeight="1" x14ac:dyDescent="0.35">
      <c r="B56" s="4" t="s">
        <v>173</v>
      </c>
      <c r="C56" s="337" t="str">
        <f>IF(mgmt_stretched_cluster_result="Excluded","Not Required",mgmt_az1_tor2_peer_bgp_password)</f>
        <v>Not Required</v>
      </c>
    </row>
    <row r="58" spans="2:8" ht="34" customHeight="1" x14ac:dyDescent="0.35">
      <c r="B58" s="509" t="s">
        <v>3304</v>
      </c>
      <c r="C58" s="510"/>
      <c r="D58" s="510"/>
      <c r="E58" s="510"/>
      <c r="F58" s="510"/>
      <c r="G58" s="510"/>
      <c r="H58" s="510"/>
    </row>
    <row r="59" spans="2:8" ht="20.05" customHeight="1" x14ac:dyDescent="0.35">
      <c r="B59" s="465"/>
      <c r="C59" s="466"/>
      <c r="D59" s="466"/>
      <c r="E59" s="466"/>
      <c r="F59" s="466"/>
      <c r="G59" s="466"/>
      <c r="H59" s="466"/>
    </row>
    <row r="60" spans="2:8" ht="20.05" customHeight="1" x14ac:dyDescent="0.35">
      <c r="B60" s="43" t="s">
        <v>3295</v>
      </c>
      <c r="C60" s="43" t="s">
        <v>2745</v>
      </c>
      <c r="D60" s="130" t="s">
        <v>85</v>
      </c>
      <c r="E60" s="130" t="s">
        <v>3297</v>
      </c>
      <c r="F60" s="130" t="s">
        <v>252</v>
      </c>
      <c r="G60" s="130" t="s">
        <v>187</v>
      </c>
      <c r="H60" s="130" t="s">
        <v>160</v>
      </c>
    </row>
    <row r="61" spans="2:8" ht="20.05" customHeight="1" x14ac:dyDescent="0.35">
      <c r="B61" s="4" t="s">
        <v>1272</v>
      </c>
      <c r="C61" s="337" t="str">
        <f>IF(mgmt_stretched_cluster_result="Excluded","Not Required",mgmt_witness_mgmt_pg)</f>
        <v>Not Required</v>
      </c>
      <c r="D61" s="337" t="str">
        <f>IF(mgmt_stretched_cluster_result="Excluded","Not Required",mgmt_witnessaz_mgmt_vlan)</f>
        <v>Not Required</v>
      </c>
      <c r="E61" s="337" t="str">
        <f>IF(mgmt_stretched_cluster_result="Excluded","Not Required",mgmt_witnessaz_mgmt_cidr)</f>
        <v>Not Required</v>
      </c>
      <c r="F61" s="337" t="str">
        <f>IF(mgmt_stretched_cluster_result="Excluded","Not Required",mgmt_witnessaz_mgmt_cidr)</f>
        <v>Not Required</v>
      </c>
      <c r="G61" s="337" t="str">
        <f>IF(mgmt_stretched_cluster_result="Excluded","Not Required",mgmt_witnessaz_mgmt_gateway_ip)</f>
        <v>Not Required</v>
      </c>
      <c r="H61" s="337" t="str">
        <f>IF(mgmt_stretched_cluster_result="Excluded","Not Required",mgmt_witnessaz_mgmt_mtu)</f>
        <v>Not Required</v>
      </c>
    </row>
    <row r="62" spans="2:8" ht="16" customHeight="1" x14ac:dyDescent="0.35"/>
    <row r="63" spans="2:8" ht="32.049999999999997" customHeight="1" x14ac:dyDescent="0.35">
      <c r="B63" s="509" t="s">
        <v>3307</v>
      </c>
      <c r="C63" s="510"/>
      <c r="D63" s="510"/>
      <c r="E63" s="510"/>
      <c r="F63" s="510"/>
      <c r="G63" s="510"/>
      <c r="H63" s="510"/>
    </row>
    <row r="64" spans="2:8" ht="20.05" customHeight="1" x14ac:dyDescent="0.35">
      <c r="B64" s="465" t="s">
        <v>3283</v>
      </c>
      <c r="C64" s="466"/>
      <c r="D64" s="466"/>
      <c r="E64" s="466"/>
      <c r="F64" s="466"/>
      <c r="G64" s="466"/>
      <c r="H64" s="466"/>
    </row>
    <row r="65" spans="2:5" ht="20.05" customHeight="1" x14ac:dyDescent="0.35">
      <c r="B65" s="43" t="s">
        <v>3295</v>
      </c>
      <c r="C65" s="43" t="s">
        <v>38</v>
      </c>
      <c r="D65" s="43" t="s">
        <v>302</v>
      </c>
      <c r="E65" s="130" t="s">
        <v>3308</v>
      </c>
    </row>
    <row r="66" spans="2:5" ht="20.05" customHeight="1" x14ac:dyDescent="0.35">
      <c r="B66" s="4" t="s">
        <v>215</v>
      </c>
      <c r="C66" s="337" t="str">
        <f>mgmt_az1_host1_fqdn</f>
        <v>Value Missing</v>
      </c>
      <c r="D66" s="337" t="str">
        <f>mgmt_az1_host1_hostname</f>
        <v>Value Missing</v>
      </c>
      <c r="E66" s="337" t="str">
        <f>mgmt_az1_host1_mgmt_ip</f>
        <v>Value Missing</v>
      </c>
    </row>
    <row r="67" spans="2:5" ht="20.05" customHeight="1" x14ac:dyDescent="0.35">
      <c r="B67" s="4" t="s">
        <v>217</v>
      </c>
      <c r="C67" s="337" t="str">
        <f>mgmt_az1_host2_fqdn</f>
        <v>Value Missing</v>
      </c>
      <c r="D67" s="337" t="str">
        <f>mgmt_az1_host2_hostname</f>
        <v>Value Missing</v>
      </c>
      <c r="E67" s="337" t="str">
        <f>mgmt_az1_host2_mgmt_ip</f>
        <v>Value Missing</v>
      </c>
    </row>
    <row r="68" spans="2:5" ht="20.05" customHeight="1" x14ac:dyDescent="0.35">
      <c r="B68" s="4" t="s">
        <v>219</v>
      </c>
      <c r="C68" s="337" t="str">
        <f>mgmt_az1_host3_fqdn</f>
        <v>Value Missing</v>
      </c>
      <c r="D68" s="337" t="str">
        <f>mgmt_az1_host3_hostname</f>
        <v>Value Missing</v>
      </c>
      <c r="E68" s="337" t="str">
        <f>mgmt_az1_host3_mgmt_ip</f>
        <v>Value Missing</v>
      </c>
    </row>
    <row r="69" spans="2:5" ht="20.05" customHeight="1" x14ac:dyDescent="0.35">
      <c r="B69" s="4" t="s">
        <v>221</v>
      </c>
      <c r="C69" s="337" t="str">
        <f>mgmt_az1_host4_fqdn</f>
        <v>Value Missing</v>
      </c>
      <c r="D69" s="337" t="str">
        <f>mgmt_az1_host4_hostname</f>
        <v>Value Missing</v>
      </c>
      <c r="E69" s="337" t="str">
        <f>mgmt_az1_host4_mgmt_ip</f>
        <v>Value Missing</v>
      </c>
    </row>
    <row r="70" spans="2:5" ht="20.05" customHeight="1" x14ac:dyDescent="0.35">
      <c r="B70" s="4" t="s">
        <v>223</v>
      </c>
      <c r="C70" s="337" t="str">
        <f>mgmt_az1_host5_fqdn</f>
        <v>Value Missing</v>
      </c>
      <c r="D70" s="337" t="str">
        <f>mgmt_az1_host5_hostname</f>
        <v>Value Missing</v>
      </c>
      <c r="E70" s="337" t="str">
        <f>mgmt_az1_host5_mgmt_ip</f>
        <v>Value Missing</v>
      </c>
    </row>
    <row r="71" spans="2:5" ht="20.05" customHeight="1" x14ac:dyDescent="0.35">
      <c r="B71" s="4" t="s">
        <v>225</v>
      </c>
      <c r="C71" s="337" t="str">
        <f>mgmt_az1_host6_fqdn</f>
        <v>Value Missing</v>
      </c>
      <c r="D71" s="337" t="str">
        <f>mgmt_az1_host6_hostname</f>
        <v>Value Missing</v>
      </c>
      <c r="E71" s="337" t="str">
        <f>mgmt_az1_host6_mgmt_ip</f>
        <v>Value Missing</v>
      </c>
    </row>
    <row r="72" spans="2:5" ht="20.05" customHeight="1" x14ac:dyDescent="0.35">
      <c r="B72" s="4" t="s">
        <v>227</v>
      </c>
      <c r="C72" s="337" t="str">
        <f>mgmt_az1_host7_fqdn</f>
        <v>Value Missing</v>
      </c>
      <c r="D72" s="337" t="str">
        <f>mgmt_az1_host7_hostname</f>
        <v>Value Missing</v>
      </c>
      <c r="E72" s="337" t="str">
        <f>mgmt_az1_host7_mgmt_ip</f>
        <v>Value Missing</v>
      </c>
    </row>
    <row r="73" spans="2:5" ht="20.05" customHeight="1" x14ac:dyDescent="0.35">
      <c r="B73" s="4" t="s">
        <v>229</v>
      </c>
      <c r="C73" s="337" t="str">
        <f>mgmt_az1_host8_fqdn</f>
        <v>Value Missing</v>
      </c>
      <c r="D73" s="337" t="str">
        <f>mgmt_az1_host8_hostname</f>
        <v>Value Missing</v>
      </c>
      <c r="E73" s="337" t="str">
        <f>mgmt_az1_host8_mgmt_ip</f>
        <v>Value Missing</v>
      </c>
    </row>
    <row r="74" spans="2:5" ht="20.05" customHeight="1" x14ac:dyDescent="0.35">
      <c r="B74" s="4" t="s">
        <v>231</v>
      </c>
      <c r="C74" s="337" t="str">
        <f>mgmt_az1_host9_fqdn</f>
        <v>Value Missing</v>
      </c>
      <c r="D74" s="337" t="str">
        <f>mgmt_az1_host9_hostname</f>
        <v>Value Missing</v>
      </c>
      <c r="E74" s="337" t="str">
        <f>mgmt_az1_host9_mgmt_ip</f>
        <v>Value Missing</v>
      </c>
    </row>
    <row r="75" spans="2:5" ht="20.05" customHeight="1" x14ac:dyDescent="0.35">
      <c r="B75" s="4" t="s">
        <v>233</v>
      </c>
      <c r="C75" s="337" t="str">
        <f>mgmt_az1_host10_fqdn</f>
        <v>Value Missing</v>
      </c>
      <c r="D75" s="337" t="str">
        <f>mgmt_az1_host10_hostname</f>
        <v>Value Missing</v>
      </c>
      <c r="E75" s="337" t="str">
        <f>mgmt_az1_host10_mgmt_ip</f>
        <v>Value Missing</v>
      </c>
    </row>
    <row r="76" spans="2:5" ht="20.05" customHeight="1" x14ac:dyDescent="0.35">
      <c r="B76" s="4" t="s">
        <v>235</v>
      </c>
      <c r="C76" s="337" t="str">
        <f>mgmt_az1_host11_fqdn</f>
        <v>Value Missing</v>
      </c>
      <c r="D76" s="337" t="str">
        <f>mgmt_az1_host11_hostname</f>
        <v>Value Missing</v>
      </c>
      <c r="E76" s="337" t="str">
        <f>mgmt_az1_host11_mgmt_ip</f>
        <v>Value Missing</v>
      </c>
    </row>
    <row r="77" spans="2:5" ht="20.05" customHeight="1" x14ac:dyDescent="0.35">
      <c r="B77" s="4" t="s">
        <v>237</v>
      </c>
      <c r="C77" s="337" t="str">
        <f>mgmt_az1_host12_fqdn</f>
        <v>Value Missing</v>
      </c>
      <c r="D77" s="337" t="str">
        <f>mgmt_az1_host12_hostname</f>
        <v>Value Missing</v>
      </c>
      <c r="E77" s="337" t="str">
        <f>mgmt_az1_host12_mgmt_ip</f>
        <v>Value Missing</v>
      </c>
    </row>
    <row r="78" spans="2:5" ht="20.05" customHeight="1" x14ac:dyDescent="0.35">
      <c r="B78" s="4" t="s">
        <v>239</v>
      </c>
      <c r="C78" s="337" t="str">
        <f>mgmt_az1_host13_fqdn</f>
        <v>Value Missing</v>
      </c>
      <c r="D78" s="337" t="str">
        <f>mgmt_az1_host13_hostname</f>
        <v>Value Missing</v>
      </c>
      <c r="E78" s="337" t="str">
        <f>mgmt_az1_host13_mgmt_ip</f>
        <v>Value Missing</v>
      </c>
    </row>
    <row r="79" spans="2:5" ht="20.05" customHeight="1" x14ac:dyDescent="0.35">
      <c r="B79" s="4" t="s">
        <v>241</v>
      </c>
      <c r="C79" s="337" t="str">
        <f>mgmt_az1_host14_fqdn</f>
        <v>Value Missing</v>
      </c>
      <c r="D79" s="337" t="str">
        <f>mgmt_az1_host14_hostname</f>
        <v>Value Missing</v>
      </c>
      <c r="E79" s="337" t="str">
        <f>mgmt_az1_host14_mgmt_ip</f>
        <v>Value Missing</v>
      </c>
    </row>
    <row r="80" spans="2:5" ht="20.05" customHeight="1" x14ac:dyDescent="0.35">
      <c r="B80" s="4" t="s">
        <v>243</v>
      </c>
      <c r="C80" s="337" t="str">
        <f>mgmt_az1_host15_fqdn</f>
        <v>Value Missing</v>
      </c>
      <c r="D80" s="337" t="str">
        <f>mgmt_az1_host15_hostname</f>
        <v>Value Missing</v>
      </c>
      <c r="E80" s="337" t="str">
        <f>mgmt_az1_host15_mgmt_ip</f>
        <v>Value Missing</v>
      </c>
    </row>
    <row r="81" spans="2:8" ht="20.05" customHeight="1" x14ac:dyDescent="0.35">
      <c r="B81" s="4" t="s">
        <v>245</v>
      </c>
      <c r="C81" s="337" t="str">
        <f>mgmt_az1_host16_fqdn</f>
        <v>Value Missing</v>
      </c>
      <c r="D81" s="337" t="str">
        <f>mgmt_az1_host16_hostname</f>
        <v>Value Missing</v>
      </c>
      <c r="E81" s="337" t="str">
        <f>mgmt_az1_host16_mgmt_ip</f>
        <v>Value Missing</v>
      </c>
    </row>
    <row r="82" spans="2:8" ht="16" customHeight="1" x14ac:dyDescent="0.35"/>
    <row r="83" spans="2:8" ht="34" customHeight="1" x14ac:dyDescent="0.35">
      <c r="B83" s="509" t="s">
        <v>3309</v>
      </c>
      <c r="C83" s="510"/>
      <c r="D83" s="510"/>
      <c r="E83" s="510"/>
      <c r="F83" s="510"/>
      <c r="G83" s="510"/>
      <c r="H83" s="510"/>
    </row>
    <row r="84" spans="2:8" ht="20.05" customHeight="1" x14ac:dyDescent="0.35">
      <c r="B84" s="465" t="s">
        <v>3059</v>
      </c>
      <c r="C84" s="466"/>
      <c r="D84" s="466"/>
      <c r="E84" s="466"/>
    </row>
    <row r="85" spans="2:8" ht="20.05" customHeight="1" x14ac:dyDescent="0.35">
      <c r="B85" s="43" t="s">
        <v>3295</v>
      </c>
      <c r="C85" s="43" t="s">
        <v>38</v>
      </c>
      <c r="D85" s="43" t="s">
        <v>302</v>
      </c>
      <c r="E85" s="130" t="s">
        <v>3310</v>
      </c>
    </row>
    <row r="86" spans="2:8" ht="20.05" customHeight="1" x14ac:dyDescent="0.35">
      <c r="B86" s="4" t="s">
        <v>1664</v>
      </c>
      <c r="C86" s="337" t="str">
        <f>sddc_mgr_fqdn</f>
        <v>Value Missing</v>
      </c>
      <c r="D86" s="337" t="str">
        <f>sddc_mgr_hostname</f>
        <v>Value Missing</v>
      </c>
      <c r="E86" s="337" t="str">
        <f>sddc_mgr_ip</f>
        <v>Value Missing</v>
      </c>
    </row>
    <row r="87" spans="2:8" ht="20.05" customHeight="1" x14ac:dyDescent="0.35">
      <c r="B87" s="4" t="s">
        <v>814</v>
      </c>
      <c r="C87" s="337" t="str">
        <f>mgmt_vc_fqdn</f>
        <v>Value Missing</v>
      </c>
      <c r="D87" s="337" t="str">
        <f>mgmt_vc_hostname</f>
        <v>Value Missing</v>
      </c>
      <c r="E87" s="337" t="str">
        <f>mgmt_vc_ip</f>
        <v>Value Missing</v>
      </c>
    </row>
    <row r="88" spans="2:8" ht="20.05" customHeight="1" x14ac:dyDescent="0.35">
      <c r="B88" s="4" t="s">
        <v>3311</v>
      </c>
      <c r="C88" s="337" t="str">
        <f>mgmt_nsxt_vip_fqdn</f>
        <v>Value Missing</v>
      </c>
      <c r="D88" s="337" t="str">
        <f>mgmt_nsxt_hostname</f>
        <v>Value Missing</v>
      </c>
      <c r="E88" s="337" t="str">
        <f>mgmt_nsxt_vip_ip</f>
        <v>Value Missing</v>
      </c>
    </row>
    <row r="89" spans="2:8" ht="20.05" customHeight="1" x14ac:dyDescent="0.35">
      <c r="B89" s="4" t="s">
        <v>3312</v>
      </c>
      <c r="C89" s="337" t="str">
        <f>mgmt_nsxt_mgra_fqdn</f>
        <v>Value Missing</v>
      </c>
      <c r="D89" s="337" t="str">
        <f>mgmt_nsxt_mgra_hostname</f>
        <v>Value Missing</v>
      </c>
      <c r="E89" s="337" t="str">
        <f>mgmt_nsxt_mgra_ip</f>
        <v>Value Missing</v>
      </c>
    </row>
    <row r="90" spans="2:8" ht="20.05" customHeight="1" x14ac:dyDescent="0.35">
      <c r="B90" s="4" t="s">
        <v>3313</v>
      </c>
      <c r="C90" s="337" t="str">
        <f>mgmt_nsxt_mgrb_fqdn</f>
        <v>Value Missing</v>
      </c>
      <c r="D90" s="337" t="str">
        <f>mgmt_nsxt_mgrb_hostname</f>
        <v>Value Missing</v>
      </c>
      <c r="E90" s="337" t="str">
        <f>mgmt_nsxt_mgrb_ip</f>
        <v>Value Missing</v>
      </c>
    </row>
    <row r="91" spans="2:8" ht="20.05" customHeight="1" x14ac:dyDescent="0.35">
      <c r="B91" s="4" t="s">
        <v>3314</v>
      </c>
      <c r="C91" s="337" t="str">
        <f>mgmt_nsxt_mgrc_fqdn</f>
        <v>Value Missing</v>
      </c>
      <c r="D91" s="337" t="str">
        <f>mgmt_nsxt_mgrc_hostname</f>
        <v>Value Missing</v>
      </c>
      <c r="E91" s="337" t="str">
        <f>mgmt_nsxt_mgrc_ip</f>
        <v>Value Missing</v>
      </c>
    </row>
    <row r="92" spans="2:8" ht="20.05" customHeight="1" x14ac:dyDescent="0.35">
      <c r="B92" s="4" t="s">
        <v>3315</v>
      </c>
      <c r="C92" s="337" t="str">
        <f>mgmt_az1_en1_fqdn</f>
        <v>Value Missing</v>
      </c>
      <c r="D92" s="337" t="str">
        <f>mgmt_az1_en1_hostname</f>
        <v>Value Missing</v>
      </c>
      <c r="E92" s="337" t="str">
        <f>mgmt_az1_en1_mgmt_cidr</f>
        <v>Value Missing</v>
      </c>
    </row>
    <row r="93" spans="2:8" ht="20.05" customHeight="1" x14ac:dyDescent="0.35">
      <c r="B93" s="4" t="s">
        <v>3316</v>
      </c>
      <c r="C93" s="337" t="str">
        <f>mgmt_az1_en2_fqdn</f>
        <v>Value Missing</v>
      </c>
      <c r="D93" s="337" t="str">
        <f>mgmt_az1_en2_hostname</f>
        <v>Value Missing</v>
      </c>
      <c r="E93" s="337" t="str">
        <f>mgmt_az1_en2_mgmt_cidr</f>
        <v>Value Missing</v>
      </c>
    </row>
    <row r="94" spans="2:8" ht="20.05" customHeight="1" x14ac:dyDescent="0.35">
      <c r="B94" s="4" t="s">
        <v>3317</v>
      </c>
      <c r="C94" s="337" t="str">
        <f>xreg_vrops_nodea_fqdn</f>
        <v>Value Missing</v>
      </c>
      <c r="D94" s="337" t="str">
        <f>xreg_vrops_nodea_hostname</f>
        <v>Value Missing</v>
      </c>
      <c r="E94" s="337" t="str">
        <f>xreg_vrops_nodea_ip</f>
        <v>Value Missing</v>
      </c>
    </row>
    <row r="95" spans="2:8" ht="20.05" customHeight="1" x14ac:dyDescent="0.35">
      <c r="B95" s="4" t="s">
        <v>1961</v>
      </c>
      <c r="C95" s="337" t="str">
        <f>xreg_vrops_nodeb_fqdn</f>
        <v>Value Missing</v>
      </c>
      <c r="D95" s="337" t="str">
        <f>xreg_vrops_nodeb_hostname</f>
        <v>Value Missing</v>
      </c>
      <c r="E95" s="337" t="str">
        <f>xreg_vrops_nodeb_ip</f>
        <v>Value Missing</v>
      </c>
    </row>
    <row r="96" spans="2:8" ht="20.05" customHeight="1" x14ac:dyDescent="0.35">
      <c r="B96" s="4" t="s">
        <v>1967</v>
      </c>
      <c r="C96" s="337" t="str">
        <f>xreg_vrops_nodec_fqdn</f>
        <v>Value Missing</v>
      </c>
      <c r="D96" s="337" t="str">
        <f>xreg_vrops_nodec_hostname</f>
        <v>Value Missing</v>
      </c>
      <c r="E96" s="337" t="str">
        <f>xreg_vrops_nodec_ip</f>
        <v>Value Missing</v>
      </c>
    </row>
    <row r="97" spans="2:8" ht="20.05" customHeight="1" x14ac:dyDescent="0.35">
      <c r="B97" s="4" t="s">
        <v>3318</v>
      </c>
      <c r="C97" s="337" t="str">
        <f>xreg_vrops_virtual_fqdn</f>
        <v>Value Missing</v>
      </c>
      <c r="D97" s="337" t="str">
        <f>xreg_vrops_virtual_hostname</f>
        <v>Value Missing</v>
      </c>
      <c r="E97" s="337" t="str">
        <f>xreg_vrops_virtual_ip</f>
        <v>Value Missing</v>
      </c>
    </row>
    <row r="98" spans="2:8" ht="20.05" customHeight="1" x14ac:dyDescent="0.35">
      <c r="B98" s="4" t="s">
        <v>2458</v>
      </c>
      <c r="C98" s="337" t="str">
        <f>xreg_vra_virtual_fqdn</f>
        <v>Value Missing</v>
      </c>
      <c r="D98" s="337" t="str">
        <f>xreg_vra_virtual_hostname</f>
        <v>Value Missing</v>
      </c>
      <c r="E98" s="337" t="str">
        <f>xreg_vra_virtual_ip</f>
        <v>Value Missing</v>
      </c>
    </row>
    <row r="99" spans="2:8" ht="20.05" customHeight="1" x14ac:dyDescent="0.35">
      <c r="B99" s="4" t="s">
        <v>3319</v>
      </c>
      <c r="C99" s="337" t="s">
        <v>632</v>
      </c>
      <c r="D99" s="337" t="s">
        <v>632</v>
      </c>
      <c r="E99" s="337" t="str">
        <f>xreg_vra_nodea_ip</f>
        <v>Value Missing</v>
      </c>
    </row>
    <row r="100" spans="2:8" ht="20.05" customHeight="1" x14ac:dyDescent="0.35">
      <c r="B100" s="4" t="s">
        <v>3320</v>
      </c>
      <c r="C100" s="337" t="s">
        <v>632</v>
      </c>
      <c r="D100" s="337" t="s">
        <v>632</v>
      </c>
      <c r="E100" s="337" t="str">
        <f>xreg_vra_nodeb_ip</f>
        <v>Value Missing</v>
      </c>
    </row>
    <row r="101" spans="2:8" ht="20.05" customHeight="1" x14ac:dyDescent="0.35">
      <c r="B101" s="4" t="s">
        <v>3321</v>
      </c>
      <c r="C101" s="337" t="s">
        <v>632</v>
      </c>
      <c r="D101" s="337" t="s">
        <v>632</v>
      </c>
      <c r="E101" s="337" t="str">
        <f>xreg_vra_nodec_ip</f>
        <v>Value Missing</v>
      </c>
    </row>
    <row r="102" spans="2:8" ht="20.05" customHeight="1" x14ac:dyDescent="0.35">
      <c r="B102" s="4" t="s">
        <v>3322</v>
      </c>
      <c r="C102" s="337" t="s">
        <v>632</v>
      </c>
      <c r="D102" s="337" t="s">
        <v>632</v>
      </c>
      <c r="E102" s="337" t="str">
        <f>xreg_vra_noded_ip</f>
        <v>Value Missing</v>
      </c>
    </row>
    <row r="103" spans="2:8" ht="20.05" customHeight="1" x14ac:dyDescent="0.35">
      <c r="B103" s="4" t="s">
        <v>3323</v>
      </c>
      <c r="C103" s="337" t="str">
        <f>flt_vidb_vip_fqdn</f>
        <v>Value Missing</v>
      </c>
      <c r="D103" s="337" t="str">
        <f t="array" ref="D103">flt_vidb_hostname</f>
        <v>Value Missing</v>
      </c>
      <c r="E103" s="337" t="str">
        <f>flt_vidb_vip_ip</f>
        <v>Value Missing</v>
      </c>
    </row>
    <row r="104" spans="2:8" ht="20.05" customHeight="1" x14ac:dyDescent="0.35">
      <c r="B104" s="4" t="s">
        <v>3324</v>
      </c>
      <c r="C104" s="337" t="s">
        <v>632</v>
      </c>
      <c r="D104" s="337" t="s">
        <v>632</v>
      </c>
      <c r="E104" s="337" t="str">
        <f>flt_vidb_nodea_ip</f>
        <v>Value Missing</v>
      </c>
    </row>
    <row r="105" spans="2:8" ht="20.05" customHeight="1" x14ac:dyDescent="0.35">
      <c r="B105" s="4" t="s">
        <v>3325</v>
      </c>
      <c r="C105" s="337" t="s">
        <v>632</v>
      </c>
      <c r="D105" s="337" t="s">
        <v>632</v>
      </c>
      <c r="E105" s="337" t="str">
        <f>flt_vidb_nodeb_ip</f>
        <v>Value Missing</v>
      </c>
    </row>
    <row r="106" spans="2:8" ht="20.05" customHeight="1" x14ac:dyDescent="0.35">
      <c r="B106" s="4" t="s">
        <v>3326</v>
      </c>
      <c r="C106" s="337" t="s">
        <v>632</v>
      </c>
      <c r="D106" s="337" t="s">
        <v>632</v>
      </c>
      <c r="E106" s="337" t="str">
        <f>flt_vidb_nodec_ip</f>
        <v>Value Missing</v>
      </c>
    </row>
    <row r="107" spans="2:8" ht="20.05" customHeight="1" x14ac:dyDescent="0.35">
      <c r="B107" s="4" t="s">
        <v>3327</v>
      </c>
      <c r="C107" s="337" t="s">
        <v>632</v>
      </c>
      <c r="D107" s="337" t="s">
        <v>632</v>
      </c>
      <c r="E107" s="337" t="str">
        <f>flt_vidb_noded_ip</f>
        <v>Value Missing</v>
      </c>
    </row>
    <row r="108" spans="2:8" ht="20.05" customHeight="1" x14ac:dyDescent="0.35">
      <c r="B108" s="4" t="s">
        <v>3328</v>
      </c>
      <c r="C108" s="337" t="s">
        <v>632</v>
      </c>
      <c r="D108" s="337" t="s">
        <v>632</v>
      </c>
      <c r="E108" s="337"/>
    </row>
    <row r="110" spans="2:8" ht="34" customHeight="1" x14ac:dyDescent="0.35">
      <c r="B110" s="509" t="s">
        <v>3329</v>
      </c>
      <c r="C110" s="510"/>
      <c r="D110" s="510"/>
      <c r="E110" s="510"/>
      <c r="F110" s="510"/>
      <c r="G110" s="510"/>
      <c r="H110" s="510"/>
    </row>
    <row r="111" spans="2:8" ht="20.05" customHeight="1" x14ac:dyDescent="0.35">
      <c r="B111" s="465" t="s">
        <v>3283</v>
      </c>
      <c r="C111" s="466"/>
      <c r="D111" s="466"/>
      <c r="E111" s="466"/>
      <c r="F111" s="466"/>
      <c r="G111" s="466"/>
      <c r="H111" s="466"/>
    </row>
    <row r="112" spans="2:8" ht="20.05" customHeight="1" x14ac:dyDescent="0.35">
      <c r="B112" s="43" t="s">
        <v>3295</v>
      </c>
      <c r="C112" s="43" t="s">
        <v>38</v>
      </c>
      <c r="D112" s="43" t="s">
        <v>302</v>
      </c>
      <c r="E112" s="130" t="s">
        <v>3308</v>
      </c>
    </row>
    <row r="113" spans="2:5" ht="20.05" customHeight="1" x14ac:dyDescent="0.35">
      <c r="B113" s="4" t="s">
        <v>215</v>
      </c>
      <c r="C113" s="337" t="str">
        <f>mgmt_az2_host1_fqdn</f>
        <v>Value Missing</v>
      </c>
      <c r="D113" s="337" t="str">
        <f>mgmt_az2_host1_hostname</f>
        <v>Value Missing</v>
      </c>
      <c r="E113" s="337" t="str">
        <f>mgmt_az2_host1_mgmt_ip</f>
        <v>Value Missing</v>
      </c>
    </row>
    <row r="114" spans="2:5" ht="20.05" customHeight="1" x14ac:dyDescent="0.35">
      <c r="B114" s="4" t="s">
        <v>217</v>
      </c>
      <c r="C114" s="337" t="str">
        <f>mgmt_az2_host2_fqdn</f>
        <v>Value Missing</v>
      </c>
      <c r="D114" s="337" t="str">
        <f>mgmt_az2_host2_hostname</f>
        <v>Value Missing</v>
      </c>
      <c r="E114" s="337" t="str">
        <f>mgmt_az2_host2_mgmt_ip</f>
        <v>Value Missing</v>
      </c>
    </row>
    <row r="115" spans="2:5" ht="20.05" customHeight="1" x14ac:dyDescent="0.35">
      <c r="B115" s="4" t="s">
        <v>219</v>
      </c>
      <c r="C115" s="337" t="str">
        <f>mgmt_az2_host3_fqdn</f>
        <v>Value Missing</v>
      </c>
      <c r="D115" s="337" t="str">
        <f>mgmt_az2_host3_hostname</f>
        <v>Value Missing</v>
      </c>
      <c r="E115" s="337" t="str">
        <f>mgmt_az2_host3_mgmt_ip</f>
        <v>Value Missing</v>
      </c>
    </row>
    <row r="116" spans="2:5" ht="20.05" customHeight="1" x14ac:dyDescent="0.35">
      <c r="B116" s="4" t="s">
        <v>221</v>
      </c>
      <c r="C116" s="337" t="str">
        <f>mgmt_az2_host4_fqdn</f>
        <v>Value Missing</v>
      </c>
      <c r="D116" s="337" t="str">
        <f>mgmt_az2_host4_hostname</f>
        <v>Value Missing</v>
      </c>
      <c r="E116" s="337" t="str">
        <f>mgmt_az2_host4_mgmt_ip</f>
        <v>Value Missing</v>
      </c>
    </row>
    <row r="117" spans="2:5" ht="20.05" customHeight="1" x14ac:dyDescent="0.35">
      <c r="B117" s="4" t="s">
        <v>223</v>
      </c>
      <c r="C117" s="337" t="str">
        <f>mgmt_az2_host5_fqdn</f>
        <v>Value Missing</v>
      </c>
      <c r="D117" s="337" t="str">
        <f>mgmt_az2_host5_hostname</f>
        <v>Value Missing</v>
      </c>
      <c r="E117" s="337" t="str">
        <f>mgmt_az2_host5_mgmt_ip</f>
        <v>Value Missing</v>
      </c>
    </row>
    <row r="118" spans="2:5" ht="20.05" customHeight="1" x14ac:dyDescent="0.35">
      <c r="B118" s="4" t="s">
        <v>225</v>
      </c>
      <c r="C118" s="337" t="str">
        <f>mgmt_az2_host6_fqdn</f>
        <v>Value Missing</v>
      </c>
      <c r="D118" s="337" t="str">
        <f>mgmt_az2_host6_hostname</f>
        <v>Value Missing</v>
      </c>
      <c r="E118" s="337" t="str">
        <f>mgmt_az2_host6_mgmt_ip</f>
        <v>Value Missing</v>
      </c>
    </row>
    <row r="119" spans="2:5" ht="20.05" customHeight="1" x14ac:dyDescent="0.35">
      <c r="B119" s="4" t="s">
        <v>227</v>
      </c>
      <c r="C119" s="337" t="str">
        <f>mgmt_az2_host7_fqdn</f>
        <v>Value Missing</v>
      </c>
      <c r="D119" s="337" t="str">
        <f>mgmt_az2_host7_hostname</f>
        <v>Value Missing</v>
      </c>
      <c r="E119" s="337" t="str">
        <f>mgmt_az2_host7_mgmt_ip</f>
        <v>Value Missing</v>
      </c>
    </row>
    <row r="120" spans="2:5" ht="20.05" customHeight="1" x14ac:dyDescent="0.35">
      <c r="B120" s="4" t="s">
        <v>229</v>
      </c>
      <c r="C120" s="337" t="str">
        <f>mgmt_az2_host8_fqdn</f>
        <v>Value Missing</v>
      </c>
      <c r="D120" s="337" t="str">
        <f>mgmt_az2_host8_hostname</f>
        <v>Value Missing</v>
      </c>
      <c r="E120" s="337" t="str">
        <f>mgmt_az2_host8_mgmt_ip</f>
        <v>Value Missing</v>
      </c>
    </row>
    <row r="121" spans="2:5" ht="20.05" customHeight="1" x14ac:dyDescent="0.35">
      <c r="B121" s="4" t="s">
        <v>231</v>
      </c>
      <c r="C121" s="337" t="str">
        <f>mgmt_az2_host9_fqdn</f>
        <v>Value Missing</v>
      </c>
      <c r="D121" s="337" t="str">
        <f>mgmt_az2_host9_hostname</f>
        <v>Value Missing</v>
      </c>
      <c r="E121" s="337" t="str">
        <f>mgmt_az2_host9_mgmt_ip</f>
        <v>Value Missing</v>
      </c>
    </row>
    <row r="122" spans="2:5" ht="20.05" customHeight="1" x14ac:dyDescent="0.35">
      <c r="B122" s="4" t="s">
        <v>233</v>
      </c>
      <c r="C122" s="337" t="str">
        <f>mgmt_az2_host10_fqdn</f>
        <v>Value Missing</v>
      </c>
      <c r="D122" s="337" t="str">
        <f>mgmt_az2_host10_hostname</f>
        <v>Value Missing</v>
      </c>
      <c r="E122" s="337" t="str">
        <f>mgmt_az2_host10_mgmt_ip</f>
        <v>Value Missing</v>
      </c>
    </row>
    <row r="123" spans="2:5" ht="20.05" customHeight="1" x14ac:dyDescent="0.35">
      <c r="B123" s="4" t="s">
        <v>235</v>
      </c>
      <c r="C123" s="337" t="str">
        <f>mgmt_az2_host11_fqdn</f>
        <v>Value Missing</v>
      </c>
      <c r="D123" s="337" t="str">
        <f>mgmt_az2_host11_hostname</f>
        <v>Value Missing</v>
      </c>
      <c r="E123" s="337" t="str">
        <f>mgmt_az2_host11_mgmt_ip</f>
        <v>Value Missing</v>
      </c>
    </row>
    <row r="124" spans="2:5" ht="20.05" customHeight="1" x14ac:dyDescent="0.35">
      <c r="B124" s="4" t="s">
        <v>237</v>
      </c>
      <c r="C124" s="337" t="str">
        <f>mgmt_az2_host12_fqdn</f>
        <v>Value Missing</v>
      </c>
      <c r="D124" s="337" t="str">
        <f>mgmt_az2_host12_hostname</f>
        <v>Value Missing</v>
      </c>
      <c r="E124" s="337" t="str">
        <f>mgmt_az2_host12_mgmt_ip</f>
        <v>Value Missing</v>
      </c>
    </row>
    <row r="125" spans="2:5" ht="20.05" customHeight="1" x14ac:dyDescent="0.35">
      <c r="B125" s="4" t="s">
        <v>239</v>
      </c>
      <c r="C125" s="337" t="str">
        <f>mgmt_az2_host13_fqdn</f>
        <v>Value Missing</v>
      </c>
      <c r="D125" s="337" t="str">
        <f>mgmt_az2_host13_hostname</f>
        <v>Value Missing</v>
      </c>
      <c r="E125" s="337" t="str">
        <f>mgmt_az2_host13_mgmt_ip</f>
        <v>Value Missing</v>
      </c>
    </row>
    <row r="126" spans="2:5" ht="20.05" customHeight="1" x14ac:dyDescent="0.35">
      <c r="B126" s="4" t="s">
        <v>241</v>
      </c>
      <c r="C126" s="337" t="str">
        <f>mgmt_az2_host14_fqdn</f>
        <v>Value Missing</v>
      </c>
      <c r="D126" s="337" t="str">
        <f>mgmt_az2_host14_hostname</f>
        <v>Value Missing</v>
      </c>
      <c r="E126" s="337" t="str">
        <f>mgmt_az2_host14_mgmt_ip</f>
        <v>Value Missing</v>
      </c>
    </row>
    <row r="127" spans="2:5" ht="20.05" customHeight="1" x14ac:dyDescent="0.35">
      <c r="B127" s="4" t="s">
        <v>243</v>
      </c>
      <c r="C127" s="337" t="str">
        <f>mgmt_az2_host15_fqdn</f>
        <v>Value Missing</v>
      </c>
      <c r="D127" s="337" t="str">
        <f>mgmt_az2_host15_hostname</f>
        <v>Value Missing</v>
      </c>
      <c r="E127" s="337" t="str">
        <f>mgmt_az2_host15_mgmt_ip</f>
        <v>Value Missing</v>
      </c>
    </row>
    <row r="128" spans="2:5" ht="20.05" customHeight="1" x14ac:dyDescent="0.35">
      <c r="B128" s="4" t="s">
        <v>245</v>
      </c>
      <c r="C128" s="337" t="str">
        <f>mgmt_az2_host16_fqdn</f>
        <v>Value Missing</v>
      </c>
      <c r="D128" s="337" t="str">
        <f>mgmt_az2_host16_hostname</f>
        <v>Value Missing</v>
      </c>
      <c r="E128" s="337" t="str">
        <f>mgmt_az2_host16_mgmt_ip</f>
        <v>Value Missing</v>
      </c>
    </row>
    <row r="130" spans="2:9" ht="34" customHeight="1" x14ac:dyDescent="0.35">
      <c r="B130" s="642" t="s">
        <v>3330</v>
      </c>
      <c r="C130" s="642"/>
      <c r="D130" s="642"/>
      <c r="E130" s="642"/>
      <c r="F130" s="642"/>
      <c r="G130" s="642"/>
      <c r="H130" s="642"/>
    </row>
    <row r="131" spans="2:9" ht="15" customHeight="1" x14ac:dyDescent="0.35"/>
    <row r="132" spans="2:9" ht="32.049999999999997" customHeight="1" x14ac:dyDescent="0.35">
      <c r="B132" s="509" t="s">
        <v>3331</v>
      </c>
      <c r="C132" s="510"/>
      <c r="D132" s="510"/>
      <c r="E132" s="510"/>
      <c r="F132" s="510"/>
      <c r="G132" s="510"/>
      <c r="H132" s="510"/>
    </row>
    <row r="133" spans="2:9" ht="20.05" customHeight="1" x14ac:dyDescent="0.35">
      <c r="B133" s="465"/>
      <c r="C133" s="466"/>
      <c r="D133" s="466"/>
      <c r="E133" s="466"/>
      <c r="F133" s="466"/>
      <c r="G133" s="466"/>
      <c r="H133" s="466"/>
    </row>
    <row r="134" spans="2:9" ht="20.05" customHeight="1" x14ac:dyDescent="0.35">
      <c r="B134" s="43" t="s">
        <v>3295</v>
      </c>
      <c r="C134" s="43" t="s">
        <v>2745</v>
      </c>
      <c r="D134" s="43" t="s">
        <v>3296</v>
      </c>
      <c r="E134" s="43" t="s">
        <v>3297</v>
      </c>
      <c r="F134" s="130" t="s">
        <v>3332</v>
      </c>
      <c r="G134" s="130" t="s">
        <v>3298</v>
      </c>
      <c r="H134" s="130" t="s">
        <v>3299</v>
      </c>
    </row>
    <row r="135" spans="2:9" ht="20.05" customHeight="1" x14ac:dyDescent="0.35">
      <c r="B135" s="4" t="s">
        <v>1272</v>
      </c>
      <c r="C135" s="337" t="str">
        <f>wld_cl01_az1_mgmt_vm_pg</f>
        <v>Value Missing</v>
      </c>
      <c r="D135" s="337" t="str">
        <f>wld_az1_mgmt_vm_vlan</f>
        <v>Value Missing</v>
      </c>
      <c r="E135" s="337" t="str">
        <f>wld_az1_mgmt_vm_cidr</f>
        <v>Value Missing</v>
      </c>
      <c r="F135" s="337" t="str">
        <f>wld_az1_mgmt_vm_network</f>
        <v>Value Missing</v>
      </c>
      <c r="G135" s="337" t="str">
        <f>wld_az1_mgmt_vm_gateway_ip</f>
        <v>Value Missing</v>
      </c>
      <c r="H135" s="337" t="str">
        <f>wld_az1_mgmt_vm_mtu</f>
        <v>Value Missing</v>
      </c>
    </row>
    <row r="136" spans="2:9" ht="20.05" customHeight="1" x14ac:dyDescent="0.35">
      <c r="B136" s="4" t="s">
        <v>3300</v>
      </c>
      <c r="C136" s="337" t="str">
        <f>wld_cl01_az1_mgmt_pg</f>
        <v>Value Missing</v>
      </c>
      <c r="D136" s="337" t="str">
        <f>wld_az1_mgmt_vlan</f>
        <v>Value Missing</v>
      </c>
      <c r="E136" s="337" t="str">
        <f>wld_az1_mgmt_cidr</f>
        <v>Value Missing</v>
      </c>
      <c r="F136" s="337" t="str">
        <f>wld_az1_mgmt_network</f>
        <v>Value Missing</v>
      </c>
      <c r="G136" s="337" t="str">
        <f>wld_az1_mgmt_gateway_ip</f>
        <v>Value Missing</v>
      </c>
      <c r="H136" s="337" t="str">
        <f>wld_az1_mgmt_mtu</f>
        <v>Value Missing</v>
      </c>
    </row>
    <row r="137" spans="2:9" ht="20.05" customHeight="1" x14ac:dyDescent="0.35">
      <c r="B137" s="4" t="s">
        <v>251</v>
      </c>
      <c r="C137" s="337" t="str">
        <f>wld_cl01_az1_vmotion_pg</f>
        <v>Value Missing</v>
      </c>
      <c r="D137" s="337" t="str">
        <f>wld_az1_vmotion_vlan</f>
        <v>Value Missing</v>
      </c>
      <c r="E137" s="337" t="str">
        <f>wld_az1_vmotion_cidr</f>
        <v>Value Missing</v>
      </c>
      <c r="F137" s="337" t="str">
        <f>wld_az1_vmotion_network</f>
        <v>Value Missing</v>
      </c>
      <c r="G137" s="337" t="str">
        <f>wld_az1_vmotion_gateway_ip</f>
        <v>Value Missing</v>
      </c>
      <c r="H137" s="337" t="str">
        <f>wld_az1_vmotion_mtu</f>
        <v>Value Missing</v>
      </c>
    </row>
    <row r="138" spans="2:9" ht="20.05" customHeight="1" x14ac:dyDescent="0.35">
      <c r="B138" s="4" t="s">
        <v>257</v>
      </c>
      <c r="C138" s="337" t="str">
        <f>wld_cl01_az1_principal_storage_pg</f>
        <v>Value Missing</v>
      </c>
      <c r="D138" s="337" t="str">
        <f>wld_az1_principal_storage_vlan</f>
        <v>Value Missing</v>
      </c>
      <c r="E138" s="337" t="str">
        <f>wld_az1_principal_storage_cidr</f>
        <v>Value Missing</v>
      </c>
      <c r="F138" s="337" t="str">
        <f>wld_az1_principal_storage_network</f>
        <v>Value Missing</v>
      </c>
      <c r="G138" s="337" t="str">
        <f>wld_az1_principal_storage_gateway_ip</f>
        <v>Value Missing</v>
      </c>
      <c r="H138" s="337" t="str">
        <f>wld_az1_principal_storage_mtu</f>
        <v>Value Missing</v>
      </c>
    </row>
    <row r="139" spans="2:9" ht="20.05" customHeight="1" x14ac:dyDescent="0.35">
      <c r="B139" s="4" t="s">
        <v>1278</v>
      </c>
      <c r="C139" s="337" t="str">
        <f>wld_az1_host_overlay_pg</f>
        <v>N/A</v>
      </c>
      <c r="D139" s="337" t="str">
        <f>wld_az1_host_overlay_vlan</f>
        <v>Value Missing</v>
      </c>
      <c r="E139" s="337" t="str">
        <f>wld_az1_host_overlay_cidr</f>
        <v>Value Missing</v>
      </c>
      <c r="F139" s="337" t="str">
        <f>wld_az1_host_overlay_network</f>
        <v>Value Missing</v>
      </c>
      <c r="G139" s="337" t="str">
        <f>wld_az1_host_overlay_gateway_ip</f>
        <v>Value Missing</v>
      </c>
      <c r="H139" s="337" t="str">
        <f>wld_az1_host_overlay_mtu</f>
        <v>Value Missing</v>
      </c>
    </row>
    <row r="140" spans="2:9" ht="20.05" customHeight="1" x14ac:dyDescent="0.35">
      <c r="B140" s="4" t="s">
        <v>3305</v>
      </c>
      <c r="C140" s="337" t="str">
        <f>wld_vrms_pg</f>
        <v>Value Missing</v>
      </c>
      <c r="D140" s="337" t="str">
        <f>wld_az1_vrms_vlan</f>
        <v>Value Missing</v>
      </c>
      <c r="E140" s="337" t="str">
        <f>wld_az1_vrms_cidr</f>
        <v>Value Missing</v>
      </c>
      <c r="F140" s="337" t="str">
        <f>wld_az1_vrms_network</f>
        <v>Value Missing</v>
      </c>
      <c r="G140" s="337" t="str">
        <f>wld_az1_vrms_gateway_ip</f>
        <v>Value Missing</v>
      </c>
      <c r="H140" s="337" t="str">
        <f>wld_az1_vrms_mtu</f>
        <v>Value Missing</v>
      </c>
    </row>
    <row r="141" spans="2:9" ht="20.05" customHeight="1" x14ac:dyDescent="0.35">
      <c r="B141" s="4" t="s">
        <v>3301</v>
      </c>
      <c r="C141" s="337" t="str">
        <f>wld_cl01_az1_uplink01_pg</f>
        <v>Value Missing</v>
      </c>
      <c r="D141" s="337" t="str">
        <f>wld_az1_uplink01_vlan</f>
        <v>Value Missing</v>
      </c>
      <c r="E141" s="337" t="str">
        <f>wld_az1_uplink01_cidr</f>
        <v>Value Missing</v>
      </c>
      <c r="F141" s="337" t="str">
        <f>wld_az1_uplink01_network</f>
        <v>Value Missing</v>
      </c>
      <c r="G141" s="337" t="str">
        <f>wld_az1_uplink01_gateway_ip</f>
        <v>Value Missing</v>
      </c>
      <c r="H141" s="337" t="str">
        <f>wld_az1_uplink01_mtu</f>
        <v>Value Missing</v>
      </c>
    </row>
    <row r="142" spans="2:9" ht="20.05" customHeight="1" x14ac:dyDescent="0.35">
      <c r="B142" s="17" t="s">
        <v>3302</v>
      </c>
      <c r="C142" s="337" t="str">
        <f>wld_cl01_az1_uplink02_pg</f>
        <v>Value Missing</v>
      </c>
      <c r="D142" s="337" t="str">
        <f>wld_az1_uplink02_vlan</f>
        <v>Value Missing</v>
      </c>
      <c r="E142" s="337" t="str">
        <f>wld_az1_uplink02_cidr</f>
        <v>Value Missing</v>
      </c>
      <c r="F142" s="337" t="str">
        <f>wld_az1_uplink02_network</f>
        <v>Value Missing</v>
      </c>
      <c r="G142" s="337" t="str">
        <f>wld_az1_uplink02_gateway_ip</f>
        <v>Value Missing</v>
      </c>
      <c r="H142" s="337" t="str">
        <f>wld_az1_uplink02_mtu</f>
        <v>Value Missing</v>
      </c>
      <c r="I142" s="41"/>
    </row>
    <row r="143" spans="2:9" ht="20.05" customHeight="1" x14ac:dyDescent="0.35">
      <c r="B143" s="17" t="s">
        <v>1287</v>
      </c>
      <c r="C143" s="337" t="str">
        <f>wld_az1_edge_overlay_pg</f>
        <v>N/A</v>
      </c>
      <c r="D143" s="337" t="str">
        <f>wld_az1_edge_overlay_vlan</f>
        <v>Value Missing</v>
      </c>
      <c r="E143" s="337" t="str">
        <f>wld_az1_edge_overlay_cidr</f>
        <v>Value Missing</v>
      </c>
      <c r="F143" s="337" t="str">
        <f>wld_az1_edge_overlay_network</f>
        <v>Value Missing</v>
      </c>
      <c r="G143" s="337" t="str">
        <f>wld_az1_edge_overlay_gateway_ip</f>
        <v>Value Missing</v>
      </c>
      <c r="H143" s="337" t="str">
        <f>wld_az1_edge_overlay_mtu</f>
        <v>N/A</v>
      </c>
      <c r="I143" s="41"/>
    </row>
    <row r="144" spans="2:9" ht="20.05" customHeight="1" x14ac:dyDescent="0.35">
      <c r="B144" s="4" t="s">
        <v>1382</v>
      </c>
      <c r="C144" s="337" t="str">
        <f>wld_az1_rtep_overlay_pg</f>
        <v>N/A</v>
      </c>
      <c r="D144" s="337" t="str">
        <f>wld_az1_rtep_overlay_vlan</f>
        <v>Value Missing</v>
      </c>
      <c r="E144" s="337" t="str">
        <f>wld_az1_rtep_overlay_cidr</f>
        <v>Value Missing</v>
      </c>
      <c r="F144" s="337" t="str">
        <f>wld_az1_rtep_overlay_network</f>
        <v>Value Missing</v>
      </c>
      <c r="G144" s="337" t="str">
        <f>wld_az1_rtep_overlay_gateway_ip</f>
        <v>Value Missing</v>
      </c>
      <c r="H144" s="337">
        <f>wld_az1_rtep_overlay_mtu</f>
        <v>0</v>
      </c>
    </row>
    <row r="146" spans="2:8" ht="34" customHeight="1" x14ac:dyDescent="0.35">
      <c r="B146" s="509" t="s">
        <v>3333</v>
      </c>
      <c r="C146" s="510"/>
      <c r="D146" s="510"/>
      <c r="E146" s="510"/>
      <c r="F146" s="510"/>
      <c r="G146" s="510"/>
      <c r="H146" s="510"/>
    </row>
    <row r="147" spans="2:8" ht="20.05" customHeight="1" x14ac:dyDescent="0.35">
      <c r="B147" s="465"/>
      <c r="C147" s="466"/>
      <c r="D147" s="466"/>
      <c r="E147" s="466"/>
      <c r="F147" s="466"/>
      <c r="G147" s="466"/>
      <c r="H147" s="466"/>
    </row>
    <row r="148" spans="2:8" ht="20.05" customHeight="1" x14ac:dyDescent="0.35">
      <c r="B148" s="43" t="s">
        <v>3295</v>
      </c>
      <c r="C148" s="43" t="s">
        <v>1268</v>
      </c>
    </row>
    <row r="149" spans="2:8" ht="20.05" customHeight="1" x14ac:dyDescent="0.35">
      <c r="B149" s="4" t="s">
        <v>1025</v>
      </c>
      <c r="C149" s="337" t="str">
        <f>wld_en_asn</f>
        <v>Value Missing</v>
      </c>
    </row>
    <row r="150" spans="2:8" ht="20.05" customHeight="1" x14ac:dyDescent="0.35">
      <c r="B150" s="4" t="s">
        <v>168</v>
      </c>
      <c r="C150" s="337" t="str">
        <f>wld_az1_tor1_peer_ip</f>
        <v>Value Missing</v>
      </c>
    </row>
    <row r="151" spans="2:8" ht="20.05" customHeight="1" x14ac:dyDescent="0.35">
      <c r="B151" s="4" t="s">
        <v>169</v>
      </c>
      <c r="C151" s="337" t="str">
        <f>wld_az1_tor1_peer_asn</f>
        <v>Value Missing</v>
      </c>
    </row>
    <row r="152" spans="2:8" ht="20.05" customHeight="1" x14ac:dyDescent="0.35">
      <c r="B152" s="4" t="s">
        <v>170</v>
      </c>
      <c r="C152" s="337" t="str">
        <f>wld_az1_tor1_peer_bgp_password</f>
        <v>Value Missing</v>
      </c>
    </row>
    <row r="153" spans="2:8" ht="20.05" customHeight="1" x14ac:dyDescent="0.35">
      <c r="B153" s="4" t="s">
        <v>171</v>
      </c>
      <c r="C153" s="337" t="str">
        <f>wld_az1_tor2_peer_ip</f>
        <v>Value Missing</v>
      </c>
    </row>
    <row r="154" spans="2:8" ht="20.05" customHeight="1" x14ac:dyDescent="0.35">
      <c r="B154" s="4" t="s">
        <v>172</v>
      </c>
      <c r="C154" s="337" t="str">
        <f>wld_az1_tor2_peer_asn</f>
        <v>Value Missing</v>
      </c>
    </row>
    <row r="155" spans="2:8" ht="20.05" customHeight="1" x14ac:dyDescent="0.35">
      <c r="B155" s="4" t="s">
        <v>173</v>
      </c>
      <c r="C155" s="337" t="str">
        <f>wld_az1_tor2_peer_bgp_password</f>
        <v>Value Missing</v>
      </c>
    </row>
    <row r="157" spans="2:8" ht="34" customHeight="1" x14ac:dyDescent="0.35">
      <c r="B157" s="509" t="s">
        <v>3334</v>
      </c>
      <c r="C157" s="510"/>
      <c r="D157" s="510"/>
      <c r="E157" s="510"/>
      <c r="F157" s="510"/>
      <c r="G157" s="510"/>
      <c r="H157" s="510"/>
    </row>
    <row r="158" spans="2:8" ht="20.05" customHeight="1" x14ac:dyDescent="0.35">
      <c r="B158" s="465"/>
      <c r="C158" s="466"/>
      <c r="D158" s="466"/>
      <c r="E158" s="466"/>
      <c r="F158" s="466"/>
      <c r="G158" s="466"/>
      <c r="H158" s="466"/>
    </row>
    <row r="159" spans="2:8" ht="20.05" customHeight="1" x14ac:dyDescent="0.35">
      <c r="B159" s="43" t="s">
        <v>3295</v>
      </c>
      <c r="C159" s="43" t="s">
        <v>2745</v>
      </c>
      <c r="D159" s="43" t="s">
        <v>85</v>
      </c>
      <c r="E159" s="43" t="s">
        <v>2170</v>
      </c>
      <c r="F159" s="130" t="s">
        <v>252</v>
      </c>
      <c r="G159" s="130" t="s">
        <v>187</v>
      </c>
      <c r="H159" s="130" t="s">
        <v>160</v>
      </c>
    </row>
    <row r="160" spans="2:8" ht="20.05" customHeight="1" x14ac:dyDescent="0.35">
      <c r="B160" s="4" t="s">
        <v>1272</v>
      </c>
      <c r="C160" s="337" t="str">
        <f>IF(wld_stretched_cluster_result="Excluded","Not Required",wld_cl01_az1_mgmt_vm_pg)</f>
        <v>Not Required</v>
      </c>
      <c r="D160" s="337" t="str">
        <f>IF(wld_stretched_cluster_result="Excluded","Not Required",wld_az1_mgmt_vm_vlan)</f>
        <v>Not Required</v>
      </c>
      <c r="E160" s="337" t="str">
        <f>IF(wld_stretched_cluster_result="Excluded","Not Required",wld_az1_mgmt_vm_cidr)</f>
        <v>Not Required</v>
      </c>
      <c r="F160" s="337" t="str">
        <f>IF(wld_stretched_cluster_result="Excluded","Not Required",wld_az1_mgmt_vm_network)</f>
        <v>Not Required</v>
      </c>
      <c r="G160" s="337" t="str">
        <f>IF(wld_stretched_cluster_result="Excluded","Not Required",wld_az1_mgmt_vm_gateway_ip)</f>
        <v>Not Required</v>
      </c>
      <c r="H160" s="337" t="str">
        <f>IF(wld_stretched_cluster_result="Excluded","Not Required",wld_az1_mgmt_vm_mtu)</f>
        <v>Not Required</v>
      </c>
    </row>
    <row r="161" spans="2:8" ht="20.05" customHeight="1" x14ac:dyDescent="0.35">
      <c r="B161" s="4" t="s">
        <v>3300</v>
      </c>
      <c r="C161" s="337" t="str">
        <f>wld_cl01_az2_mgmt_pg</f>
        <v>Value Missing</v>
      </c>
      <c r="D161" s="337" t="str">
        <f>wld_az2_mgmt_vlan</f>
        <v>Value Missing</v>
      </c>
      <c r="E161" s="337" t="str">
        <f>wld_az2_mgmt_cidr</f>
        <v>Value Missing</v>
      </c>
      <c r="F161" s="337" t="str">
        <f t="array" ref="F161">wld_az2_mgmt_network</f>
        <v>Value Missing</v>
      </c>
      <c r="G161" s="337" t="str">
        <f>wld_az2_mgmt_gateway_ip</f>
        <v>Value Missing</v>
      </c>
      <c r="H161" s="337" t="str">
        <f>wld_az2_mgmt_mtu</f>
        <v>Value Missing</v>
      </c>
    </row>
    <row r="162" spans="2:8" ht="20.05" customHeight="1" x14ac:dyDescent="0.35">
      <c r="B162" s="4" t="s">
        <v>251</v>
      </c>
      <c r="C162" s="337" t="str">
        <f>wld_cl01_az2_vmotion_pg</f>
        <v>Value Missing</v>
      </c>
      <c r="D162" s="337" t="str">
        <f>wld_az2_vmotion_vlan</f>
        <v>Value Missing</v>
      </c>
      <c r="E162" s="337" t="str">
        <f>wld_az2_vmotion_cidr</f>
        <v>Value Missing</v>
      </c>
      <c r="F162" s="337" t="str">
        <f>wld_az2_vmotion_network</f>
        <v>Value Missing</v>
      </c>
      <c r="G162" s="337" t="str">
        <f>wld_az2_vmotion_gateway_ip</f>
        <v>Value Missing</v>
      </c>
      <c r="H162" s="337" t="str">
        <f>wld_az2_vmotion_mtu</f>
        <v>Value Missing</v>
      </c>
    </row>
    <row r="163" spans="2:8" ht="20.05" customHeight="1" x14ac:dyDescent="0.35">
      <c r="B163" s="4" t="s">
        <v>257</v>
      </c>
      <c r="C163" s="337" t="str">
        <f>wld_cl01_az2_principal_storage_pg</f>
        <v>Value Missing</v>
      </c>
      <c r="D163" s="337" t="str">
        <f>wld_az2_principal_storage_vlan</f>
        <v>Value Missing</v>
      </c>
      <c r="E163" s="337" t="str">
        <f>wld_az2_principal_storage_cidr</f>
        <v>Value Missing</v>
      </c>
      <c r="F163" s="337" t="str">
        <f>wld_az2_principal_storage_network</f>
        <v>Value Missing</v>
      </c>
      <c r="G163" s="337" t="str">
        <f>wld_az2_principal_storage_gateway_ip</f>
        <v>Value Missing</v>
      </c>
      <c r="H163" s="337" t="str">
        <f>wld_az2_principal_storage_mtu</f>
        <v>Value Missing</v>
      </c>
    </row>
    <row r="164" spans="2:8" ht="20.05" customHeight="1" x14ac:dyDescent="0.35">
      <c r="B164" s="4" t="s">
        <v>1278</v>
      </c>
      <c r="C164" s="337" t="str">
        <f t="array" ref="C164">wld_az2_host_overlay_pg</f>
        <v>N/A</v>
      </c>
      <c r="D164" s="337" t="str">
        <f>wld_az2_host_overlay_vlan</f>
        <v>Value Missing</v>
      </c>
      <c r="E164" s="337" t="str">
        <f>wld_az2_host_overlay_cidr</f>
        <v>Value Missing</v>
      </c>
      <c r="F164" s="337" t="str">
        <f>wld_az2_host_overlay_network</f>
        <v>Value Missing</v>
      </c>
      <c r="G164" s="337" t="str">
        <f>wld_az2_host_overlay_gateway_ip</f>
        <v>Value Missing</v>
      </c>
      <c r="H164" s="337" t="str">
        <f>wld_az2_host_overlay_mtu</f>
        <v>Value Missing</v>
      </c>
    </row>
    <row r="165" spans="2:8" ht="20.05" customHeight="1" x14ac:dyDescent="0.35">
      <c r="B165" s="4" t="s">
        <v>3305</v>
      </c>
      <c r="C165" s="337" t="str">
        <f>wld_vrms_pg</f>
        <v>Value Missing</v>
      </c>
      <c r="D165" s="337" t="str">
        <f>wld_az2_vrms_vlan</f>
        <v>Value Missing</v>
      </c>
      <c r="E165" s="337" t="str">
        <f>wld_az2_vrms_cidr</f>
        <v>Value Missing</v>
      </c>
      <c r="F165" s="337" t="str">
        <f>wld_az2_vrms_network</f>
        <v>Value Missing</v>
      </c>
      <c r="G165" s="337" t="str">
        <f>wld_az2_vrms_gateway_ip</f>
        <v>Value Missing</v>
      </c>
      <c r="H165" s="337" t="str">
        <f>wld_az2_vrms_mtu</f>
        <v>Value Missing</v>
      </c>
    </row>
    <row r="166" spans="2:8" ht="20.05" customHeight="1" x14ac:dyDescent="0.35">
      <c r="B166" s="4" t="s">
        <v>3301</v>
      </c>
      <c r="C166" s="337" t="str">
        <f t="array" ref="C166">wld_cl01_az2_uplink01_pg</f>
        <v>Value Missing</v>
      </c>
      <c r="D166" s="337" t="str">
        <f>wld_az2_uplink01_vlan</f>
        <v>Value Missing</v>
      </c>
      <c r="E166" s="337" t="str">
        <f>wld_az2_uplink01_cidr</f>
        <v>Value Missing</v>
      </c>
      <c r="F166" s="337" t="str">
        <f>wld_az2_uplink02_network</f>
        <v>Value Missing</v>
      </c>
      <c r="G166" s="337" t="str">
        <f>wld_az2_uplink01_gateway_ip</f>
        <v>Value Missing</v>
      </c>
      <c r="H166" s="337" t="str">
        <f>wld_az2_uplink01_mtu</f>
        <v>Value Missing</v>
      </c>
    </row>
    <row r="167" spans="2:8" ht="20.05" customHeight="1" x14ac:dyDescent="0.35">
      <c r="B167" s="17" t="s">
        <v>3302</v>
      </c>
      <c r="C167" s="337" t="str">
        <f t="array" ref="C167">wld_cl01_az2_uplink02_pg</f>
        <v>Value Missing</v>
      </c>
      <c r="D167" s="337" t="str">
        <f>wld_az2_uplink02_vlan</f>
        <v>Value Missing</v>
      </c>
      <c r="E167" s="337" t="str">
        <f>wld_az2_uplink02_cidr</f>
        <v>Value Missing</v>
      </c>
      <c r="F167" s="337" t="str">
        <f>wld_az2_uplink02_network</f>
        <v>Value Missing</v>
      </c>
      <c r="G167" s="337" t="str">
        <f>wld_az2_uplink02_gateway_ip</f>
        <v>Value Missing</v>
      </c>
      <c r="H167" s="337" t="str">
        <f>wld_az2_uplink02_mtu</f>
        <v>Value Missing</v>
      </c>
    </row>
    <row r="168" spans="2:8" ht="20.05" customHeight="1" x14ac:dyDescent="0.35">
      <c r="B168" s="17" t="s">
        <v>1287</v>
      </c>
      <c r="C168" s="337" t="str">
        <f t="array" ref="C168">wld_az2_edge_overlay_pg</f>
        <v>N/A</v>
      </c>
      <c r="D168" s="337" t="str">
        <f>wld_az2_edge_overlay_vlan</f>
        <v>Value Missing</v>
      </c>
      <c r="E168" s="337" t="str">
        <f>wld_az2_edge_overlay_cidr</f>
        <v>Value Missing</v>
      </c>
      <c r="F168" s="337" t="str">
        <f>wld_az2_edge_overlay_network</f>
        <v>Value Missing</v>
      </c>
      <c r="G168" s="337" t="str">
        <f>wld_az2_edge_overlay_gateway_ip</f>
        <v>Value Missing</v>
      </c>
      <c r="H168" s="337" t="str">
        <f>wld_az2_edge_overlay_mtu</f>
        <v>N/A</v>
      </c>
    </row>
    <row r="169" spans="2:8" ht="20.05" customHeight="1" x14ac:dyDescent="0.35">
      <c r="B169" s="4" t="s">
        <v>1382</v>
      </c>
      <c r="C169" s="337" t="str">
        <f>wld_az1_rtep_overlay_pg</f>
        <v>N/A</v>
      </c>
      <c r="D169" s="337" t="str">
        <f>wld_az2_rtep_overlay_vlan</f>
        <v>Value Missing</v>
      </c>
      <c r="E169" s="337" t="str">
        <f>wld_az2_rtep_overlay_cidr</f>
        <v>Value Missing</v>
      </c>
      <c r="F169" s="337" t="str">
        <f>wld_az1_rtep_overlay_network</f>
        <v>Value Missing</v>
      </c>
      <c r="G169" s="337" t="str">
        <f>wld_az2_rtep_overlay_gateway_ip</f>
        <v>Value Missing</v>
      </c>
      <c r="H169" s="337">
        <f>wld_az2_rtep_overlay_mtu</f>
        <v>0</v>
      </c>
    </row>
    <row r="171" spans="2:8" ht="34" customHeight="1" x14ac:dyDescent="0.35">
      <c r="B171" s="509" t="s">
        <v>3335</v>
      </c>
      <c r="C171" s="510"/>
      <c r="D171" s="510"/>
      <c r="E171" s="510"/>
      <c r="F171" s="510"/>
      <c r="G171" s="510"/>
      <c r="H171" s="510"/>
    </row>
    <row r="172" spans="2:8" ht="20.05" customHeight="1" x14ac:dyDescent="0.35">
      <c r="B172" s="465"/>
      <c r="C172" s="466"/>
      <c r="D172" s="466"/>
      <c r="E172" s="466"/>
      <c r="F172" s="466"/>
      <c r="G172" s="466"/>
      <c r="H172" s="466"/>
    </row>
    <row r="173" spans="2:8" ht="20.05" customHeight="1" x14ac:dyDescent="0.35">
      <c r="B173" s="43" t="s">
        <v>3295</v>
      </c>
      <c r="C173" s="43" t="s">
        <v>1268</v>
      </c>
    </row>
    <row r="174" spans="2:8" ht="20.05" customHeight="1" x14ac:dyDescent="0.35">
      <c r="B174" s="4" t="s">
        <v>1025</v>
      </c>
      <c r="C174" s="337" t="str">
        <f>wld_en_asn</f>
        <v>Value Missing</v>
      </c>
    </row>
    <row r="175" spans="2:8" ht="20.05" customHeight="1" x14ac:dyDescent="0.35">
      <c r="B175" s="4" t="s">
        <v>168</v>
      </c>
      <c r="C175" s="337" t="str">
        <f>wld_az1_tor1_peer_ip</f>
        <v>Value Missing</v>
      </c>
    </row>
    <row r="176" spans="2:8" ht="20.05" customHeight="1" x14ac:dyDescent="0.35">
      <c r="B176" s="4" t="s">
        <v>169</v>
      </c>
      <c r="C176" s="337" t="str">
        <f>wld_az1_tor1_peer_asn</f>
        <v>Value Missing</v>
      </c>
    </row>
    <row r="177" spans="2:8" ht="20.05" customHeight="1" x14ac:dyDescent="0.35">
      <c r="B177" s="4" t="s">
        <v>170</v>
      </c>
      <c r="C177" s="337" t="str">
        <f>wld_az1_tor1_peer_bgp_password</f>
        <v>Value Missing</v>
      </c>
    </row>
    <row r="178" spans="2:8" ht="20.05" customHeight="1" x14ac:dyDescent="0.35">
      <c r="B178" s="4" t="s">
        <v>171</v>
      </c>
      <c r="C178" s="337" t="str">
        <f>wld_az1_tor2_peer_ip</f>
        <v>Value Missing</v>
      </c>
    </row>
    <row r="179" spans="2:8" ht="20.05" customHeight="1" x14ac:dyDescent="0.35">
      <c r="B179" s="4" t="s">
        <v>172</v>
      </c>
      <c r="C179" s="337" t="str">
        <f>wld_az1_tor2_peer_asn</f>
        <v>Value Missing</v>
      </c>
    </row>
    <row r="180" spans="2:8" ht="20.05" customHeight="1" x14ac:dyDescent="0.35">
      <c r="B180" s="4" t="s">
        <v>173</v>
      </c>
      <c r="C180" s="337" t="str">
        <f>wld_az1_tor2_peer_bgp_password</f>
        <v>Value Missing</v>
      </c>
    </row>
    <row r="182" spans="2:8" ht="32.049999999999997" customHeight="1" x14ac:dyDescent="0.35">
      <c r="B182" s="509" t="s">
        <v>3336</v>
      </c>
      <c r="C182" s="510"/>
      <c r="D182" s="510"/>
      <c r="E182" s="510"/>
      <c r="F182" s="510"/>
      <c r="G182" s="510"/>
      <c r="H182" s="510"/>
    </row>
    <row r="183" spans="2:8" ht="20.05" customHeight="1" x14ac:dyDescent="0.35">
      <c r="B183" s="465" t="s">
        <v>3283</v>
      </c>
      <c r="C183" s="466"/>
      <c r="D183" s="466"/>
      <c r="E183" s="466"/>
      <c r="F183" s="466"/>
      <c r="G183" s="466"/>
      <c r="H183" s="466"/>
    </row>
    <row r="184" spans="2:8" ht="20.05" customHeight="1" x14ac:dyDescent="0.35">
      <c r="B184" s="43" t="s">
        <v>3295</v>
      </c>
      <c r="C184" s="43" t="s">
        <v>38</v>
      </c>
      <c r="D184" s="43" t="s">
        <v>302</v>
      </c>
      <c r="E184" s="130" t="s">
        <v>3308</v>
      </c>
    </row>
    <row r="185" spans="2:8" ht="20.05" customHeight="1" x14ac:dyDescent="0.35">
      <c r="B185" s="4" t="s">
        <v>215</v>
      </c>
      <c r="C185" s="337" t="str">
        <f>wld_az1_host1_fqdn</f>
        <v>Value Missing</v>
      </c>
      <c r="D185" s="337" t="str">
        <f>wld_az1_host1_hostname</f>
        <v>Value Missing</v>
      </c>
      <c r="E185" s="337" t="str">
        <f>wld_az1_host1_mgmt_ip</f>
        <v>Value Missing</v>
      </c>
    </row>
    <row r="186" spans="2:8" ht="20.05" customHeight="1" x14ac:dyDescent="0.35">
      <c r="B186" s="4" t="s">
        <v>217</v>
      </c>
      <c r="C186" s="337" t="str">
        <f>wld_az1_host2_fqdn</f>
        <v>Value Missing</v>
      </c>
      <c r="D186" s="337" t="str">
        <f>wld_az1_host2_hostname</f>
        <v>Value Missing</v>
      </c>
      <c r="E186" s="337" t="str">
        <f>wld_az1_host2_mgmt_ip</f>
        <v>Value Missing</v>
      </c>
    </row>
    <row r="187" spans="2:8" ht="20.05" customHeight="1" x14ac:dyDescent="0.35">
      <c r="B187" s="4" t="s">
        <v>219</v>
      </c>
      <c r="C187" s="337" t="str">
        <f>wld_az1_host3_fqdn</f>
        <v>Value Missing</v>
      </c>
      <c r="D187" s="337" t="str">
        <f>wld_az1_host3_hostname</f>
        <v>Value Missing</v>
      </c>
      <c r="E187" s="337" t="str">
        <f>wld_az1_host3_mgmt_ip</f>
        <v>Value Missing</v>
      </c>
    </row>
    <row r="188" spans="2:8" ht="20.05" customHeight="1" x14ac:dyDescent="0.35">
      <c r="B188" s="4" t="s">
        <v>221</v>
      </c>
      <c r="C188" s="337" t="str">
        <f>wld_az1_host4_fqdn</f>
        <v>Value Missing</v>
      </c>
      <c r="D188" s="337" t="str">
        <f>wld_az1_host4_hostname</f>
        <v>Value Missing</v>
      </c>
      <c r="E188" s="337" t="str">
        <f>wld_az1_host4_mgmt_ip</f>
        <v>Value Missing</v>
      </c>
    </row>
    <row r="189" spans="2:8" ht="20.05" customHeight="1" x14ac:dyDescent="0.35">
      <c r="B189" s="4" t="s">
        <v>223</v>
      </c>
      <c r="C189" s="337" t="str">
        <f>wld_az1_host5_fqdn</f>
        <v>Value Missing</v>
      </c>
      <c r="D189" s="337" t="str">
        <f>wld_az1_host5_hostname</f>
        <v>Value Missing</v>
      </c>
      <c r="E189" s="337" t="str">
        <f>wld_az1_host5_mgmt_ip</f>
        <v>Value Missing</v>
      </c>
    </row>
    <row r="190" spans="2:8" ht="20.05" customHeight="1" x14ac:dyDescent="0.35">
      <c r="B190" s="4" t="s">
        <v>225</v>
      </c>
      <c r="C190" s="337" t="str">
        <f>wld_az1_host6_fqdn</f>
        <v>Value Missing</v>
      </c>
      <c r="D190" s="337" t="str">
        <f>wld_az1_host6_hostname</f>
        <v>Value Missing</v>
      </c>
      <c r="E190" s="337" t="str">
        <f>wld_az1_host6_mgmt_ip</f>
        <v>Value Missing</v>
      </c>
    </row>
    <row r="191" spans="2:8" ht="20.05" customHeight="1" x14ac:dyDescent="0.35">
      <c r="B191" s="4" t="s">
        <v>227</v>
      </c>
      <c r="C191" s="337" t="str">
        <f>wld_az1_host7_fqdn</f>
        <v>Value Missing</v>
      </c>
      <c r="D191" s="337" t="str">
        <f>wld_az1_host7_hostname</f>
        <v>Value Missing</v>
      </c>
      <c r="E191" s="337" t="str">
        <f>wld_az1_host7_mgmt_ip</f>
        <v>Value Missing</v>
      </c>
    </row>
    <row r="192" spans="2:8" ht="20.05" customHeight="1" x14ac:dyDescent="0.35">
      <c r="B192" s="4" t="s">
        <v>229</v>
      </c>
      <c r="C192" s="337" t="str">
        <f>wld_az1_host8_fqdn</f>
        <v>Value Missing</v>
      </c>
      <c r="D192" s="337" t="str">
        <f>wld_az1_host8_hostname</f>
        <v>Value Missing</v>
      </c>
      <c r="E192" s="337" t="str">
        <f>wld_az1_host8_mgmt_ip</f>
        <v>Value Missing</v>
      </c>
    </row>
    <row r="193" spans="2:8" ht="20.05" customHeight="1" x14ac:dyDescent="0.35">
      <c r="B193" s="4" t="s">
        <v>231</v>
      </c>
      <c r="C193" s="337" t="str">
        <f>wld_az1_host9_fqdn</f>
        <v>Value Missing</v>
      </c>
      <c r="D193" s="337" t="str">
        <f>wld_az1_host9_hostname</f>
        <v>Value Missing</v>
      </c>
      <c r="E193" s="337" t="str">
        <f>wld_az1_host9_mgmt_ip</f>
        <v>Value Missing</v>
      </c>
    </row>
    <row r="194" spans="2:8" ht="20.05" customHeight="1" x14ac:dyDescent="0.35">
      <c r="B194" s="4" t="s">
        <v>233</v>
      </c>
      <c r="C194" s="337" t="str">
        <f>wld_az1_host10_fqdn</f>
        <v>Value Missing</v>
      </c>
      <c r="D194" s="337" t="str">
        <f>wld_az1_host10_hostname</f>
        <v>Value Missing</v>
      </c>
      <c r="E194" s="337" t="str">
        <f>wld_az1_host10_mgmt_ip</f>
        <v>Value Missing</v>
      </c>
    </row>
    <row r="195" spans="2:8" ht="20.05" customHeight="1" x14ac:dyDescent="0.35">
      <c r="B195" s="4" t="s">
        <v>235</v>
      </c>
      <c r="C195" s="337" t="str">
        <f>wld_az1_host11_fqdn</f>
        <v>Value Missing</v>
      </c>
      <c r="D195" s="337" t="str">
        <f>wld_az1_host11_hostname</f>
        <v>Value Missing</v>
      </c>
      <c r="E195" s="337" t="str">
        <f>wld_az1_host11_mgmt_ip</f>
        <v>Value Missing</v>
      </c>
    </row>
    <row r="196" spans="2:8" ht="20.05" customHeight="1" x14ac:dyDescent="0.35">
      <c r="B196" s="4" t="s">
        <v>237</v>
      </c>
      <c r="C196" s="337" t="str">
        <f>wld_az1_host12_fqdn</f>
        <v>Value Missing</v>
      </c>
      <c r="D196" s="337" t="str">
        <f>wld_az1_host12_hostname</f>
        <v>Value Missing</v>
      </c>
      <c r="E196" s="337" t="str">
        <f>wld_az1_host12_mgmt_ip</f>
        <v>Value Missing</v>
      </c>
    </row>
    <row r="197" spans="2:8" ht="20.05" customHeight="1" x14ac:dyDescent="0.35">
      <c r="B197" s="4" t="s">
        <v>239</v>
      </c>
      <c r="C197" s="337" t="str">
        <f>wld_az1_host13_fqdn</f>
        <v>Value Missing</v>
      </c>
      <c r="D197" s="337" t="str">
        <f>wld_az1_host13_hostname</f>
        <v>Value Missing</v>
      </c>
      <c r="E197" s="337" t="str">
        <f>wld_az1_host13_mgmt_ip</f>
        <v>Value Missing</v>
      </c>
    </row>
    <row r="198" spans="2:8" ht="20.05" customHeight="1" x14ac:dyDescent="0.35">
      <c r="B198" s="4" t="s">
        <v>241</v>
      </c>
      <c r="C198" s="337" t="str">
        <f>wld_az1_host14_fqdn</f>
        <v>Value Missing</v>
      </c>
      <c r="D198" s="337" t="str">
        <f>wld_az1_host14_hostname</f>
        <v>Value Missing</v>
      </c>
      <c r="E198" s="337" t="str">
        <f>wld_az1_host14_mgmt_ip</f>
        <v>Value Missing</v>
      </c>
    </row>
    <row r="199" spans="2:8" ht="20.05" customHeight="1" x14ac:dyDescent="0.35">
      <c r="B199" s="4" t="s">
        <v>243</v>
      </c>
      <c r="C199" s="337" t="str">
        <f>wld_az1_host15_fqdn</f>
        <v>Value Missing</v>
      </c>
      <c r="D199" s="337" t="str">
        <f>wld_az1_host15_hostname</f>
        <v>Value Missing</v>
      </c>
      <c r="E199" s="337" t="str">
        <f>wld_az1_host15_mgmt_ip</f>
        <v>Value Missing</v>
      </c>
    </row>
    <row r="200" spans="2:8" ht="20.05" customHeight="1" x14ac:dyDescent="0.35">
      <c r="B200" s="4" t="s">
        <v>245</v>
      </c>
      <c r="C200" s="337" t="str">
        <f>wld_az1_host16_fqdn</f>
        <v>Value Missing</v>
      </c>
      <c r="D200" s="337" t="str">
        <f>wld_az1_host16_hostname</f>
        <v>Value Missing</v>
      </c>
      <c r="E200" s="337" t="str">
        <f>wld_az1_host16_mgmt_ip</f>
        <v>Value Missing</v>
      </c>
    </row>
    <row r="202" spans="2:8" ht="20.05" customHeight="1" x14ac:dyDescent="0.35">
      <c r="B202" s="465" t="s">
        <v>3059</v>
      </c>
      <c r="C202" s="466"/>
      <c r="D202" s="466"/>
      <c r="E202" s="466"/>
      <c r="F202" s="466"/>
      <c r="G202" s="466"/>
      <c r="H202" s="466"/>
    </row>
    <row r="203" spans="2:8" ht="20.05" customHeight="1" x14ac:dyDescent="0.35">
      <c r="B203" s="43" t="s">
        <v>3295</v>
      </c>
      <c r="C203" s="43" t="s">
        <v>38</v>
      </c>
      <c r="D203" s="43" t="s">
        <v>302</v>
      </c>
      <c r="E203" s="130" t="s">
        <v>3310</v>
      </c>
    </row>
    <row r="204" spans="2:8" ht="20.05" customHeight="1" x14ac:dyDescent="0.35">
      <c r="B204" s="4" t="s">
        <v>814</v>
      </c>
      <c r="C204" s="337" t="str">
        <f>wld_vc_fqdn</f>
        <v>Value Missing</v>
      </c>
      <c r="D204" s="337" t="str">
        <f>wld_vc_hostname</f>
        <v>Value Missing</v>
      </c>
      <c r="E204" s="337" t="str">
        <f>wld_vc_ip</f>
        <v>Value Missing</v>
      </c>
    </row>
    <row r="205" spans="2:8" ht="20.05" customHeight="1" x14ac:dyDescent="0.35">
      <c r="B205" s="4" t="s">
        <v>3311</v>
      </c>
      <c r="C205" s="337" t="str">
        <f>wld_nsxt_vip_fqdn</f>
        <v>Value Missing</v>
      </c>
      <c r="D205" s="337" t="str">
        <f>wld_nsxt_vip_fqdn</f>
        <v>Value Missing</v>
      </c>
      <c r="E205" s="337" t="str">
        <f>wld_nsxt_vip_ip</f>
        <v>Value Missing</v>
      </c>
    </row>
    <row r="206" spans="2:8" ht="20.05" customHeight="1" x14ac:dyDescent="0.35">
      <c r="B206" s="4" t="s">
        <v>3312</v>
      </c>
      <c r="C206" s="337" t="str">
        <f>wld_nsxt_mgra_fqdn</f>
        <v>Value Missing</v>
      </c>
      <c r="D206" s="337" t="str">
        <f>wld_nsxt_mgra_hostname</f>
        <v>Value Missing</v>
      </c>
      <c r="E206" s="337" t="str">
        <f>wld_nsxt_mgra_ip</f>
        <v>Value Missing</v>
      </c>
    </row>
    <row r="207" spans="2:8" ht="20.05" customHeight="1" x14ac:dyDescent="0.35">
      <c r="B207" s="4" t="s">
        <v>3313</v>
      </c>
      <c r="C207" s="337" t="str">
        <f>wld_nsxt_mgrb_fqdn</f>
        <v>Value Missing</v>
      </c>
      <c r="D207" s="337" t="str">
        <f>wld_nsxt_mgrb_hostname</f>
        <v>Value Missing</v>
      </c>
      <c r="E207" s="337" t="str">
        <f>wld_nsxt_mgrb_ip</f>
        <v>Value Missing</v>
      </c>
    </row>
    <row r="208" spans="2:8" ht="20.05" customHeight="1" x14ac:dyDescent="0.35">
      <c r="B208" s="4" t="s">
        <v>3314</v>
      </c>
      <c r="C208" s="337" t="str">
        <f>wld_nsxt_mgrc_fqdn</f>
        <v>Value Missing</v>
      </c>
      <c r="D208" s="337" t="str">
        <f>wld_nsxt_mgrc_hostname</f>
        <v>Value Missing</v>
      </c>
      <c r="E208" s="337" t="str">
        <f>wld_nsxt_mgrc_ip</f>
        <v>Value Missing</v>
      </c>
    </row>
    <row r="209" spans="2:8" ht="20.05" customHeight="1" x14ac:dyDescent="0.35">
      <c r="B209" s="4" t="s">
        <v>3315</v>
      </c>
      <c r="C209" s="337" t="str">
        <f>wld_az1_en1_fqdn</f>
        <v>Value Missing</v>
      </c>
      <c r="D209" s="337" t="str">
        <f>wld_az1_en1_hostname</f>
        <v>Value Missing</v>
      </c>
      <c r="E209" s="337" t="str">
        <f>wld_az1_en1_mgmt_cidr</f>
        <v>Value Missing</v>
      </c>
    </row>
    <row r="210" spans="2:8" ht="20.05" customHeight="1" x14ac:dyDescent="0.35">
      <c r="B210" s="4" t="s">
        <v>3316</v>
      </c>
      <c r="C210" s="337" t="str">
        <f>wld_az1_en2_fqdn</f>
        <v>Value Missing</v>
      </c>
      <c r="D210" s="337" t="str">
        <f>wld_az1_en2_hostname</f>
        <v>Value Missing</v>
      </c>
      <c r="E210" s="337" t="str">
        <f>wld_az1_en2_mgmt_cidr</f>
        <v>Value Missing</v>
      </c>
    </row>
    <row r="212" spans="2:8" ht="34" customHeight="1" x14ac:dyDescent="0.35">
      <c r="B212" s="509" t="s">
        <v>3337</v>
      </c>
      <c r="C212" s="510"/>
      <c r="D212" s="510"/>
      <c r="E212" s="510"/>
      <c r="F212" s="510"/>
      <c r="G212" s="510"/>
      <c r="H212" s="510"/>
    </row>
    <row r="213" spans="2:8" ht="20.05" customHeight="1" x14ac:dyDescent="0.35">
      <c r="B213" s="465" t="s">
        <v>3283</v>
      </c>
      <c r="C213" s="466"/>
      <c r="D213" s="466"/>
      <c r="E213" s="466"/>
      <c r="F213" s="466"/>
      <c r="G213" s="466"/>
      <c r="H213" s="466"/>
    </row>
    <row r="214" spans="2:8" ht="20.05" customHeight="1" x14ac:dyDescent="0.35">
      <c r="B214" s="43" t="s">
        <v>3295</v>
      </c>
      <c r="C214" s="43" t="s">
        <v>38</v>
      </c>
      <c r="D214" s="43" t="s">
        <v>302</v>
      </c>
      <c r="E214" s="130" t="s">
        <v>3308</v>
      </c>
    </row>
    <row r="215" spans="2:8" ht="20.05" customHeight="1" x14ac:dyDescent="0.35">
      <c r="B215" s="4" t="s">
        <v>215</v>
      </c>
      <c r="C215" s="337" t="str">
        <f>wld_az2_host1_fqdn</f>
        <v>Value Missing</v>
      </c>
      <c r="D215" s="337" t="str">
        <f>wld_az2_host1_hostname</f>
        <v>Value Missing</v>
      </c>
      <c r="E215" s="337" t="str">
        <f>wld_az2_host1_mgmt_ip</f>
        <v>Value Missing</v>
      </c>
    </row>
    <row r="216" spans="2:8" ht="20.05" customHeight="1" x14ac:dyDescent="0.35">
      <c r="B216" s="4" t="s">
        <v>217</v>
      </c>
      <c r="C216" s="337" t="str">
        <f>wld_az2_host2_fqdn</f>
        <v>Value Missing</v>
      </c>
      <c r="D216" s="337" t="str">
        <f>wld_az2_host2_hostname</f>
        <v>Value Missing</v>
      </c>
      <c r="E216" s="337" t="str">
        <f>wld_az2_host2_mgmt_ip</f>
        <v>Value Missing</v>
      </c>
    </row>
    <row r="217" spans="2:8" ht="20.05" customHeight="1" x14ac:dyDescent="0.35">
      <c r="B217" s="4" t="s">
        <v>219</v>
      </c>
      <c r="C217" s="337" t="str">
        <f>wld_az2_host3_fqdn</f>
        <v>Value Missing</v>
      </c>
      <c r="D217" s="337" t="str">
        <f>wld_az2_host3_hostname</f>
        <v>Value Missing</v>
      </c>
      <c r="E217" s="337" t="str">
        <f>wld_az2_host3_mgmt_ip</f>
        <v>Value Missing</v>
      </c>
    </row>
    <row r="218" spans="2:8" ht="20.05" customHeight="1" x14ac:dyDescent="0.35">
      <c r="B218" s="4" t="s">
        <v>221</v>
      </c>
      <c r="C218" s="337" t="str">
        <f>wld_az2_host4_fqdn</f>
        <v>Value Missing</v>
      </c>
      <c r="D218" s="337" t="str">
        <f>wld_az2_host4_hostname</f>
        <v>Value Missing</v>
      </c>
      <c r="E218" s="337" t="str">
        <f>wld_az2_host4_mgmt_ip</f>
        <v>Value Missing</v>
      </c>
    </row>
    <row r="219" spans="2:8" ht="20.05" customHeight="1" x14ac:dyDescent="0.35">
      <c r="B219" s="4" t="s">
        <v>223</v>
      </c>
      <c r="C219" s="337" t="str">
        <f>wld_az2_host5_fqdn</f>
        <v>Value Missing</v>
      </c>
      <c r="D219" s="337" t="str">
        <f>wld_az2_host5_hostname</f>
        <v>Value Missing</v>
      </c>
      <c r="E219" s="337" t="str">
        <f>wld_az2_host5_mgmt_ip</f>
        <v>Value Missing</v>
      </c>
    </row>
    <row r="220" spans="2:8" ht="20.05" customHeight="1" x14ac:dyDescent="0.35">
      <c r="B220" s="4" t="s">
        <v>225</v>
      </c>
      <c r="C220" s="337" t="str">
        <f>wld_az2_host6_fqdn</f>
        <v>Value Missing</v>
      </c>
      <c r="D220" s="337" t="str">
        <f>wld_az2_host6_hostname</f>
        <v>Value Missing</v>
      </c>
      <c r="E220" s="337" t="str">
        <f>wld_az2_host6_mgmt_ip</f>
        <v>Value Missing</v>
      </c>
    </row>
    <row r="221" spans="2:8" ht="20.05" customHeight="1" x14ac:dyDescent="0.35">
      <c r="B221" s="4" t="s">
        <v>227</v>
      </c>
      <c r="C221" s="337" t="str">
        <f>wld_az2_host7_fqdn</f>
        <v>Value Missing</v>
      </c>
      <c r="D221" s="337" t="str">
        <f>wld_az2_host7_hostname</f>
        <v>Value Missing</v>
      </c>
      <c r="E221" s="337" t="str">
        <f>wld_az2_host7_mgmt_ip</f>
        <v>Value Missing</v>
      </c>
    </row>
    <row r="222" spans="2:8" ht="20.05" customHeight="1" x14ac:dyDescent="0.35">
      <c r="B222" s="4" t="s">
        <v>229</v>
      </c>
      <c r="C222" s="337" t="str">
        <f>wld_az2_host8_fqdn</f>
        <v>Value Missing</v>
      </c>
      <c r="D222" s="337" t="str">
        <f>wld_az2_host8_hostname</f>
        <v>Value Missing</v>
      </c>
      <c r="E222" s="337" t="str">
        <f>wld_az2_host8_mgmt_ip</f>
        <v>Value Missing</v>
      </c>
    </row>
    <row r="223" spans="2:8" ht="20.05" customHeight="1" x14ac:dyDescent="0.35">
      <c r="B223" s="4" t="s">
        <v>231</v>
      </c>
      <c r="C223" s="337" t="str">
        <f>wld_az2_host9_fqdn</f>
        <v>Value Missing</v>
      </c>
      <c r="D223" s="337" t="str">
        <f>wld_az2_host9_hostname</f>
        <v>Value Missing</v>
      </c>
      <c r="E223" s="337" t="str">
        <f>wld_az2_host9_mgmt_ip</f>
        <v>Value Missing</v>
      </c>
    </row>
    <row r="224" spans="2:8" ht="20.05" customHeight="1" x14ac:dyDescent="0.35">
      <c r="B224" s="4" t="s">
        <v>233</v>
      </c>
      <c r="C224" s="337" t="str">
        <f>wld_az2_host10_fqdn</f>
        <v>Value Missing</v>
      </c>
      <c r="D224" s="337" t="str">
        <f>wld_az2_host10_hostname</f>
        <v>Value Missing</v>
      </c>
      <c r="E224" s="337" t="str">
        <f>wld_az2_host10_mgmt_ip</f>
        <v>Value Missing</v>
      </c>
    </row>
    <row r="225" spans="2:5" ht="20.05" customHeight="1" x14ac:dyDescent="0.35">
      <c r="B225" s="4" t="s">
        <v>235</v>
      </c>
      <c r="C225" s="337" t="str">
        <f>wld_az2_host11_fqdn</f>
        <v>Value Missing</v>
      </c>
      <c r="D225" s="337" t="str">
        <f>wld_az2_host11_hostname</f>
        <v>Value Missing</v>
      </c>
      <c r="E225" s="337" t="str">
        <f>wld_az2_host11_mgmt_ip</f>
        <v>Value Missing</v>
      </c>
    </row>
    <row r="226" spans="2:5" ht="20.05" customHeight="1" x14ac:dyDescent="0.35">
      <c r="B226" s="4" t="s">
        <v>237</v>
      </c>
      <c r="C226" s="337" t="str">
        <f>wld_az2_host12_fqdn</f>
        <v>Value Missing</v>
      </c>
      <c r="D226" s="337" t="str">
        <f>wld_az2_host12_hostname</f>
        <v>Value Missing</v>
      </c>
      <c r="E226" s="337" t="str">
        <f>wld_az2_host12_mgmt_ip</f>
        <v>Value Missing</v>
      </c>
    </row>
    <row r="227" spans="2:5" ht="20.05" customHeight="1" x14ac:dyDescent="0.35">
      <c r="B227" s="4" t="s">
        <v>239</v>
      </c>
      <c r="C227" s="337" t="str">
        <f>wld_az2_host13_fqdn</f>
        <v>Value Missing</v>
      </c>
      <c r="D227" s="337" t="str">
        <f>wld_az2_host13_hostname</f>
        <v>Value Missing</v>
      </c>
      <c r="E227" s="337" t="str">
        <f>wld_az2_host13_mgmt_ip</f>
        <v>Value Missing</v>
      </c>
    </row>
    <row r="228" spans="2:5" ht="20.05" customHeight="1" x14ac:dyDescent="0.35">
      <c r="B228" s="4" t="s">
        <v>241</v>
      </c>
      <c r="C228" s="337" t="str">
        <f>wld_az2_host14_fqdn</f>
        <v>Value Missing</v>
      </c>
      <c r="D228" s="337" t="str">
        <f>wld_az2_host14_hostname</f>
        <v>Value Missing</v>
      </c>
      <c r="E228" s="337" t="str">
        <f>wld_az2_host14_mgmt_ip</f>
        <v>Value Missing</v>
      </c>
    </row>
    <row r="229" spans="2:5" ht="20.05" customHeight="1" x14ac:dyDescent="0.35">
      <c r="B229" s="4" t="s">
        <v>243</v>
      </c>
      <c r="C229" s="337" t="str">
        <f>wld_az2_host15_fqdn</f>
        <v>Value Missing</v>
      </c>
      <c r="D229" s="337" t="str">
        <f>wld_az2_host15_hostname</f>
        <v>Value Missing</v>
      </c>
      <c r="E229" s="337" t="str">
        <f>wld_az2_host15_mgmt_ip</f>
        <v>Value Missing</v>
      </c>
    </row>
    <row r="230" spans="2:5" ht="20.05" customHeight="1" x14ac:dyDescent="0.35">
      <c r="B230" s="4" t="s">
        <v>245</v>
      </c>
      <c r="C230" s="337" t="str">
        <f>wld_az2_host16_fqdn</f>
        <v>Value Missing</v>
      </c>
      <c r="D230" s="337" t="str">
        <f>wld_az2_host16_hostname</f>
        <v>Value Missing</v>
      </c>
      <c r="E230" s="337" t="str">
        <f>wld_az2_host16_mgmt_ip</f>
        <v>Value Missing</v>
      </c>
    </row>
  </sheetData>
  <sheetProtection algorithmName="SHA-512" hashValue="7c1KLwlzuthRaH0GSI3Z6ZGzjgzNgHZ5n4CeeKnkoFzDYdU4aHstbEUyx1ZPELvPzMoOK2dsaiUiLfLbCFKmjg==" saltValue="uT6s1LweScKBdPFJaeWB1w==" spinCount="100000" sheet="1" objects="1" scenarios="1"/>
  <mergeCells count="30">
    <mergeCell ref="B64:H64"/>
    <mergeCell ref="B111:H111"/>
    <mergeCell ref="B110:H110"/>
    <mergeCell ref="B212:H212"/>
    <mergeCell ref="B83:H83"/>
    <mergeCell ref="B130:H130"/>
    <mergeCell ref="B182:H182"/>
    <mergeCell ref="B213:H213"/>
    <mergeCell ref="B202:H202"/>
    <mergeCell ref="B84:E84"/>
    <mergeCell ref="B183:H183"/>
    <mergeCell ref="B157:H157"/>
    <mergeCell ref="B158:H158"/>
    <mergeCell ref="B172:H172"/>
    <mergeCell ref="B146:H146"/>
    <mergeCell ref="B147:H147"/>
    <mergeCell ref="B171:H171"/>
    <mergeCell ref="B132:H132"/>
    <mergeCell ref="B133:H133"/>
    <mergeCell ref="B8:H8"/>
    <mergeCell ref="B9:H9"/>
    <mergeCell ref="B22:H22"/>
    <mergeCell ref="B23:H23"/>
    <mergeCell ref="B47:H47"/>
    <mergeCell ref="B58:H58"/>
    <mergeCell ref="B59:H59"/>
    <mergeCell ref="B63:H63"/>
    <mergeCell ref="B33:H33"/>
    <mergeCell ref="B34:H34"/>
    <mergeCell ref="B48:H48"/>
  </mergeCells>
  <phoneticPr fontId="9" type="noConversion"/>
  <conditionalFormatting sqref="C25:C31">
    <cfRule type="expression" dxfId="133" priority="31">
      <formula>mgmt_vns_chosen&lt;&gt;"Centralized Connectivity"</formula>
    </cfRule>
    <cfRule type="expression" dxfId="132" priority="32">
      <formula>OR((mgmt_domain_result="Excluded"),(mgmt_vns_result="Excluded"))</formula>
    </cfRule>
    <cfRule type="containsBlanks" dxfId="130" priority="34">
      <formula>LEN(TRIM(C25))=0</formula>
    </cfRule>
    <cfRule type="notContainsBlanks" dxfId="129" priority="35">
      <formula>LEN(TRIM(C25))&gt;0</formula>
    </cfRule>
  </conditionalFormatting>
  <conditionalFormatting sqref="C50:C56">
    <cfRule type="notContainsBlanks" dxfId="126" priority="24">
      <formula>LEN(TRIM(C50))&gt;0</formula>
    </cfRule>
  </conditionalFormatting>
  <conditionalFormatting sqref="C149:C155">
    <cfRule type="notContainsBlanks" dxfId="122" priority="6">
      <formula>LEN(TRIM(C149))&gt;0</formula>
    </cfRule>
  </conditionalFormatting>
  <conditionalFormatting sqref="C174:C180">
    <cfRule type="notContainsBlanks" dxfId="119" priority="3">
      <formula>LEN(TRIM(C174))&gt;0</formula>
    </cfRule>
  </conditionalFormatting>
  <conditionalFormatting sqref="C86:E108 C204:E210">
    <cfRule type="notContainsBlanks" dxfId="113" priority="81">
      <formula>LEN(TRIM(C86))&gt;0</formula>
    </cfRule>
    <cfRule type="containsBlanks" dxfId="112" priority="82">
      <formula>LEN(TRIM(C86))=0</formula>
    </cfRule>
  </conditionalFormatting>
  <conditionalFormatting sqref="C11:H20 C36:H45 C135:H144 C160:H169">
    <cfRule type="notContainsBlanks" dxfId="102" priority="110">
      <formula>LEN(TRIM(C11))&gt;0</formula>
    </cfRule>
    <cfRule type="containsBlanks" dxfId="101" priority="111">
      <formula>LEN(TRIM(C11))=0</formula>
    </cfRule>
  </conditionalFormatting>
  <conditionalFormatting sqref="C61:H61">
    <cfRule type="notContainsBlanks" dxfId="100" priority="10">
      <formula>LEN(TRIM(C61))&gt;0</formula>
    </cfRule>
    <cfRule type="containsBlanks" dxfId="97" priority="11">
      <formula>LEN(TRIM(C61))=0</formula>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33" operator="containsText" id="{2FFE3604-F9BF-B04B-AC9F-7A822C75374B}">
            <xm:f>NOT(ISERROR(SEARCH("Value Missing",C25)))</xm:f>
            <xm:f>"Value Missing"</xm:f>
            <x14:dxf>
              <font>
                <color theme="1"/>
              </font>
              <fill>
                <patternFill>
                  <bgColor rgb="FFFFBE29"/>
                </patternFill>
              </fill>
            </x14:dxf>
          </x14:cfRule>
          <xm:sqref>C25:C31</xm:sqref>
        </x14:conditionalFormatting>
        <x14:conditionalFormatting xmlns:xm="http://schemas.microsoft.com/office/excel/2006/main">
          <x14:cfRule type="containsText" priority="7" operator="containsText" id="{B02671E1-BCA0-504D-ADF6-B983BA71A0DD}">
            <xm:f>NOT(ISERROR(SEARCH("Not Required",C50)))</xm:f>
            <xm:f>"Not Required"</xm:f>
            <x14:dxf>
              <font>
                <color theme="0"/>
              </font>
              <fill>
                <patternFill>
                  <bgColor rgb="FF505F69"/>
                </patternFill>
              </fill>
            </x14:dxf>
          </x14:cfRule>
          <x14:cfRule type="containsText" priority="20" stopIfTrue="1" operator="containsText" id="{7806C691-691A-1847-9DAF-D5BA15D4CC6E}">
            <xm:f>NOT(ISERROR(SEARCH("Value Missing",C50)))</xm:f>
            <xm:f>"Value Missing"</xm:f>
            <x14:dxf>
              <font>
                <color theme="1"/>
              </font>
              <fill>
                <patternFill>
                  <bgColor rgb="FFFFBE29"/>
                </patternFill>
              </fill>
            </x14:dxf>
          </x14:cfRule>
          <xm:sqref>C50:C56</xm:sqref>
        </x14:conditionalFormatting>
        <x14:conditionalFormatting xmlns:xm="http://schemas.microsoft.com/office/excel/2006/main">
          <x14:cfRule type="containsText" priority="58" operator="containsText" id="{A35C960E-EA48-8642-898E-0A3D09C894C3}">
            <xm:f>NOT(ISERROR(SEARCH("Value Missing",C113)))</xm:f>
            <xm:f>"Value Missing"</xm:f>
            <x14:dxf>
              <font>
                <color theme="1"/>
              </font>
              <fill>
                <patternFill>
                  <bgColor rgb="FFFFBD29"/>
                </patternFill>
              </fill>
            </x14:dxf>
          </x14:cfRule>
          <xm:sqref>C149:C155 C174:C180 C113:E128 C132:E133 C135:E144 C146:E147 C157:E158 C160:E169 C171:E172</xm:sqref>
        </x14:conditionalFormatting>
        <x14:conditionalFormatting xmlns:xm="http://schemas.microsoft.com/office/excel/2006/main">
          <x14:cfRule type="containsText" priority="4" operator="containsText" id="{BE001C28-9B34-0646-BC9B-A4E854AD2567}">
            <xm:f>NOT(ISERROR(SEARCH("Not Required",C149)))</xm:f>
            <xm:f>"Not Required"</xm:f>
            <x14:dxf>
              <font>
                <color theme="0"/>
              </font>
              <fill>
                <patternFill>
                  <bgColor rgb="FF505F69"/>
                </patternFill>
              </fill>
            </x14:dxf>
          </x14:cfRule>
          <x14:cfRule type="containsText" priority="5" stopIfTrue="1" operator="containsText" id="{E93A3172-5505-404F-BA1C-B910953B1F95}">
            <xm:f>NOT(ISERROR(SEARCH("Value Missing",C149)))</xm:f>
            <xm:f>"Value Missing"</xm:f>
            <x14:dxf>
              <font>
                <color theme="1"/>
              </font>
              <fill>
                <patternFill>
                  <bgColor rgb="FFFFBE29"/>
                </patternFill>
              </fill>
            </x14:dxf>
          </x14:cfRule>
          <xm:sqref>C149:C155</xm:sqref>
        </x14:conditionalFormatting>
        <x14:conditionalFormatting xmlns:xm="http://schemas.microsoft.com/office/excel/2006/main">
          <x14:cfRule type="containsText" priority="1" operator="containsText" id="{96C1964B-0A08-E14E-BBC1-015CF0F93365}">
            <xm:f>NOT(ISERROR(SEARCH("Not Required",C174)))</xm:f>
            <xm:f>"Not Required"</xm:f>
            <x14:dxf>
              <font>
                <color theme="0"/>
              </font>
              <fill>
                <patternFill>
                  <bgColor rgb="FF505F69"/>
                </patternFill>
              </fill>
            </x14:dxf>
          </x14:cfRule>
          <x14:cfRule type="containsText" priority="2" stopIfTrue="1" operator="containsText" id="{6941E7B2-F462-124A-B17C-D1DC29906903}">
            <xm:f>NOT(ISERROR(SEARCH("Value Missing",C174)))</xm:f>
            <xm:f>"Value Missing"</xm:f>
            <x14:dxf>
              <font>
                <color theme="1"/>
              </font>
              <fill>
                <patternFill>
                  <bgColor rgb="FFFFBE29"/>
                </patternFill>
              </fill>
            </x14:dxf>
          </x14:cfRule>
          <xm:sqref>C174:C180</xm:sqref>
        </x14:conditionalFormatting>
        <x14:conditionalFormatting xmlns:xm="http://schemas.microsoft.com/office/excel/2006/main">
          <x14:cfRule type="containsText" priority="67" operator="containsText" id="{EDF2FEC1-E916-CB46-94D2-53CDA65CB16B}">
            <xm:f>NOT(ISERROR(SEARCH("Value Missing",C66)))</xm:f>
            <xm:f>"Value Missing"</xm:f>
            <x14:dxf>
              <font>
                <color theme="1"/>
              </font>
              <fill>
                <patternFill>
                  <bgColor rgb="FFFFBD29"/>
                </patternFill>
              </fill>
            </x14:dxf>
          </x14:cfRule>
          <x14:cfRule type="containsText" priority="68" operator="containsText" id="{79426EED-1EB3-8B48-8A54-66E7511F1F03}">
            <xm:f>NOT(ISERROR(SEARCH("Not Required",C66)))</xm:f>
            <xm:f>"Not Required"</xm:f>
            <x14:dxf>
              <font>
                <color theme="0"/>
              </font>
              <fill>
                <patternFill>
                  <bgColor rgb="FF506069"/>
                </patternFill>
              </fill>
            </x14:dxf>
          </x14:cfRule>
          <x14:cfRule type="notContainsText" priority="69" operator="notContains" id="{571FEF58-1F03-6749-A09A-60EF644BCEA9}">
            <xm:f>ISERROR(SEARCH("Value Missing",C66))</xm:f>
            <xm:f>"Value Missing"</xm:f>
            <x14:dxf>
              <font>
                <color theme="1"/>
              </font>
              <fill>
                <patternFill>
                  <bgColor rgb="FFEFFDE3"/>
                </patternFill>
              </fill>
            </x14:dxf>
          </x14:cfRule>
          <xm:sqref>C66:E81</xm:sqref>
        </x14:conditionalFormatting>
        <x14:conditionalFormatting xmlns:xm="http://schemas.microsoft.com/office/excel/2006/main">
          <x14:cfRule type="containsText" priority="79" operator="containsText" id="{80157483-73F8-014E-89C4-4C1347AFE6E6}">
            <xm:f>NOT(ISERROR(SEARCH("Not Required",C86)))</xm:f>
            <xm:f>"Not Required"</xm:f>
            <x14:dxf>
              <font>
                <color theme="0"/>
              </font>
              <fill>
                <patternFill>
                  <bgColor rgb="FF505F69"/>
                </patternFill>
              </fill>
            </x14:dxf>
          </x14:cfRule>
          <x14:cfRule type="containsText" priority="80" stopIfTrue="1" operator="containsText" id="{046BE289-BE91-8E44-B356-F624FE7885A9}">
            <xm:f>NOT(ISERROR(SEARCH("Value Missing",C86)))</xm:f>
            <xm:f>"Value Missing"</xm:f>
            <x14:dxf>
              <font>
                <color rgb="FF0E223A"/>
              </font>
              <fill>
                <patternFill>
                  <bgColor rgb="FFFFBE29"/>
                </patternFill>
              </fill>
            </x14:dxf>
          </x14:cfRule>
          <xm:sqref>C86:E108 C204:E210</xm:sqref>
        </x14:conditionalFormatting>
        <x14:conditionalFormatting xmlns:xm="http://schemas.microsoft.com/office/excel/2006/main">
          <x14:cfRule type="containsText" priority="59" operator="containsText" id="{41044BF3-70AA-724D-88C1-038A81258EBF}">
            <xm:f>NOT(ISERROR(SEARCH("Not Required",C113)))</xm:f>
            <xm:f>"Not Required"</xm:f>
            <x14:dxf>
              <font>
                <color theme="0"/>
              </font>
              <fill>
                <patternFill>
                  <bgColor rgb="FF506069"/>
                </patternFill>
              </fill>
            </x14:dxf>
          </x14:cfRule>
          <x14:cfRule type="notContainsText" priority="60" operator="notContains" id="{C62662A5-DD53-494B-B8FB-4DCA2B77A0D8}">
            <xm:f>ISERROR(SEARCH("Value Missing",C113))</xm:f>
            <xm:f>"Value Missing"</xm:f>
            <x14:dxf>
              <font>
                <color theme="1"/>
              </font>
              <fill>
                <patternFill>
                  <bgColor rgb="FFEFFDE3"/>
                </patternFill>
              </fill>
            </x14:dxf>
          </x14:cfRule>
          <xm:sqref>C113:E128 C132:E133 C135:E144 C146:E147 C149:C155 C157:E158 C160:E169 C171:E172 C174:C180</xm:sqref>
        </x14:conditionalFormatting>
        <x14:conditionalFormatting xmlns:xm="http://schemas.microsoft.com/office/excel/2006/main">
          <x14:cfRule type="notContainsText" priority="51" operator="notContains" id="{0E8FF85A-7A70-9B48-94F8-88A51242BDBB}">
            <xm:f>ISERROR(SEARCH("Value Missing",C185))</xm:f>
            <xm:f>"Value Missing"</xm:f>
            <x14:dxf>
              <font>
                <color theme="1"/>
              </font>
              <fill>
                <patternFill>
                  <bgColor rgb="FFEFFDE3"/>
                </patternFill>
              </fill>
            </x14:dxf>
          </x14:cfRule>
          <x14:cfRule type="containsText" priority="50" operator="containsText" id="{ACE38C15-1344-704F-BC33-600823142192}">
            <xm:f>NOT(ISERROR(SEARCH("Not Required",C185)))</xm:f>
            <xm:f>"Not Required"</xm:f>
            <x14:dxf>
              <font>
                <color theme="0"/>
              </font>
              <fill>
                <patternFill>
                  <bgColor rgb="FF506069"/>
                </patternFill>
              </fill>
            </x14:dxf>
          </x14:cfRule>
          <x14:cfRule type="containsText" priority="49" operator="containsText" id="{16B6C646-FEC4-F545-847B-ADB830B00EF3}">
            <xm:f>NOT(ISERROR(SEARCH("Value Missing",C185)))</xm:f>
            <xm:f>"Value Missing"</xm:f>
            <x14:dxf>
              <font>
                <color theme="1"/>
              </font>
              <fill>
                <patternFill>
                  <bgColor rgb="FFFFBD29"/>
                </patternFill>
              </fill>
            </x14:dxf>
          </x14:cfRule>
          <xm:sqref>C185:E200</xm:sqref>
        </x14:conditionalFormatting>
        <x14:conditionalFormatting xmlns:xm="http://schemas.microsoft.com/office/excel/2006/main">
          <x14:cfRule type="containsText" priority="40" operator="containsText" id="{90B129F5-3CE9-3E4E-9765-4AAF9F9B34C8}">
            <xm:f>NOT(ISERROR(SEARCH("Value Missing",C215)))</xm:f>
            <xm:f>"Value Missing"</xm:f>
            <x14:dxf>
              <font>
                <color theme="1"/>
              </font>
              <fill>
                <patternFill>
                  <bgColor rgb="FFFFBD29"/>
                </patternFill>
              </fill>
            </x14:dxf>
          </x14:cfRule>
          <x14:cfRule type="containsText" priority="41" operator="containsText" id="{B56F3191-42D5-4547-AFA1-8DF9498EF5C9}">
            <xm:f>NOT(ISERROR(SEARCH("Not Required",C215)))</xm:f>
            <xm:f>"Not Required"</xm:f>
            <x14:dxf>
              <font>
                <color theme="0"/>
              </font>
              <fill>
                <patternFill>
                  <bgColor rgb="FF506069"/>
                </patternFill>
              </fill>
            </x14:dxf>
          </x14:cfRule>
          <x14:cfRule type="notContainsText" priority="42" operator="notContains" id="{5306F36E-1C79-1442-9798-85FAB0D35165}">
            <xm:f>ISERROR(SEARCH("Value Missing",C215))</xm:f>
            <xm:f>"Value Missing"</xm:f>
            <x14:dxf>
              <font>
                <color theme="1"/>
              </font>
              <fill>
                <patternFill>
                  <bgColor rgb="FFEFFDE3"/>
                </patternFill>
              </fill>
            </x14:dxf>
          </x14:cfRule>
          <xm:sqref>C215:E230</xm:sqref>
        </x14:conditionalFormatting>
        <x14:conditionalFormatting xmlns:xm="http://schemas.microsoft.com/office/excel/2006/main">
          <x14:cfRule type="containsText" priority="109" stopIfTrue="1" operator="containsText" id="{0EBE07C1-072B-6343-90B1-9C2E9B4702CB}">
            <xm:f>NOT(ISERROR(SEARCH("Value Missing",C11)))</xm:f>
            <xm:f>"Value Missing"</xm:f>
            <x14:dxf>
              <font>
                <color rgb="FF0E223A"/>
              </font>
              <fill>
                <patternFill>
                  <bgColor rgb="FFFFBE29"/>
                </patternFill>
              </fill>
            </x14:dxf>
          </x14:cfRule>
          <xm:sqref>C11:H20 C36:H45 C135:H144 C160:H169</xm:sqref>
        </x14:conditionalFormatting>
        <x14:conditionalFormatting xmlns:xm="http://schemas.microsoft.com/office/excel/2006/main">
          <x14:cfRule type="containsText" priority="9" stopIfTrue="1" operator="containsText" id="{333ADC62-B758-014B-8A72-A2F8E3FF5675}">
            <xm:f>NOT(ISERROR(SEARCH("Value Missing",C61)))</xm:f>
            <xm:f>"Value Missing"</xm:f>
            <x14:dxf>
              <font>
                <color rgb="FF0E223A"/>
              </font>
              <fill>
                <patternFill>
                  <bgColor rgb="FFFFBE29"/>
                </patternFill>
              </fill>
            </x14:dxf>
          </x14:cfRule>
          <x14:cfRule type="containsText" priority="8" operator="containsText" id="{A159D94C-199C-144B-AEC9-75590D7EE259}">
            <xm:f>NOT(ISERROR(SEARCH("Not Required",C61)))</xm:f>
            <xm:f>"Not Required"</xm:f>
            <x14:dxf>
              <font>
                <color theme="0"/>
              </font>
              <fill>
                <patternFill>
                  <bgColor rgb="FF505F69"/>
                </patternFill>
              </fill>
            </x14:dxf>
          </x14:cfRule>
          <xm:sqref>C61:H61</xm:sqref>
        </x14:conditionalFormatting>
        <x14:conditionalFormatting xmlns:xm="http://schemas.microsoft.com/office/excel/2006/main">
          <x14:cfRule type="containsText" priority="107" operator="containsText" id="{BEE524AA-4639-0940-A7BD-2B2FC3FF2709}">
            <xm:f>NOT(ISERROR(SEARCH("Not Required",C11)))</xm:f>
            <xm:f>"Not Required"</xm:f>
            <x14:dxf>
              <font>
                <color theme="0"/>
              </font>
              <fill>
                <patternFill>
                  <bgColor rgb="FF505F69"/>
                </patternFill>
              </fill>
            </x14:dxf>
          </x14:cfRule>
          <xm:sqref>C135:H144 C160:H169 C11:H20 C36:H45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138FB-C469-F441-8BEF-2334A930E7C2}">
  <sheetPr codeName="Sheet1"/>
  <dimension ref="A1:F19"/>
  <sheetViews>
    <sheetView showGridLines="0" workbookViewId="0">
      <pane ySplit="4" topLeftCell="A5" activePane="bottomLeft" state="frozen"/>
      <selection pane="bottomLeft" activeCell="D25" sqref="D25"/>
    </sheetView>
  </sheetViews>
  <sheetFormatPr defaultColWidth="11" defaultRowHeight="15.9" x14ac:dyDescent="0.45"/>
  <cols>
    <col min="1" max="1" width="2.85546875" customWidth="1"/>
    <col min="2" max="2" width="14.140625" customWidth="1"/>
    <col min="3" max="3" width="19.35546875" customWidth="1"/>
    <col min="4" max="4" width="75.85546875" customWidth="1"/>
    <col min="5" max="5" width="151.85546875" customWidth="1"/>
  </cols>
  <sheetData>
    <row r="1" spans="1:6" x14ac:dyDescent="0.45">
      <c r="A1" s="120"/>
      <c r="B1" s="120"/>
      <c r="C1" s="120"/>
      <c r="D1" s="120"/>
      <c r="E1" s="120"/>
      <c r="F1" s="120"/>
    </row>
    <row r="2" spans="1:6" ht="54" customHeight="1" x14ac:dyDescent="0.45">
      <c r="A2" s="248"/>
      <c r="B2" s="639" t="s">
        <v>3286</v>
      </c>
      <c r="C2" s="640"/>
      <c r="D2" s="640"/>
      <c r="E2" s="641"/>
      <c r="F2" s="120"/>
    </row>
    <row r="3" spans="1:6" x14ac:dyDescent="0.45">
      <c r="A3" s="249"/>
      <c r="B3" s="502" t="s">
        <v>1</v>
      </c>
      <c r="C3" s="503"/>
      <c r="D3" s="503"/>
      <c r="E3" s="635"/>
      <c r="F3" s="250"/>
    </row>
    <row r="4" spans="1:6" x14ac:dyDescent="0.45">
      <c r="A4" s="120"/>
      <c r="B4" s="120"/>
      <c r="C4" s="120"/>
      <c r="D4" s="120"/>
      <c r="E4" s="120"/>
      <c r="F4" s="120"/>
    </row>
    <row r="6" spans="1:6" ht="34" customHeight="1" x14ac:dyDescent="0.45">
      <c r="B6" s="407" t="s">
        <v>3338</v>
      </c>
      <c r="C6" s="408"/>
      <c r="D6" s="408"/>
      <c r="E6" s="409"/>
    </row>
    <row r="7" spans="1:6" ht="20.05" customHeight="1" x14ac:dyDescent="0.45">
      <c r="B7" s="353" t="s">
        <v>195</v>
      </c>
      <c r="C7" s="354" t="s">
        <v>3339</v>
      </c>
      <c r="D7" s="463" t="s">
        <v>3340</v>
      </c>
      <c r="E7" s="464"/>
    </row>
    <row r="8" spans="1:6" ht="39" customHeight="1" x14ac:dyDescent="0.45">
      <c r="B8" s="99" t="s">
        <v>4027</v>
      </c>
      <c r="C8" s="99" t="s">
        <v>4028</v>
      </c>
      <c r="D8" s="649" t="s">
        <v>4029</v>
      </c>
      <c r="E8" s="644"/>
    </row>
    <row r="9" spans="1:6" ht="103" customHeight="1" x14ac:dyDescent="0.45">
      <c r="B9" s="99" t="s">
        <v>3341</v>
      </c>
      <c r="C9" s="99" t="s">
        <v>3342</v>
      </c>
      <c r="D9" s="649" t="s">
        <v>3343</v>
      </c>
      <c r="E9" s="644"/>
    </row>
    <row r="10" spans="1:6" ht="103" customHeight="1" x14ac:dyDescent="0.45">
      <c r="B10" s="99" t="s">
        <v>3344</v>
      </c>
      <c r="C10" s="99" t="s">
        <v>3345</v>
      </c>
      <c r="D10" s="649" t="s">
        <v>3346</v>
      </c>
      <c r="E10" s="644"/>
    </row>
    <row r="11" spans="1:6" ht="25" customHeight="1" x14ac:dyDescent="0.45">
      <c r="B11" s="99" t="s">
        <v>3347</v>
      </c>
      <c r="C11" s="99" t="s">
        <v>3348</v>
      </c>
      <c r="D11" s="649" t="s">
        <v>3349</v>
      </c>
      <c r="E11" s="644"/>
    </row>
    <row r="12" spans="1:6" ht="20.05" customHeight="1" x14ac:dyDescent="0.45">
      <c r="B12" s="99" t="s">
        <v>3350</v>
      </c>
      <c r="C12" s="99" t="s">
        <v>3348</v>
      </c>
      <c r="D12" s="649" t="s">
        <v>3351</v>
      </c>
      <c r="E12" s="644"/>
    </row>
    <row r="13" spans="1:6" ht="68.05" customHeight="1" x14ac:dyDescent="0.45">
      <c r="B13" s="99" t="s">
        <v>3352</v>
      </c>
      <c r="C13" s="99" t="s">
        <v>3353</v>
      </c>
      <c r="D13" s="649" t="s">
        <v>3354</v>
      </c>
      <c r="E13" s="644"/>
    </row>
    <row r="14" spans="1:6" ht="81" customHeight="1" x14ac:dyDescent="0.45">
      <c r="B14" s="99" t="s">
        <v>3355</v>
      </c>
      <c r="C14" s="99" t="s">
        <v>3356</v>
      </c>
      <c r="D14" s="647" t="s">
        <v>3357</v>
      </c>
      <c r="E14" s="648"/>
    </row>
    <row r="15" spans="1:6" ht="20.05" customHeight="1" x14ac:dyDescent="0.45">
      <c r="B15" s="99" t="s">
        <v>3358</v>
      </c>
      <c r="C15" s="99" t="s">
        <v>3359</v>
      </c>
      <c r="D15" s="643" t="s">
        <v>3360</v>
      </c>
      <c r="E15" s="644"/>
    </row>
    <row r="17" spans="2:5" ht="34" customHeight="1" x14ac:dyDescent="0.45">
      <c r="B17" s="407" t="s">
        <v>20</v>
      </c>
      <c r="C17" s="408"/>
      <c r="D17" s="408"/>
      <c r="E17" s="409"/>
    </row>
    <row r="18" spans="2:5" ht="20.05" customHeight="1" x14ac:dyDescent="0.45">
      <c r="B18" s="462" t="s">
        <v>3361</v>
      </c>
      <c r="C18" s="463"/>
      <c r="D18" s="463"/>
      <c r="E18" s="464"/>
    </row>
    <row r="19" spans="2:5" ht="20.05" customHeight="1" x14ac:dyDescent="0.45">
      <c r="B19" s="645" t="s">
        <v>3362</v>
      </c>
      <c r="C19" s="646"/>
      <c r="D19" s="646"/>
      <c r="E19" s="644"/>
    </row>
  </sheetData>
  <sheetProtection algorithmName="SHA-512" hashValue="qBPsOcGrwY0sHRBio8V6onIBGydoj7lVP9sFEDK+9vfKqJLVVMqLeR5s0i5qDmTft693QqSmLm7f+rW+lZrp2w==" saltValue="wBbHkYLDhQRrvF/uwQEH3g==" spinCount="100000" sheet="1" scenarios="1" selectLockedCells="1" selectUnlockedCells="1"/>
  <mergeCells count="15">
    <mergeCell ref="D15:E15"/>
    <mergeCell ref="B17:E17"/>
    <mergeCell ref="B18:E18"/>
    <mergeCell ref="B19:E19"/>
    <mergeCell ref="B2:E2"/>
    <mergeCell ref="B3:E3"/>
    <mergeCell ref="B6:E6"/>
    <mergeCell ref="D7:E7"/>
    <mergeCell ref="D14:E14"/>
    <mergeCell ref="D13:E13"/>
    <mergeCell ref="D12:E12"/>
    <mergeCell ref="D11:E11"/>
    <mergeCell ref="D10:E10"/>
    <mergeCell ref="D9:E9"/>
    <mergeCell ref="D8:E8"/>
  </mergeCells>
  <pageMargins left="0.7" right="0.7" top="0.75" bottom="0.75" header="0.3" footer="0.3"/>
  <pageSetup paperSize="9" orientation="portrait" horizontalDpi="0" verticalDpi="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D937-C493-3C41-B7F5-E010B4442F4B}">
  <sheetPr codeName="Sheet36">
    <tabColor theme="4" tint="0.39997558519241921"/>
  </sheetPr>
  <dimension ref="A1:F112"/>
  <sheetViews>
    <sheetView showGridLines="0" zoomScaleNormal="100" workbookViewId="0">
      <pane ySplit="5" topLeftCell="A86" activePane="bottomLeft" state="frozen"/>
      <selection pane="bottomLeft" activeCell="D68" sqref="D68"/>
    </sheetView>
  </sheetViews>
  <sheetFormatPr defaultColWidth="11" defaultRowHeight="15" x14ac:dyDescent="0.35"/>
  <cols>
    <col min="1" max="1" width="2.85546875" style="19" customWidth="1"/>
    <col min="2" max="2" width="63.85546875" style="19" customWidth="1"/>
    <col min="3" max="4" width="80.85546875" style="19" customWidth="1"/>
    <col min="5" max="5" width="60.85546875" style="19" customWidth="1"/>
    <col min="6" max="6" width="2.85546875" style="19" customWidth="1"/>
    <col min="7" max="14" width="11" style="19" customWidth="1"/>
    <col min="15" max="16384" width="11" style="19"/>
  </cols>
  <sheetData>
    <row r="1" spans="1:6" s="7" customFormat="1" ht="16" customHeight="1" x14ac:dyDescent="0.45">
      <c r="A1" s="39"/>
    </row>
    <row r="2" spans="1:6" s="7" customFormat="1" ht="54" customHeight="1" x14ac:dyDescent="0.45">
      <c r="B2" s="653" t="s">
        <v>3363</v>
      </c>
      <c r="C2" s="654"/>
      <c r="D2" s="654"/>
      <c r="E2" s="655"/>
    </row>
    <row r="3" spans="1:6" s="7" customFormat="1" ht="20.05" customHeight="1" x14ac:dyDescent="0.45">
      <c r="B3" s="632" t="s">
        <v>3364</v>
      </c>
      <c r="C3" s="633"/>
      <c r="D3" s="633"/>
      <c r="E3" s="634"/>
    </row>
    <row r="5" spans="1:6" s="7" customFormat="1" x14ac:dyDescent="0.45">
      <c r="D5" s="212"/>
      <c r="E5" s="40"/>
      <c r="F5" s="40"/>
    </row>
    <row r="7" spans="1:6" s="2" customFormat="1" ht="34" customHeight="1" x14ac:dyDescent="0.45">
      <c r="B7" s="509" t="s">
        <v>3365</v>
      </c>
      <c r="C7" s="510"/>
      <c r="D7" s="510"/>
      <c r="E7" s="511"/>
    </row>
    <row r="8" spans="1:6" s="2" customFormat="1" ht="20.05" customHeight="1" x14ac:dyDescent="0.45">
      <c r="B8" s="336" t="s">
        <v>261</v>
      </c>
      <c r="C8" s="336" t="s">
        <v>262</v>
      </c>
      <c r="D8" s="184" t="s">
        <v>19</v>
      </c>
      <c r="E8" s="336" t="s">
        <v>20</v>
      </c>
    </row>
    <row r="9" spans="1:6" s="2" customFormat="1" ht="20.05" customHeight="1" x14ac:dyDescent="0.45">
      <c r="B9" s="4" t="s">
        <v>1813</v>
      </c>
      <c r="C9" s="362" t="s">
        <v>3366</v>
      </c>
      <c r="D9" s="347"/>
      <c r="E9" s="337"/>
    </row>
    <row r="10" spans="1:6" s="2" customFormat="1" ht="20.05" customHeight="1" x14ac:dyDescent="0.45">
      <c r="B10" s="4" t="s">
        <v>1816</v>
      </c>
      <c r="E10" s="337"/>
    </row>
    <row r="11" spans="1:6" s="2" customFormat="1" ht="20.05" customHeight="1" x14ac:dyDescent="0.45">
      <c r="B11" s="4" t="s">
        <v>1821</v>
      </c>
      <c r="E11" s="337"/>
    </row>
    <row r="12" spans="1:6" s="2" customFormat="1" ht="20.05" customHeight="1" x14ac:dyDescent="0.45">
      <c r="B12" s="4" t="s">
        <v>1825</v>
      </c>
      <c r="E12" s="337"/>
    </row>
    <row r="13" spans="1:6" s="2" customFormat="1" ht="20.05" customHeight="1" x14ac:dyDescent="0.45">
      <c r="B13" s="618" t="s">
        <v>3367</v>
      </c>
      <c r="C13" s="619"/>
      <c r="D13" s="619"/>
      <c r="E13" s="620"/>
    </row>
    <row r="14" spans="1:6" s="2" customFormat="1" ht="20.05" customHeight="1" x14ac:dyDescent="0.45">
      <c r="B14" s="166" t="s">
        <v>261</v>
      </c>
      <c r="C14" s="166" t="s">
        <v>262</v>
      </c>
      <c r="D14" s="167" t="s">
        <v>19</v>
      </c>
      <c r="E14" s="166" t="s">
        <v>20</v>
      </c>
    </row>
    <row r="15" spans="1:6" s="2" customFormat="1" ht="20.05" customHeight="1" x14ac:dyDescent="0.45">
      <c r="B15" s="4" t="s">
        <v>2008</v>
      </c>
      <c r="C15" s="126" t="str">
        <f>CONCATENATE(this_instance,"-w0",wld_domain_number_chosen,"-ns01")</f>
        <v>sfo-w01-ns01</v>
      </c>
      <c r="D15" s="347"/>
      <c r="E15" s="337"/>
    </row>
    <row r="16" spans="1:6" s="2" customFormat="1" ht="20.05" customHeight="1" x14ac:dyDescent="0.45">
      <c r="B16" s="4" t="s">
        <v>3368</v>
      </c>
      <c r="E16" s="337"/>
    </row>
    <row r="17" spans="2:5" s="2" customFormat="1" ht="34" customHeight="1" x14ac:dyDescent="0.45">
      <c r="B17" s="509" t="s">
        <v>3369</v>
      </c>
      <c r="C17" s="510"/>
      <c r="D17" s="510"/>
      <c r="E17" s="511"/>
    </row>
    <row r="18" spans="2:5" s="2" customFormat="1" ht="20.05" customHeight="1" x14ac:dyDescent="0.45">
      <c r="B18" s="336" t="s">
        <v>261</v>
      </c>
      <c r="C18" s="336" t="s">
        <v>262</v>
      </c>
      <c r="D18" s="184" t="s">
        <v>19</v>
      </c>
      <c r="E18" s="336" t="s">
        <v>20</v>
      </c>
    </row>
    <row r="19" spans="2:5" s="2" customFormat="1" ht="20.05" customHeight="1" x14ac:dyDescent="0.45">
      <c r="B19" s="4" t="s">
        <v>3370</v>
      </c>
      <c r="C19" s="126" t="str">
        <f>CONCATENATE(this_instance,"-",workload_descriptor,"-seg01-tanzu")</f>
        <v>sfo-w01-seg01-tanzu</v>
      </c>
      <c r="D19" s="347"/>
      <c r="E19" s="337"/>
    </row>
    <row r="20" spans="2:5" s="2" customFormat="1" ht="20.05" customHeight="1" x14ac:dyDescent="0.45">
      <c r="B20" s="4" t="s">
        <v>1692</v>
      </c>
      <c r="C20" s="126" t="str">
        <f>IF(mgmt_consolidated_result="Included",CONCATENATE(sample_mgmt_tier0_name,"-prefixlist"),CONCATENATE(sample_wld_tier0_name,"-prefixlist"))</f>
        <v>sfo-w01-ec01-t0-gw01-prefixlist</v>
      </c>
      <c r="D20" s="347"/>
      <c r="E20" s="337"/>
    </row>
    <row r="21" spans="2:5" s="2" customFormat="1" ht="20.05" customHeight="1" x14ac:dyDescent="0.45">
      <c r="B21" s="4" t="s">
        <v>1698</v>
      </c>
      <c r="C21" s="126" t="str">
        <f>IF(mgmt_consolidated_result="Included",CONCATENATE(sample_mgmt_tier0_name,"-routemap"),CONCATENATE(sample_wld_tier0_name,"-routemap"))</f>
        <v>sfo-w01-ec01-t0-gw01-routemap</v>
      </c>
      <c r="D21" s="347"/>
      <c r="E21" s="337"/>
    </row>
    <row r="22" spans="2:5" s="2" customFormat="1" ht="20.05" customHeight="1" x14ac:dyDescent="0.45">
      <c r="B22" s="4" t="s">
        <v>1718</v>
      </c>
      <c r="C22" s="126" t="s">
        <v>3371</v>
      </c>
      <c r="D22" s="347"/>
      <c r="E22" s="337"/>
    </row>
    <row r="23" spans="2:5" s="2" customFormat="1" ht="20.05" customHeight="1" x14ac:dyDescent="0.45">
      <c r="B23" s="4" t="s">
        <v>1722</v>
      </c>
      <c r="C23" s="126" t="s">
        <v>3372</v>
      </c>
      <c r="D23" s="347"/>
      <c r="E23" s="337"/>
    </row>
    <row r="24" spans="2:5" s="2" customFormat="1" ht="20.05" customHeight="1" x14ac:dyDescent="0.45">
      <c r="B24" s="4" t="s">
        <v>1726</v>
      </c>
      <c r="C24" s="142"/>
      <c r="E24" s="337"/>
    </row>
    <row r="25" spans="2:5" s="2" customFormat="1" ht="20.05" customHeight="1" x14ac:dyDescent="0.45">
      <c r="B25" s="4" t="s">
        <v>1732</v>
      </c>
      <c r="C25" s="142"/>
      <c r="E25" s="337"/>
    </row>
    <row r="26" spans="2:5" s="2" customFormat="1" ht="20.05" customHeight="1" x14ac:dyDescent="0.45">
      <c r="B26" s="4" t="s">
        <v>3373</v>
      </c>
      <c r="C26" s="126" t="s">
        <v>3374</v>
      </c>
      <c r="D26" s="347"/>
      <c r="E26" s="337"/>
    </row>
    <row r="27" spans="2:5" s="2" customFormat="1" ht="20.05" customHeight="1" x14ac:dyDescent="0.45">
      <c r="B27" s="4" t="s">
        <v>3375</v>
      </c>
      <c r="C27" s="126" t="s">
        <v>3376</v>
      </c>
      <c r="D27" s="347"/>
      <c r="E27" s="337"/>
    </row>
    <row r="28" spans="2:5" s="2" customFormat="1" ht="20.05" customHeight="1" x14ac:dyDescent="0.45">
      <c r="B28" s="6"/>
    </row>
    <row r="29" spans="2:5" s="2" customFormat="1" ht="20.05" customHeight="1" x14ac:dyDescent="0.45">
      <c r="B29" s="6"/>
    </row>
    <row r="30" spans="2:5" s="2" customFormat="1" ht="20.05" customHeight="1" x14ac:dyDescent="0.45">
      <c r="B30" s="6"/>
    </row>
    <row r="31" spans="2:5" s="2" customFormat="1" ht="20.05" customHeight="1" x14ac:dyDescent="0.45">
      <c r="B31" s="6"/>
    </row>
    <row r="32" spans="2:5" ht="16" customHeight="1" x14ac:dyDescent="0.35"/>
    <row r="33" spans="2:5" ht="34" customHeight="1" x14ac:dyDescent="0.35">
      <c r="B33" s="509" t="s">
        <v>3377</v>
      </c>
      <c r="C33" s="510"/>
      <c r="D33" s="510"/>
      <c r="E33" s="511"/>
    </row>
    <row r="34" spans="2:5" ht="20.05" customHeight="1" x14ac:dyDescent="0.35">
      <c r="B34" s="336" t="s">
        <v>261</v>
      </c>
      <c r="C34" s="336" t="s">
        <v>262</v>
      </c>
      <c r="D34" s="184" t="s">
        <v>19</v>
      </c>
      <c r="E34" s="336" t="s">
        <v>20</v>
      </c>
    </row>
    <row r="35" spans="2:5" ht="20.05" customHeight="1" x14ac:dyDescent="0.35">
      <c r="B35" s="30" t="s">
        <v>368</v>
      </c>
      <c r="C35" s="362" t="str">
        <f>IF(mgmt_consolidated_result="Included",CONCATENATE(sample_mgmt_vc_fqdn),CONCATENATE(sample_wld_vc_fqdn))</f>
        <v>sfo-w01-vc01.sfo.rainpole.io</v>
      </c>
      <c r="D35" s="99" t="str">
        <f>dri_vcenter_fqdn</f>
        <v>Value Missing</v>
      </c>
      <c r="E35" s="204"/>
    </row>
    <row r="36" spans="2:5" ht="16" customHeight="1" x14ac:dyDescent="0.35"/>
    <row r="37" spans="2:5" ht="34" customHeight="1" x14ac:dyDescent="0.35">
      <c r="B37" s="509" t="s">
        <v>3378</v>
      </c>
      <c r="C37" s="510"/>
      <c r="D37" s="510"/>
      <c r="E37" s="511"/>
    </row>
    <row r="38" spans="2:5" ht="20.05" customHeight="1" x14ac:dyDescent="0.35">
      <c r="B38" s="336" t="s">
        <v>261</v>
      </c>
      <c r="C38" s="336" t="s">
        <v>262</v>
      </c>
      <c r="D38" s="184" t="s">
        <v>19</v>
      </c>
      <c r="E38" s="336" t="s">
        <v>20</v>
      </c>
    </row>
    <row r="39" spans="2:5" ht="20.05" customHeight="1" x14ac:dyDescent="0.35">
      <c r="B39" s="30" t="s">
        <v>368</v>
      </c>
      <c r="C39" s="362" t="str">
        <f>IF(mgmt_consolidated_result="Included",CONCATENATE(sample_mgmt_vc_fqdn),CONCATENATE(sample_wld_vc_fqdn))</f>
        <v>sfo-w01-vc01.sfo.rainpole.io</v>
      </c>
      <c r="D39" s="99" t="str">
        <f>dri_vcenter_fqdn</f>
        <v>Value Missing</v>
      </c>
      <c r="E39" s="204"/>
    </row>
    <row r="40" spans="2:5" ht="20.05" customHeight="1" x14ac:dyDescent="0.35">
      <c r="B40" s="30" t="s">
        <v>3379</v>
      </c>
      <c r="C40" s="362" t="str">
        <f>sample_sddc_mgr_fqdn</f>
        <v>sfo-vcf01.sfo.rainpole.io</v>
      </c>
      <c r="D40" s="99" t="str">
        <f>sddc_mgr_fqdn</f>
        <v>Value Missing</v>
      </c>
      <c r="E40" s="204"/>
    </row>
    <row r="41" spans="2:5" ht="16" customHeight="1" x14ac:dyDescent="0.35"/>
    <row r="42" spans="2:5" ht="34" customHeight="1" x14ac:dyDescent="0.35">
      <c r="B42" s="509" t="s">
        <v>3380</v>
      </c>
      <c r="C42" s="510"/>
      <c r="D42" s="510"/>
      <c r="E42" s="511"/>
    </row>
    <row r="43" spans="2:5" ht="20.05" customHeight="1" x14ac:dyDescent="0.35">
      <c r="B43" s="336" t="s">
        <v>261</v>
      </c>
      <c r="C43" s="336" t="s">
        <v>262</v>
      </c>
      <c r="D43" s="184" t="s">
        <v>19</v>
      </c>
      <c r="E43" s="336" t="s">
        <v>20</v>
      </c>
    </row>
    <row r="44" spans="2:5" ht="20.05" customHeight="1" x14ac:dyDescent="0.35">
      <c r="B44" s="30" t="s">
        <v>368</v>
      </c>
      <c r="C44" s="362" t="str">
        <f>IF(mgmt_consolidated_result="Included",CONCATENATE(sample_mgmt_vc_fqdn),CONCATENATE(sample_wld_vc_fqdn))</f>
        <v>sfo-w01-vc01.sfo.rainpole.io</v>
      </c>
      <c r="D44" s="99" t="str">
        <f>dri_vcenter_fqdn</f>
        <v>Value Missing</v>
      </c>
      <c r="E44" s="204"/>
    </row>
    <row r="45" spans="2:5" ht="20.05" customHeight="1" x14ac:dyDescent="0.35">
      <c r="B45" s="213" t="s">
        <v>732</v>
      </c>
      <c r="C45" s="362" t="str">
        <f>IF(mgmt_consolidated_result="Included",sample_mgmt_cl01_cluster,sample_mgmt_cl01_cluster)</f>
        <v>sfo-m01-cl01</v>
      </c>
      <c r="D45" s="99" t="str">
        <f>dri_vcenter_cluster</f>
        <v>Value Missing</v>
      </c>
      <c r="E45" s="204"/>
    </row>
    <row r="46" spans="2:5" ht="16" customHeight="1" x14ac:dyDescent="0.35">
      <c r="B46" s="213" t="s">
        <v>261</v>
      </c>
      <c r="C46" s="126" t="str">
        <f>CONCATENATE(this_instance,"-w0",wld_domain_number_chosen,"-tkc01")</f>
        <v>sfo-w01-tkc01</v>
      </c>
      <c r="D46" s="347"/>
      <c r="E46" s="204"/>
    </row>
    <row r="47" spans="2:5" ht="20.05" customHeight="1" x14ac:dyDescent="0.35">
      <c r="B47" s="213" t="s">
        <v>2048</v>
      </c>
      <c r="C47" s="126" t="s">
        <v>3381</v>
      </c>
      <c r="D47" s="347"/>
      <c r="E47" s="204"/>
    </row>
    <row r="48" spans="2:5" ht="16" customHeight="1" x14ac:dyDescent="0.35"/>
    <row r="49" spans="2:5" ht="34" customHeight="1" x14ac:dyDescent="0.35">
      <c r="B49" s="509" t="s">
        <v>3382</v>
      </c>
      <c r="C49" s="510"/>
      <c r="D49" s="510"/>
      <c r="E49" s="511"/>
    </row>
    <row r="50" spans="2:5" ht="20.05" customHeight="1" x14ac:dyDescent="0.35">
      <c r="B50" s="336" t="s">
        <v>261</v>
      </c>
      <c r="C50" s="336" t="s">
        <v>262</v>
      </c>
      <c r="D50" s="184" t="s">
        <v>19</v>
      </c>
      <c r="E50" s="336" t="s">
        <v>20</v>
      </c>
    </row>
    <row r="51" spans="2:5" ht="20.05" customHeight="1" x14ac:dyDescent="0.35">
      <c r="B51" s="30" t="s">
        <v>368</v>
      </c>
      <c r="C51" s="362" t="str">
        <f>IF(mgmt_consolidated_result="Included",CONCATENATE(sample_mgmt_vc_fqdn),CONCATENATE(sample_wld_vc_fqdn))</f>
        <v>sfo-w01-vc01.sfo.rainpole.io</v>
      </c>
      <c r="D51" s="99" t="str">
        <f>dri_vcenter_fqdn</f>
        <v>Value Missing</v>
      </c>
      <c r="E51" s="204"/>
    </row>
    <row r="52" spans="2:5" ht="20.05" customHeight="1" x14ac:dyDescent="0.35">
      <c r="B52" s="213" t="s">
        <v>3383</v>
      </c>
      <c r="C52" s="362" t="str">
        <f>sample_k8s_cluster_name</f>
        <v>sfo-w01-tkc01</v>
      </c>
      <c r="D52" s="99"/>
      <c r="E52" s="204"/>
    </row>
    <row r="53" spans="2:5" ht="20.05" customHeight="1" x14ac:dyDescent="0.35">
      <c r="B53" s="213" t="s">
        <v>3384</v>
      </c>
      <c r="C53" s="362" t="str">
        <f>sample_gg_kub_admins_group</f>
        <v>gg-kub-admins</v>
      </c>
      <c r="D53" s="99" t="str">
        <f>group_gg_kub_admins</f>
        <v>Value Missing</v>
      </c>
      <c r="E53" s="204"/>
    </row>
    <row r="54" spans="2:5" ht="20.05" customHeight="1" x14ac:dyDescent="0.35">
      <c r="B54" s="213" t="s">
        <v>3385</v>
      </c>
      <c r="C54" s="362" t="str">
        <f>sample_gg_kub_readonly_group</f>
        <v>gg-kub-readonly</v>
      </c>
      <c r="D54" s="99" t="str">
        <f>group_gg_kub_readonly</f>
        <v>Value Missing</v>
      </c>
      <c r="E54" s="204"/>
    </row>
    <row r="55" spans="2:5" ht="16" customHeight="1" x14ac:dyDescent="0.35"/>
    <row r="56" spans="2:5" ht="34" customHeight="1" x14ac:dyDescent="0.35">
      <c r="B56" s="509" t="s">
        <v>3386</v>
      </c>
      <c r="C56" s="510"/>
      <c r="D56" s="510"/>
      <c r="E56" s="511"/>
    </row>
    <row r="57" spans="2:5" ht="20.05" customHeight="1" x14ac:dyDescent="0.35">
      <c r="B57" s="336" t="s">
        <v>261</v>
      </c>
      <c r="C57" s="336" t="s">
        <v>262</v>
      </c>
      <c r="D57" s="184" t="s">
        <v>19</v>
      </c>
      <c r="E57" s="336" t="s">
        <v>20</v>
      </c>
    </row>
    <row r="58" spans="2:5" ht="20.05" customHeight="1" x14ac:dyDescent="0.35">
      <c r="B58" s="30" t="s">
        <v>368</v>
      </c>
      <c r="C58" s="362" t="str">
        <f>IF(mgmt_consolidated_result="Included",CONCATENATE(sample_mgmt_vc_fqdn),CONCATENATE(sample_wld_vc_fqdn))</f>
        <v>sfo-w01-vc01.sfo.rainpole.io</v>
      </c>
      <c r="D58" s="99" t="str">
        <f>dri_vcenter_fqdn</f>
        <v>Value Missing</v>
      </c>
      <c r="E58" s="204"/>
    </row>
    <row r="59" spans="2:5" ht="20.05" customHeight="1" x14ac:dyDescent="0.35">
      <c r="B59" s="213" t="s">
        <v>1816</v>
      </c>
      <c r="C59" s="362" t="s">
        <v>3387</v>
      </c>
      <c r="D59" s="347"/>
      <c r="E59" s="204"/>
    </row>
    <row r="60" spans="2:5" ht="20.05" customHeight="1" x14ac:dyDescent="0.35">
      <c r="B60" s="213" t="s">
        <v>3388</v>
      </c>
      <c r="C60" s="362">
        <v>16</v>
      </c>
      <c r="D60" s="99">
        <f>C60</f>
        <v>16</v>
      </c>
      <c r="E60" s="204"/>
    </row>
    <row r="61" spans="2:5" ht="20.05" customHeight="1" x14ac:dyDescent="0.35">
      <c r="B61" s="213" t="s">
        <v>3389</v>
      </c>
      <c r="C61" s="362">
        <v>64</v>
      </c>
      <c r="D61" s="99">
        <f>C61</f>
        <v>64</v>
      </c>
      <c r="E61" s="204"/>
    </row>
    <row r="62" spans="2:5" ht="16" customHeight="1" x14ac:dyDescent="0.35"/>
    <row r="63" spans="2:5" ht="34" customHeight="1" x14ac:dyDescent="0.35">
      <c r="B63" s="650" t="s">
        <v>3390</v>
      </c>
      <c r="C63" s="651"/>
      <c r="D63" s="651"/>
      <c r="E63" s="652"/>
    </row>
    <row r="64" spans="2:5" ht="20.05" customHeight="1" x14ac:dyDescent="0.35">
      <c r="B64" s="336" t="s">
        <v>261</v>
      </c>
      <c r="C64" s="336" t="s">
        <v>262</v>
      </c>
      <c r="D64" s="184" t="s">
        <v>19</v>
      </c>
      <c r="E64" s="336" t="s">
        <v>20</v>
      </c>
    </row>
    <row r="65" spans="2:5" ht="20.05" customHeight="1" x14ac:dyDescent="0.35">
      <c r="B65" s="30" t="s">
        <v>3391</v>
      </c>
      <c r="C65" s="362" t="str">
        <f>CONCATENATE(prefix_wld_k8s_cidr,1+(wld_domain_number_chosen -1)*3,".1")</f>
        <v>192.168.21.1</v>
      </c>
      <c r="D65" s="99">
        <f>dri_k8s_server_address</f>
        <v>0</v>
      </c>
      <c r="E65" s="214"/>
    </row>
    <row r="66" spans="2:5" ht="20.05" customHeight="1" x14ac:dyDescent="0.35">
      <c r="B66" s="30" t="s">
        <v>3383</v>
      </c>
      <c r="C66" s="362" t="str">
        <f>sample_k8s_cluster_name</f>
        <v>sfo-w01-tkc01</v>
      </c>
      <c r="D66" s="99"/>
      <c r="E66" s="204"/>
    </row>
    <row r="67" spans="2:5" ht="20.05" customHeight="1" x14ac:dyDescent="0.35">
      <c r="B67" s="213" t="s">
        <v>969</v>
      </c>
      <c r="C67" s="362" t="str">
        <f>sample_k8s_cluster_name</f>
        <v>sfo-w01-tkc01</v>
      </c>
      <c r="D67" s="99"/>
      <c r="E67" s="204"/>
    </row>
    <row r="68" spans="2:5" ht="20.05" customHeight="1" x14ac:dyDescent="0.35">
      <c r="B68" s="213" t="s">
        <v>3392</v>
      </c>
      <c r="C68" s="362" t="str">
        <f>sample_k8s_cluster_name</f>
        <v>sfo-w01-tkc01</v>
      </c>
      <c r="D68" s="99"/>
      <c r="E68" s="204"/>
    </row>
    <row r="69" spans="2:5" ht="20.05" customHeight="1" x14ac:dyDescent="0.35">
      <c r="B69" s="213" t="s">
        <v>3393</v>
      </c>
      <c r="C69" s="362" t="str">
        <f>sample_k8s_vcenter_storage_policy</f>
        <v>vsphere-with-tanzu-storage-policy</v>
      </c>
      <c r="D69" s="99" t="str">
        <f>k8s_vcenter_storage_policy</f>
        <v>Value Missing</v>
      </c>
      <c r="E69" s="204"/>
    </row>
    <row r="70" spans="2:5" ht="20.05" customHeight="1" x14ac:dyDescent="0.35">
      <c r="B70" s="213" t="s">
        <v>3394</v>
      </c>
      <c r="C70" s="362" t="str">
        <f>sample_k8s_vm_class</f>
        <v>guaranteed-small</v>
      </c>
      <c r="D70" s="99" t="str">
        <f>k8s_vm_class</f>
        <v>Value Missing</v>
      </c>
      <c r="E70" s="204"/>
    </row>
    <row r="71" spans="2:5" ht="20.05" customHeight="1" x14ac:dyDescent="0.35">
      <c r="B71" s="213" t="s">
        <v>3395</v>
      </c>
      <c r="C71" s="362" t="s">
        <v>3396</v>
      </c>
      <c r="D71" s="347"/>
      <c r="E71" s="214"/>
    </row>
    <row r="72" spans="2:5" ht="20.05" customHeight="1" x14ac:dyDescent="0.35">
      <c r="B72" s="213" t="s">
        <v>3397</v>
      </c>
      <c r="C72" s="362" t="s">
        <v>3398</v>
      </c>
      <c r="D72" s="347"/>
      <c r="E72" s="214"/>
    </row>
    <row r="73" spans="2:5" ht="16" customHeight="1" x14ac:dyDescent="0.35"/>
    <row r="74" spans="2:5" ht="34" customHeight="1" x14ac:dyDescent="0.35">
      <c r="B74" s="509" t="s">
        <v>3399</v>
      </c>
      <c r="C74" s="510"/>
      <c r="D74" s="510"/>
      <c r="E74" s="511"/>
    </row>
    <row r="75" spans="2:5" ht="20.05" customHeight="1" x14ac:dyDescent="0.35">
      <c r="B75" s="336" t="s">
        <v>261</v>
      </c>
      <c r="C75" s="336" t="s">
        <v>262</v>
      </c>
      <c r="D75" s="184" t="s">
        <v>19</v>
      </c>
      <c r="E75" s="336" t="s">
        <v>20</v>
      </c>
    </row>
    <row r="76" spans="2:5" ht="20.05" customHeight="1" x14ac:dyDescent="0.35">
      <c r="B76" s="30" t="s">
        <v>368</v>
      </c>
      <c r="C76" s="362" t="str">
        <f>IF(mgmt_consolidated_result="Included",CONCATENATE(sample_mgmt_vc_fqdn),CONCATENATE(sample_wld_vc_fqdn))</f>
        <v>sfo-w01-vc01.sfo.rainpole.io</v>
      </c>
      <c r="D76" s="99" t="str">
        <f>dri_vcenter_fqdn</f>
        <v>Value Missing</v>
      </c>
      <c r="E76" s="204"/>
    </row>
    <row r="77" spans="2:5" ht="20.05" customHeight="1" x14ac:dyDescent="0.35">
      <c r="B77" s="213" t="s">
        <v>1821</v>
      </c>
      <c r="C77" s="362" t="s">
        <v>3400</v>
      </c>
      <c r="D77" s="347"/>
      <c r="E77" s="204"/>
    </row>
    <row r="78" spans="2:5" ht="20.05" customHeight="1" x14ac:dyDescent="0.35"/>
    <row r="79" spans="2:5" ht="34" customHeight="1" x14ac:dyDescent="0.35">
      <c r="B79" s="509" t="s">
        <v>3401</v>
      </c>
      <c r="C79" s="510"/>
      <c r="D79" s="510"/>
      <c r="E79" s="511"/>
    </row>
    <row r="80" spans="2:5" ht="20.05" customHeight="1" x14ac:dyDescent="0.35">
      <c r="B80" s="336" t="s">
        <v>261</v>
      </c>
      <c r="C80" s="336" t="s">
        <v>262</v>
      </c>
      <c r="D80" s="184" t="s">
        <v>19</v>
      </c>
      <c r="E80" s="336" t="s">
        <v>20</v>
      </c>
    </row>
    <row r="81" spans="2:5" ht="20.05" customHeight="1" x14ac:dyDescent="0.35">
      <c r="B81" s="30" t="s">
        <v>368</v>
      </c>
      <c r="C81" s="362" t="str">
        <f>IF(mgmt_consolidated_result="Included",CONCATENATE(sample_mgmt_vc_fqdn),CONCATENATE(sample_wld_vc_fqdn))</f>
        <v>sfo-w01-vc01.sfo.rainpole.io</v>
      </c>
      <c r="D81" s="99" t="str">
        <f>dri_vcenter_fqdn</f>
        <v>Value Missing</v>
      </c>
      <c r="E81" s="204"/>
    </row>
    <row r="82" spans="2:5" ht="20.05" customHeight="1" x14ac:dyDescent="0.35">
      <c r="B82" s="213" t="s">
        <v>3402</v>
      </c>
      <c r="C82" s="362" t="s">
        <v>3403</v>
      </c>
      <c r="D82" s="347"/>
      <c r="E82" s="204"/>
    </row>
    <row r="83" spans="2:5" ht="16" customHeight="1" x14ac:dyDescent="0.35"/>
    <row r="84" spans="2:5" ht="34" customHeight="1" x14ac:dyDescent="0.35">
      <c r="B84" s="509" t="s">
        <v>3404</v>
      </c>
      <c r="C84" s="510"/>
      <c r="D84" s="510"/>
      <c r="E84" s="511"/>
    </row>
    <row r="85" spans="2:5" ht="20.05" customHeight="1" x14ac:dyDescent="0.35">
      <c r="B85" s="336" t="s">
        <v>261</v>
      </c>
      <c r="C85" s="336" t="s">
        <v>262</v>
      </c>
      <c r="D85" s="184" t="s">
        <v>19</v>
      </c>
      <c r="E85" s="336" t="s">
        <v>20</v>
      </c>
    </row>
    <row r="86" spans="2:5" ht="20.05" customHeight="1" x14ac:dyDescent="0.35">
      <c r="B86" s="30" t="s">
        <v>3405</v>
      </c>
      <c r="C86" s="362" t="e">
        <f>CONCATENATE(sample_xreg_vrslcm_hostname,".",sample_parent_dns_zone)</f>
        <v>#NAME?</v>
      </c>
      <c r="D86" s="99" t="str">
        <f>xreg_vrslcm_fqdn</f>
        <v>Value Missing</v>
      </c>
      <c r="E86" s="204"/>
    </row>
    <row r="87" spans="2:5" ht="16" customHeight="1" x14ac:dyDescent="0.35"/>
    <row r="88" spans="2:5" ht="34" customHeight="1" x14ac:dyDescent="0.35">
      <c r="B88" s="509" t="s">
        <v>3406</v>
      </c>
      <c r="C88" s="510"/>
      <c r="D88" s="510"/>
      <c r="E88" s="511"/>
    </row>
    <row r="89" spans="2:5" ht="20.05" customHeight="1" x14ac:dyDescent="0.35">
      <c r="B89" s="336" t="s">
        <v>261</v>
      </c>
      <c r="C89" s="336" t="s">
        <v>262</v>
      </c>
      <c r="D89" s="184" t="s">
        <v>19</v>
      </c>
      <c r="E89" s="336" t="s">
        <v>20</v>
      </c>
    </row>
    <row r="90" spans="2:5" ht="20.05" customHeight="1" x14ac:dyDescent="0.35">
      <c r="B90" s="30" t="s">
        <v>368</v>
      </c>
      <c r="C90" s="362" t="str">
        <f>IF(mgmt_consolidated_result="Included",CONCATENATE(sample_mgmt_vc_fqdn),CONCATENATE(sample_wld_vc_fqdn))</f>
        <v>sfo-w01-vc01.sfo.rainpole.io</v>
      </c>
      <c r="D90" s="99" t="str">
        <f>dri_vcenter_fqdn</f>
        <v>Value Missing</v>
      </c>
      <c r="E90" s="204"/>
    </row>
    <row r="91" spans="2:5" ht="16" customHeight="1" x14ac:dyDescent="0.35"/>
    <row r="92" spans="2:5" ht="34" customHeight="1" x14ac:dyDescent="0.35">
      <c r="B92" s="509" t="s">
        <v>3407</v>
      </c>
      <c r="C92" s="510"/>
      <c r="D92" s="510"/>
      <c r="E92" s="511"/>
    </row>
    <row r="93" spans="2:5" ht="20.05" customHeight="1" x14ac:dyDescent="0.35">
      <c r="B93" s="336" t="s">
        <v>261</v>
      </c>
      <c r="C93" s="336" t="s">
        <v>262</v>
      </c>
      <c r="D93" s="184" t="s">
        <v>19</v>
      </c>
      <c r="E93" s="336" t="s">
        <v>20</v>
      </c>
    </row>
    <row r="94" spans="2:5" ht="34" customHeight="1" x14ac:dyDescent="0.35">
      <c r="B94" s="30" t="s">
        <v>368</v>
      </c>
      <c r="C94" s="362" t="str">
        <f>IF(mgmt_consolidated_result="Included",CONCATENATE(sample_mgmt_vc_fqdn),CONCATENATE(sample_wld_vc_fqdn))</f>
        <v>sfo-w01-vc01.sfo.rainpole.io</v>
      </c>
      <c r="D94" s="99" t="str">
        <f>dri_vcenter_fqdn</f>
        <v>Value Missing</v>
      </c>
      <c r="E94" s="204"/>
    </row>
    <row r="95" spans="2:5" ht="20.05" customHeight="1" x14ac:dyDescent="0.35">
      <c r="B95" s="213" t="s">
        <v>3408</v>
      </c>
      <c r="C95" s="126" t="s">
        <v>3367</v>
      </c>
      <c r="D95" s="347"/>
      <c r="E95" s="204"/>
    </row>
    <row r="96" spans="2:5" ht="20.05" customHeight="1" x14ac:dyDescent="0.35">
      <c r="B96" s="213" t="s">
        <v>3409</v>
      </c>
      <c r="C96" s="362" t="str">
        <f>IF(mgmt_consolidated_result="Included",sample_mgmt_cl01_vsan_datastore,sample_wld_cl01_vsan_datastore)</f>
        <v>sfo-w01-sfo-w01-cl01-vsan01</v>
      </c>
      <c r="D96" s="99" t="str">
        <f>dri_vcenter_vsan_datastore</f>
        <v>Value Missing</v>
      </c>
      <c r="E96" s="204"/>
    </row>
    <row r="97" spans="2:5" ht="16" customHeight="1" x14ac:dyDescent="0.35"/>
    <row r="98" spans="2:5" ht="34" customHeight="1" x14ac:dyDescent="0.35">
      <c r="B98" s="509" t="s">
        <v>3410</v>
      </c>
      <c r="C98" s="510"/>
      <c r="D98" s="510"/>
      <c r="E98" s="511"/>
    </row>
    <row r="99" spans="2:5" ht="20.05" customHeight="1" x14ac:dyDescent="0.35">
      <c r="B99" s="336" t="s">
        <v>261</v>
      </c>
      <c r="C99" s="336" t="s">
        <v>262</v>
      </c>
      <c r="D99" s="184" t="s">
        <v>19</v>
      </c>
      <c r="E99" s="336" t="s">
        <v>20</v>
      </c>
    </row>
    <row r="100" spans="2:5" ht="20.05" customHeight="1" x14ac:dyDescent="0.35">
      <c r="B100" s="30" t="s">
        <v>3405</v>
      </c>
      <c r="C100" s="362" t="e">
        <f>CONCATENATE(sample_xreg_vrslcm_hostname,".",sample_parent_dns_zone)</f>
        <v>#NAME?</v>
      </c>
      <c r="D100" s="99" t="str">
        <f>xreg_vrslcm_fqdn</f>
        <v>Value Missing</v>
      </c>
      <c r="E100" s="204"/>
    </row>
    <row r="101" spans="2:5" ht="16" customHeight="1" x14ac:dyDescent="0.35"/>
    <row r="102" spans="2:5" ht="34" customHeight="1" x14ac:dyDescent="0.35">
      <c r="B102" s="509" t="s">
        <v>3411</v>
      </c>
      <c r="C102" s="510"/>
      <c r="D102" s="510"/>
      <c r="E102" s="511"/>
    </row>
    <row r="103" spans="2:5" ht="20.05" customHeight="1" x14ac:dyDescent="0.35">
      <c r="B103" s="336" t="s">
        <v>261</v>
      </c>
      <c r="C103" s="336" t="s">
        <v>262</v>
      </c>
      <c r="D103" s="184" t="s">
        <v>19</v>
      </c>
      <c r="E103" s="336" t="s">
        <v>20</v>
      </c>
    </row>
    <row r="104" spans="2:5" ht="20.05" customHeight="1" x14ac:dyDescent="0.35">
      <c r="B104" s="30" t="s">
        <v>3405</v>
      </c>
      <c r="C104" s="362" t="e">
        <f>CONCATENATE(sample_xreg_vrslcm_hostname,".",sample_parent_dns_zone)</f>
        <v>#NAME?</v>
      </c>
      <c r="D104" s="99" t="str">
        <f>xreg_vrslcm_fqdn</f>
        <v>Value Missing</v>
      </c>
      <c r="E104" s="204"/>
    </row>
    <row r="105" spans="2:5" ht="16" customHeight="1" x14ac:dyDescent="0.35"/>
    <row r="106" spans="2:5" ht="34" customHeight="1" x14ac:dyDescent="0.35">
      <c r="B106" s="509" t="s">
        <v>3412</v>
      </c>
      <c r="C106" s="510"/>
      <c r="D106" s="510"/>
      <c r="E106" s="511"/>
    </row>
    <row r="107" spans="2:5" ht="20.05" customHeight="1" x14ac:dyDescent="0.35">
      <c r="B107" s="336" t="s">
        <v>261</v>
      </c>
      <c r="C107" s="336" t="s">
        <v>262</v>
      </c>
      <c r="D107" s="184" t="s">
        <v>19</v>
      </c>
      <c r="E107" s="336" t="s">
        <v>20</v>
      </c>
    </row>
    <row r="108" spans="2:5" ht="20.05" customHeight="1" x14ac:dyDescent="0.35">
      <c r="B108" s="30" t="s">
        <v>3405</v>
      </c>
      <c r="C108" s="362" t="e">
        <f>CONCATENATE(sample_xreg_vrslcm_hostname,".",sample_parent_dns_zone)</f>
        <v>#NAME?</v>
      </c>
      <c r="D108" s="99" t="str">
        <f>xreg_vrslcm_fqdn</f>
        <v>Value Missing</v>
      </c>
      <c r="E108" s="204"/>
    </row>
    <row r="109" spans="2:5" ht="16" customHeight="1" x14ac:dyDescent="0.35"/>
    <row r="110" spans="2:5" ht="34" customHeight="1" x14ac:dyDescent="0.35">
      <c r="B110" s="509" t="s">
        <v>3413</v>
      </c>
      <c r="C110" s="510"/>
      <c r="D110" s="510"/>
      <c r="E110" s="511"/>
    </row>
    <row r="111" spans="2:5" ht="20.05" customHeight="1" x14ac:dyDescent="0.35">
      <c r="B111" s="336" t="s">
        <v>261</v>
      </c>
      <c r="C111" s="336" t="s">
        <v>262</v>
      </c>
      <c r="D111" s="184" t="s">
        <v>19</v>
      </c>
      <c r="E111" s="336" t="s">
        <v>20</v>
      </c>
    </row>
    <row r="112" spans="2:5" ht="20.05" customHeight="1" x14ac:dyDescent="0.35">
      <c r="B112" s="30" t="s">
        <v>3405</v>
      </c>
      <c r="C112" s="362" t="e">
        <f>CONCATENATE(sample_xreg_vrslcm_hostname,".",sample_parent_dns_zone)</f>
        <v>#NAME?</v>
      </c>
      <c r="D112" s="99" t="str">
        <f>xreg_vrslcm_fqdn</f>
        <v>Value Missing</v>
      </c>
      <c r="E112" s="204"/>
    </row>
  </sheetData>
  <sheetProtection algorithmName="SHA-512" hashValue="zVAjTA6/YUlUzwFwFvyvyuVVEYggzVFiJT9KV6Kvb/9C/uRVK6Us1y9dHClJnxRFNRoy9wcbtLtb08+gRBB1ew==" saltValue="ZzO8PP6wUwO3NKQpI+wyIw==" spinCount="100000" sheet="1" objects="1" scenarios="1"/>
  <mergeCells count="20">
    <mergeCell ref="B2:E2"/>
    <mergeCell ref="B17:E17"/>
    <mergeCell ref="B33:E33"/>
    <mergeCell ref="B106:E106"/>
    <mergeCell ref="B110:E110"/>
    <mergeCell ref="B98:E98"/>
    <mergeCell ref="B79:E79"/>
    <mergeCell ref="B84:E84"/>
    <mergeCell ref="B88:E88"/>
    <mergeCell ref="B92:E92"/>
    <mergeCell ref="B102:E102"/>
    <mergeCell ref="B63:E63"/>
    <mergeCell ref="B74:E74"/>
    <mergeCell ref="B3:E3"/>
    <mergeCell ref="B56:E56"/>
    <mergeCell ref="B37:E37"/>
    <mergeCell ref="B42:E42"/>
    <mergeCell ref="B49:E49"/>
    <mergeCell ref="B7:E7"/>
    <mergeCell ref="B13:E13"/>
  </mergeCells>
  <conditionalFormatting sqref="D35 D39:D40 D44:D47 D51:D54 D58:D61 D65:D72 D76:D77 D81:D82 D86 D90 D94:D96 D100 D104 D108 D112">
    <cfRule type="expression" dxfId="95" priority="1">
      <formula>air_result="Excluded"</formula>
    </cfRule>
    <cfRule type="containsBlanks" dxfId="94" priority="3">
      <formula>LEN(TRIM(D35))=0</formula>
    </cfRule>
    <cfRule type="notContainsBlanks" dxfId="93" priority="4">
      <formula>LEN(TRIM(D35))&gt;0</formula>
    </cfRule>
  </conditionalFormatting>
  <dataValidations disablePrompts="1" count="2">
    <dataValidation type="list" allowBlank="1" showInputMessage="1" showErrorMessage="1" sqref="C8:D8 C18:D18" xr:uid="{4BEA9190-F800-344C-9020-B8C55E48864B}">
      <formula1>"Standard,Consolidated"</formula1>
    </dataValidation>
    <dataValidation type="list" allowBlank="1" showInputMessage="1" showErrorMessage="1" sqref="D27" xr:uid="{C41A6D75-ACED-7649-8D2F-D0FEAFCAD24B}">
      <formula1>"guaranteed-small,guaranteed-medium,guaranteed-large"</formula1>
    </dataValidation>
  </dataValidations>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C2D1782C-7C4D-834C-B233-40F9CA9203AE}">
            <xm:f>NOT(ISERROR(SEARCH("Value Missing",D35)))</xm:f>
            <xm:f>"Value Missing"</xm:f>
            <x14:dxf>
              <font>
                <color rgb="FF0E223A"/>
              </font>
              <fill>
                <patternFill>
                  <bgColor rgb="FFFFBE29"/>
                </patternFill>
              </fill>
            </x14:dxf>
          </x14:cfRule>
          <xm:sqref>D35 D39:D40 D44:D47 D51:D54 D58:D61 D65:D72 D76:D78 D81:D82 D86 D90 D94:D96 D100 D104 D108 D112</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3CCE0-30AA-FF45-915D-04ED89BEAF8D}">
  <sheetPr codeName="Sheet26">
    <tabColor theme="4" tint="0.39997558519241921"/>
  </sheetPr>
  <dimension ref="A1:S937"/>
  <sheetViews>
    <sheetView zoomScale="91" zoomScaleNormal="10" workbookViewId="0">
      <pane ySplit="6" topLeftCell="A7" activePane="bottomLeft" state="frozen"/>
      <selection pane="bottomLeft" activeCell="K27" sqref="K27"/>
    </sheetView>
  </sheetViews>
  <sheetFormatPr defaultColWidth="11" defaultRowHeight="15" x14ac:dyDescent="0.35"/>
  <cols>
    <col min="1" max="1" width="2.85546875" style="19" customWidth="1"/>
    <col min="2" max="2" width="63.85546875" style="8" customWidth="1"/>
    <col min="3" max="3" width="78.85546875" style="8" customWidth="1"/>
    <col min="4" max="4" width="84.85546875" style="8" customWidth="1"/>
    <col min="5" max="5" width="60.85546875" style="8" customWidth="1"/>
    <col min="6" max="19" width="11" style="19" customWidth="1"/>
    <col min="20" max="27" width="11" style="8" customWidth="1"/>
    <col min="28" max="16384" width="11" style="8"/>
  </cols>
  <sheetData>
    <row r="1" spans="1:19" s="19" customFormat="1" x14ac:dyDescent="0.35">
      <c r="A1" s="215"/>
      <c r="B1" s="203"/>
      <c r="C1" s="203"/>
      <c r="D1" s="203"/>
      <c r="E1" s="203"/>
      <c r="F1" s="203"/>
    </row>
    <row r="2" spans="1:19" ht="54" customHeight="1" x14ac:dyDescent="0.35">
      <c r="A2" s="203"/>
      <c r="B2" s="658" t="s">
        <v>3414</v>
      </c>
      <c r="C2" s="659"/>
      <c r="D2" s="659"/>
      <c r="E2" s="659"/>
      <c r="F2" s="203"/>
    </row>
    <row r="3" spans="1:19" ht="15.45" x14ac:dyDescent="0.35">
      <c r="A3" s="203"/>
      <c r="B3" s="665" t="s">
        <v>3415</v>
      </c>
      <c r="C3" s="665"/>
      <c r="D3" s="665"/>
      <c r="E3" s="665"/>
      <c r="F3" s="203"/>
    </row>
    <row r="4" spans="1:19" x14ac:dyDescent="0.35">
      <c r="A4" s="216"/>
      <c r="B4" s="216"/>
      <c r="C4" s="216"/>
      <c r="D4" s="216"/>
      <c r="E4" s="216"/>
      <c r="F4" s="216"/>
    </row>
    <row r="5" spans="1:19" ht="34" customHeight="1" x14ac:dyDescent="0.35">
      <c r="A5" s="216"/>
      <c r="B5" s="217" t="s">
        <v>3416</v>
      </c>
      <c r="C5" s="217" t="s">
        <v>577</v>
      </c>
      <c r="D5" s="218" t="s">
        <v>2981</v>
      </c>
      <c r="E5" s="219"/>
      <c r="F5" s="220"/>
    </row>
    <row r="6" spans="1:19" ht="20.05" customHeight="1" x14ac:dyDescent="0.35">
      <c r="A6" s="203"/>
      <c r="B6" s="203"/>
      <c r="C6" s="203"/>
      <c r="D6" s="221"/>
      <c r="E6" s="222"/>
      <c r="F6" s="222"/>
    </row>
    <row r="7" spans="1:19" ht="34" customHeight="1" x14ac:dyDescent="0.35">
      <c r="A7" s="8"/>
      <c r="B7" s="407" t="s">
        <v>3417</v>
      </c>
      <c r="C7" s="408"/>
      <c r="D7" s="408"/>
      <c r="E7" s="408"/>
      <c r="F7" s="408"/>
      <c r="G7" s="408"/>
      <c r="H7" s="408"/>
      <c r="I7" s="408"/>
      <c r="J7" s="409"/>
      <c r="K7" s="8"/>
      <c r="L7" s="8"/>
      <c r="M7" s="8"/>
      <c r="N7" s="8"/>
      <c r="O7" s="8"/>
      <c r="P7" s="8"/>
      <c r="Q7" s="8"/>
      <c r="R7" s="8"/>
      <c r="S7" s="8"/>
    </row>
    <row r="8" spans="1:19" ht="20.05" customHeight="1" x14ac:dyDescent="0.35">
      <c r="A8" s="8"/>
      <c r="B8" s="346" t="s">
        <v>2725</v>
      </c>
      <c r="C8" s="346" t="s">
        <v>2726</v>
      </c>
      <c r="D8" s="346" t="s">
        <v>2727</v>
      </c>
      <c r="E8" s="97" t="s">
        <v>2728</v>
      </c>
      <c r="F8" s="346" t="s">
        <v>940</v>
      </c>
      <c r="G8" s="97" t="s">
        <v>941</v>
      </c>
      <c r="H8" s="438" t="s">
        <v>20</v>
      </c>
      <c r="I8" s="443"/>
      <c r="J8" s="439"/>
      <c r="K8" s="8"/>
      <c r="L8" s="8"/>
      <c r="M8" s="8"/>
      <c r="N8" s="8"/>
      <c r="O8" s="8"/>
      <c r="P8" s="8"/>
      <c r="Q8" s="8"/>
      <c r="R8" s="8"/>
      <c r="S8" s="8"/>
    </row>
    <row r="9" spans="1:19" ht="20.05" customHeight="1" x14ac:dyDescent="0.35">
      <c r="A9" s="8"/>
      <c r="B9" s="4" t="s">
        <v>3418</v>
      </c>
      <c r="C9" s="9" t="s">
        <v>1905</v>
      </c>
      <c r="D9" s="80" t="str">
        <f>CONCATENATE(this_instance,"-cbr-cdp01a")</f>
        <v>sfo-cbr-cdp01a</v>
      </c>
      <c r="E9" s="347"/>
      <c r="F9" s="80" t="str">
        <f>IF(mgmt_dpg_reuse_result="Included",CONCATENATE(prefix_mgmt_az1_cidr,"10.44"),CONCATENATE(prefix_mgmt_az1_cidr,"11.44"))</f>
        <v>10.11.10.44</v>
      </c>
      <c r="G9" s="347"/>
      <c r="H9" s="645"/>
      <c r="I9" s="646"/>
      <c r="J9" s="644"/>
      <c r="K9" s="8"/>
      <c r="L9" s="8"/>
      <c r="M9" s="8"/>
      <c r="N9" s="8"/>
      <c r="O9" s="8"/>
      <c r="P9" s="8"/>
      <c r="Q9" s="8"/>
      <c r="R9" s="8"/>
      <c r="S9" s="8"/>
    </row>
    <row r="10" spans="1:19" ht="20.05" customHeight="1" x14ac:dyDescent="0.35">
      <c r="A10" s="8"/>
      <c r="B10" s="4"/>
      <c r="C10" s="9" t="s">
        <v>3419</v>
      </c>
      <c r="D10" s="80" t="str">
        <f>CONCATENATE(this_instance,"-cbr-cdp01b")</f>
        <v>sfo-cbr-cdp01b</v>
      </c>
      <c r="E10" s="347"/>
      <c r="F10" s="80" t="str">
        <f>IF(mgmt_dpg_reuse_result="Included",CONCATENATE(prefix_mgmt_az1_cidr,"10.45"),CONCATENATE(prefix_mgmt_az1_cidr,"11.45"))</f>
        <v>10.11.10.45</v>
      </c>
      <c r="G10" s="347"/>
      <c r="H10" s="645"/>
      <c r="I10" s="646"/>
      <c r="J10" s="644"/>
      <c r="K10" s="8"/>
      <c r="L10" s="8"/>
      <c r="M10" s="8"/>
      <c r="N10" s="8"/>
      <c r="O10" s="8"/>
      <c r="P10" s="8"/>
      <c r="Q10" s="8"/>
      <c r="R10" s="8"/>
      <c r="S10" s="8"/>
    </row>
    <row r="11" spans="1:19" x14ac:dyDescent="0.35">
      <c r="A11" s="8"/>
      <c r="F11" s="8"/>
      <c r="G11" s="8"/>
      <c r="H11" s="8"/>
      <c r="I11" s="8"/>
      <c r="J11" s="8"/>
      <c r="K11" s="8"/>
      <c r="L11" s="8"/>
      <c r="M11" s="8"/>
      <c r="N11" s="8"/>
      <c r="O11" s="8"/>
      <c r="P11" s="8"/>
      <c r="Q11" s="8"/>
      <c r="R11" s="8"/>
      <c r="S11" s="8"/>
    </row>
    <row r="12" spans="1:19" s="202" customFormat="1" ht="30" customHeight="1" x14ac:dyDescent="0.45">
      <c r="B12" s="579" t="s">
        <v>3420</v>
      </c>
      <c r="C12" s="580"/>
      <c r="D12" s="580"/>
      <c r="E12" s="581"/>
    </row>
    <row r="13" spans="1:19" s="202" customFormat="1" ht="20.05" customHeight="1" x14ac:dyDescent="0.45">
      <c r="B13" s="166" t="s">
        <v>261</v>
      </c>
      <c r="C13" s="166" t="s">
        <v>262</v>
      </c>
      <c r="D13" s="167" t="s">
        <v>19</v>
      </c>
      <c r="E13" s="166" t="s">
        <v>20</v>
      </c>
    </row>
    <row r="14" spans="1:19" s="2" customFormat="1" ht="20.05" customHeight="1" x14ac:dyDescent="0.45">
      <c r="B14" s="4" t="s">
        <v>2136</v>
      </c>
      <c r="C14" s="9" t="s">
        <v>3421</v>
      </c>
      <c r="D14" s="113"/>
      <c r="E14" s="197"/>
    </row>
    <row r="15" spans="1:19" s="2" customFormat="1" ht="20.05" customHeight="1" x14ac:dyDescent="0.45">
      <c r="B15" s="4" t="s">
        <v>2140</v>
      </c>
      <c r="C15" s="9" t="s">
        <v>3422</v>
      </c>
      <c r="D15" s="113"/>
      <c r="E15" s="197"/>
    </row>
    <row r="16" spans="1:19" s="2" customFormat="1" ht="20.05" customHeight="1" x14ac:dyDescent="0.45">
      <c r="B16" s="4" t="s">
        <v>2144</v>
      </c>
      <c r="C16" s="9" t="s">
        <v>30</v>
      </c>
      <c r="D16" s="113"/>
      <c r="E16" s="197"/>
    </row>
    <row r="17" spans="2:5" s="2" customFormat="1" ht="20.05" customHeight="1" x14ac:dyDescent="0.45">
      <c r="B17" s="4" t="s">
        <v>3423</v>
      </c>
      <c r="C17" s="9" t="str">
        <f>CONCATENATE(this_instance,"-m01-fd-cbr")</f>
        <v>sfo-m01-fd-cbr</v>
      </c>
      <c r="D17" s="113"/>
      <c r="E17" s="197"/>
    </row>
    <row r="18" spans="2:5" s="2" customFormat="1" ht="20.05" customHeight="1" x14ac:dyDescent="0.45">
      <c r="B18" s="4" t="s">
        <v>2150</v>
      </c>
      <c r="C18" s="9" t="s">
        <v>3424</v>
      </c>
      <c r="D18" s="113"/>
      <c r="E18" s="197"/>
    </row>
    <row r="19" spans="2:5" s="2" customFormat="1" ht="20.05" customHeight="1" x14ac:dyDescent="0.45">
      <c r="B19" s="4" t="s">
        <v>2154</v>
      </c>
      <c r="C19" s="9" t="s">
        <v>2684</v>
      </c>
      <c r="D19" s="113"/>
      <c r="E19" s="197"/>
    </row>
    <row r="20" spans="2:5" s="2" customFormat="1" ht="20.05" customHeight="1" x14ac:dyDescent="0.45">
      <c r="B20" s="4" t="s">
        <v>2157</v>
      </c>
      <c r="C20" s="9" t="s">
        <v>3425</v>
      </c>
      <c r="D20" s="113"/>
      <c r="E20" s="197"/>
    </row>
    <row r="21" spans="2:5" s="2" customFormat="1" ht="20.05" customHeight="1" x14ac:dyDescent="0.45">
      <c r="B21" s="4" t="s">
        <v>2161</v>
      </c>
      <c r="C21" s="9">
        <v>2</v>
      </c>
      <c r="D21" s="113"/>
      <c r="E21" s="197"/>
    </row>
    <row r="22" spans="2:5" s="2" customFormat="1" ht="20.05" customHeight="1" x14ac:dyDescent="0.45">
      <c r="B22" s="4" t="s">
        <v>2166</v>
      </c>
      <c r="C22" s="9" t="s">
        <v>3426</v>
      </c>
      <c r="D22" s="113"/>
      <c r="E22" s="197"/>
    </row>
    <row r="23" spans="2:5" s="2" customFormat="1" ht="20.05" customHeight="1" x14ac:dyDescent="0.45">
      <c r="B23" s="4" t="s">
        <v>2170</v>
      </c>
      <c r="C23" s="9" t="s">
        <v>3426</v>
      </c>
      <c r="D23" s="113"/>
      <c r="E23" s="197"/>
    </row>
    <row r="24" spans="2:5" s="2" customFormat="1" ht="20.05" customHeight="1" x14ac:dyDescent="0.45">
      <c r="B24" s="4" t="s">
        <v>2175</v>
      </c>
      <c r="C24" s="9" t="s">
        <v>3427</v>
      </c>
      <c r="D24" s="113"/>
      <c r="E24" s="197"/>
    </row>
    <row r="25" spans="2:5" s="2" customFormat="1" ht="20.05" customHeight="1" x14ac:dyDescent="0.45">
      <c r="B25" s="4" t="s">
        <v>3428</v>
      </c>
      <c r="C25" s="9" t="s">
        <v>3429</v>
      </c>
      <c r="D25" s="113"/>
      <c r="E25" s="197"/>
    </row>
    <row r="26" spans="2:5" s="2" customFormat="1" ht="20.05" customHeight="1" x14ac:dyDescent="0.45">
      <c r="B26" s="4" t="s">
        <v>3430</v>
      </c>
      <c r="C26" s="9" t="s">
        <v>3431</v>
      </c>
      <c r="D26" s="113"/>
      <c r="E26" s="197"/>
    </row>
    <row r="27" spans="2:5" s="2" customFormat="1" ht="20.05" customHeight="1" x14ac:dyDescent="0.45">
      <c r="B27" s="4" t="s">
        <v>2301</v>
      </c>
      <c r="C27" s="9" t="s">
        <v>3432</v>
      </c>
      <c r="D27" s="113"/>
      <c r="E27" s="197"/>
    </row>
    <row r="28" spans="2:5" s="2" customFormat="1" ht="20.05" customHeight="1" x14ac:dyDescent="0.45">
      <c r="B28" s="4" t="s">
        <v>3433</v>
      </c>
      <c r="C28" s="9" t="s">
        <v>3434</v>
      </c>
      <c r="D28" s="113"/>
      <c r="E28" s="197"/>
    </row>
    <row r="29" spans="2:5" s="2" customFormat="1" ht="20.05" customHeight="1" x14ac:dyDescent="0.45">
      <c r="B29" s="4" t="s">
        <v>3435</v>
      </c>
      <c r="C29" s="9" t="str">
        <f>CONCATENATE(this_instance,"-vcf01-instance")</f>
        <v>sfo-vcf01-instance</v>
      </c>
      <c r="D29" s="113"/>
      <c r="E29" s="197"/>
    </row>
    <row r="30" spans="2:5" s="2" customFormat="1" ht="20.05" customHeight="1" x14ac:dyDescent="0.45">
      <c r="B30" s="4" t="s">
        <v>3436</v>
      </c>
      <c r="C30" s="9" t="s">
        <v>3437</v>
      </c>
      <c r="D30" s="113"/>
      <c r="E30" s="197"/>
    </row>
    <row r="31" spans="2:5" s="2" customFormat="1" ht="20.05" customHeight="1" x14ac:dyDescent="0.45">
      <c r="B31" s="4" t="s">
        <v>2204</v>
      </c>
      <c r="C31" s="9" t="s">
        <v>3438</v>
      </c>
      <c r="D31" s="113"/>
      <c r="E31" s="197"/>
    </row>
    <row r="32" spans="2:5" s="2" customFormat="1" ht="20.05" customHeight="1" x14ac:dyDescent="0.45">
      <c r="B32" s="4" t="s">
        <v>2208</v>
      </c>
      <c r="C32" s="9" t="s">
        <v>3439</v>
      </c>
      <c r="D32" s="113"/>
      <c r="E32" s="197"/>
    </row>
    <row r="33" spans="1:6" s="2" customFormat="1" ht="20.05" customHeight="1" x14ac:dyDescent="0.45">
      <c r="B33" s="4" t="s">
        <v>2212</v>
      </c>
      <c r="C33" s="9" t="s">
        <v>3426</v>
      </c>
      <c r="D33" s="113"/>
      <c r="E33" s="197"/>
    </row>
    <row r="34" spans="1:6" s="2" customFormat="1" ht="20.05" customHeight="1" x14ac:dyDescent="0.45">
      <c r="B34" s="4" t="s">
        <v>2216</v>
      </c>
      <c r="C34" s="9" t="str">
        <f>CONCATENATE(this_instance,"-cbr-cdp01")</f>
        <v>sfo-cbr-cdp01</v>
      </c>
      <c r="D34" s="113"/>
      <c r="E34" s="197"/>
    </row>
    <row r="35" spans="1:6" s="2" customFormat="1" ht="20.05" customHeight="1" x14ac:dyDescent="0.45">
      <c r="B35" s="4" t="s">
        <v>2219</v>
      </c>
      <c r="C35" s="9" t="str">
        <f>CONCATENATE(sample_mgmt_sddc_domain,"anti-affinity-rule-cbr")</f>
        <v>sfo-m01anti-affinity-rule-cbr</v>
      </c>
      <c r="D35" s="113"/>
      <c r="E35" s="197"/>
    </row>
    <row r="36" spans="1:6" s="2" customFormat="1" ht="20.05" customHeight="1" x14ac:dyDescent="0.45">
      <c r="B36" s="4" t="s">
        <v>2223</v>
      </c>
      <c r="C36" s="9" t="s">
        <v>3440</v>
      </c>
      <c r="D36" s="113"/>
      <c r="E36" s="197"/>
    </row>
    <row r="37" spans="1:6" s="2" customFormat="1" ht="20.05" customHeight="1" x14ac:dyDescent="0.45">
      <c r="B37" s="4" t="s">
        <v>2228</v>
      </c>
      <c r="C37" s="9" t="s">
        <v>69</v>
      </c>
      <c r="D37" s="113"/>
      <c r="E37" s="197"/>
    </row>
    <row r="38" spans="1:6" s="2" customFormat="1" ht="20.05" customHeight="1" x14ac:dyDescent="0.45">
      <c r="B38" s="4" t="s">
        <v>2232</v>
      </c>
      <c r="C38" s="9" t="s">
        <v>3426</v>
      </c>
      <c r="D38" s="113"/>
      <c r="E38" s="197"/>
    </row>
    <row r="39" spans="1:6" s="2" customFormat="1" ht="20.05" customHeight="1" x14ac:dyDescent="0.45">
      <c r="B39" s="4" t="s">
        <v>2236</v>
      </c>
      <c r="C39" s="9" t="s">
        <v>3426</v>
      </c>
      <c r="D39" s="113"/>
      <c r="E39" s="197"/>
    </row>
    <row r="40" spans="1:6" s="2" customFormat="1" ht="16" customHeight="1" x14ac:dyDescent="0.45"/>
    <row r="41" spans="1:6" x14ac:dyDescent="0.35">
      <c r="A41" s="216"/>
      <c r="B41" s="216"/>
      <c r="C41" s="216"/>
      <c r="D41" s="216"/>
      <c r="E41" s="216"/>
      <c r="F41" s="216"/>
    </row>
    <row r="42" spans="1:6" ht="34" customHeight="1" x14ac:dyDescent="0.35">
      <c r="A42" s="216"/>
      <c r="B42" s="657" t="s">
        <v>577</v>
      </c>
      <c r="C42" s="657"/>
      <c r="D42" s="657"/>
      <c r="E42" s="657"/>
      <c r="F42" s="216"/>
    </row>
    <row r="43" spans="1:6" s="19" customFormat="1" x14ac:dyDescent="0.35">
      <c r="A43" s="216"/>
      <c r="B43" s="216"/>
      <c r="C43" s="216"/>
      <c r="D43" s="216"/>
      <c r="E43" s="216"/>
      <c r="F43" s="216"/>
    </row>
    <row r="44" spans="1:6" s="19" customFormat="1" ht="34" customHeight="1" x14ac:dyDescent="0.35">
      <c r="A44" s="223"/>
      <c r="B44" s="656" t="s">
        <v>3441</v>
      </c>
      <c r="C44" s="656"/>
      <c r="D44" s="656"/>
      <c r="E44" s="656"/>
    </row>
    <row r="45" spans="1:6" s="19" customFormat="1" ht="20.05" customHeight="1" x14ac:dyDescent="0.35">
      <c r="A45" s="223"/>
      <c r="B45" s="224" t="s">
        <v>261</v>
      </c>
      <c r="C45" s="224" t="s">
        <v>262</v>
      </c>
      <c r="D45" s="225" t="s">
        <v>19</v>
      </c>
      <c r="E45" s="224" t="s">
        <v>20</v>
      </c>
    </row>
    <row r="46" spans="1:6" s="19" customFormat="1" ht="20.05" customHeight="1" x14ac:dyDescent="0.35">
      <c r="A46" s="223"/>
      <c r="B46" s="226" t="s">
        <v>2910</v>
      </c>
      <c r="C46" s="227" t="str">
        <f>sample_mgmt_vc_fqdn</f>
        <v>sfo-m01-vc01.sfo.rainpole.io</v>
      </c>
      <c r="D46" s="112" t="str">
        <f>mgmt_vc_fqdn</f>
        <v>Value Missing</v>
      </c>
      <c r="E46" s="228"/>
    </row>
    <row r="47" spans="1:6" s="19" customFormat="1" ht="20.05" customHeight="1" x14ac:dyDescent="0.35">
      <c r="A47" s="223"/>
      <c r="B47" s="226" t="s">
        <v>301</v>
      </c>
      <c r="C47" s="227" t="str">
        <f>sample_mgmt_datacenter</f>
        <v>sfo-m01-dc01</v>
      </c>
      <c r="D47" s="112" t="str">
        <f>mgmt_datacenter</f>
        <v>Value Missing</v>
      </c>
      <c r="E47" s="228"/>
    </row>
    <row r="48" spans="1:6" s="19" customFormat="1" ht="20.05" customHeight="1" x14ac:dyDescent="0.35">
      <c r="A48" s="223"/>
      <c r="B48" s="229" t="s">
        <v>3442</v>
      </c>
      <c r="C48" s="227" t="str">
        <f t="array" ref="C48">sample_cbr_vm_folder</f>
        <v>sfo-m01-fd-cbr</v>
      </c>
      <c r="D48" s="112" t="str">
        <f t="array" ref="D48">cbr_vm_folder</f>
        <v>Value Missing</v>
      </c>
      <c r="E48" s="228"/>
    </row>
    <row r="49" spans="2:5" s="19" customFormat="1" ht="20.05" customHeight="1" x14ac:dyDescent="0.35"/>
    <row r="50" spans="2:5" s="19" customFormat="1" ht="34" customHeight="1" x14ac:dyDescent="0.35">
      <c r="B50" s="656" t="s">
        <v>3443</v>
      </c>
      <c r="C50" s="656"/>
      <c r="D50" s="656"/>
      <c r="E50" s="656"/>
    </row>
    <row r="51" spans="2:5" s="19" customFormat="1" ht="20.05" customHeight="1" x14ac:dyDescent="0.35">
      <c r="B51" s="224" t="s">
        <v>261</v>
      </c>
      <c r="C51" s="224" t="s">
        <v>262</v>
      </c>
      <c r="D51" s="225" t="s">
        <v>19</v>
      </c>
      <c r="E51" s="224" t="s">
        <v>20</v>
      </c>
    </row>
    <row r="52" spans="2:5" s="19" customFormat="1" ht="20.05" customHeight="1" x14ac:dyDescent="0.35">
      <c r="B52" s="226" t="s">
        <v>3444</v>
      </c>
      <c r="C52" s="227" t="s">
        <v>3445</v>
      </c>
      <c r="D52" s="112" t="str">
        <f>C52</f>
        <v>console.cloud.vmware.com</v>
      </c>
      <c r="E52" s="228"/>
    </row>
    <row r="53" spans="2:5" s="19" customFormat="1" ht="20.05" customHeight="1" x14ac:dyDescent="0.35">
      <c r="B53" s="226" t="s">
        <v>3446</v>
      </c>
      <c r="C53" s="227" t="str">
        <f t="array" ref="C53">sample_cbr_recovery_sddc_name</f>
        <v>aws-recovery-sddc</v>
      </c>
      <c r="D53" s="112" t="str">
        <f>cbr_recovery_sddc_name</f>
        <v>Value Missing</v>
      </c>
      <c r="E53" s="228"/>
    </row>
    <row r="54" spans="2:5" s="19" customFormat="1" ht="20.05" customHeight="1" x14ac:dyDescent="0.35">
      <c r="B54" s="226" t="s">
        <v>2154</v>
      </c>
      <c r="C54" s="227" t="str">
        <f t="array" ref="C54">sample_cbr_recovery_region</f>
        <v>Europe (Ireland)</v>
      </c>
      <c r="D54" s="112" t="str">
        <f>cbr_recovery_region</f>
        <v>Value Missing</v>
      </c>
      <c r="E54" s="228"/>
    </row>
    <row r="55" spans="2:5" s="19" customFormat="1" ht="20.05" customHeight="1" x14ac:dyDescent="0.35">
      <c r="B55" s="226" t="s">
        <v>2157</v>
      </c>
      <c r="C55" s="227" t="str">
        <f t="array" ref="C55">sample_cbr_recovery_host_type</f>
        <v>I4i (Local SSD)</v>
      </c>
      <c r="D55" s="112" t="str">
        <f>cbr_recovery_host_type</f>
        <v>Value Missing</v>
      </c>
      <c r="E55" s="228"/>
    </row>
    <row r="56" spans="2:5" s="19" customFormat="1" ht="20.05" customHeight="1" x14ac:dyDescent="0.35">
      <c r="B56" s="226" t="s">
        <v>2161</v>
      </c>
      <c r="C56" s="227">
        <f t="array" ref="C56">sample_cbr_recovery_host_count</f>
        <v>2</v>
      </c>
      <c r="D56" s="112" t="str">
        <f>cbr_recovery_host_count</f>
        <v>Value Missing</v>
      </c>
      <c r="E56" s="228"/>
    </row>
    <row r="57" spans="2:5" s="19" customFormat="1" ht="20.05" customHeight="1" x14ac:dyDescent="0.35">
      <c r="B57" s="226" t="s">
        <v>2166</v>
      </c>
      <c r="C57" s="227" t="str">
        <f t="array" ref="C57">sample_cbr_recovery_vpc</f>
        <v>&lt;generated&gt;</v>
      </c>
      <c r="D57" s="112" t="str">
        <f>cbr_recovery_vpc</f>
        <v>Value Missing</v>
      </c>
      <c r="E57" s="228"/>
    </row>
    <row r="58" spans="2:5" s="19" customFormat="1" ht="20.05" customHeight="1" x14ac:dyDescent="0.35">
      <c r="B58" s="226" t="s">
        <v>2170</v>
      </c>
      <c r="C58" s="227" t="str">
        <f t="array" ref="C58">sample_cbr_recovery_subnet</f>
        <v>&lt;generated&gt;</v>
      </c>
      <c r="D58" s="112" t="str">
        <f t="array" ref="D58">cbr_recovery_subnet</f>
        <v>Value Missing</v>
      </c>
      <c r="E58" s="228"/>
    </row>
    <row r="59" spans="2:5" s="19" customFormat="1" ht="20.05" customHeight="1" x14ac:dyDescent="0.35">
      <c r="B59" s="226" t="s">
        <v>2175</v>
      </c>
      <c r="C59" s="227" t="str">
        <f t="array" ref="C59">sample_cbr_recovery_management_subnet</f>
        <v>10.2.0.0/16</v>
      </c>
      <c r="D59" s="112" t="str">
        <f>cbr_recovery_management_subnet</f>
        <v>Value Missing</v>
      </c>
      <c r="E59" s="228"/>
    </row>
    <row r="60" spans="2:5" s="19" customFormat="1" ht="20.05" customHeight="1" x14ac:dyDescent="0.35"/>
    <row r="61" spans="2:5" s="19" customFormat="1" ht="34" customHeight="1" x14ac:dyDescent="0.35">
      <c r="B61" s="656" t="s">
        <v>3447</v>
      </c>
      <c r="C61" s="656"/>
      <c r="D61" s="656"/>
      <c r="E61" s="656"/>
    </row>
    <row r="62" spans="2:5" s="19" customFormat="1" ht="20.05" customHeight="1" x14ac:dyDescent="0.35">
      <c r="B62" s="224" t="s">
        <v>261</v>
      </c>
      <c r="C62" s="224" t="s">
        <v>262</v>
      </c>
      <c r="D62" s="225" t="s">
        <v>19</v>
      </c>
      <c r="E62" s="224" t="s">
        <v>20</v>
      </c>
    </row>
    <row r="63" spans="2:5" s="19" customFormat="1" ht="20.05" customHeight="1" x14ac:dyDescent="0.35">
      <c r="B63" s="226" t="s">
        <v>3444</v>
      </c>
      <c r="C63" s="227" t="s">
        <v>3445</v>
      </c>
      <c r="D63" s="112" t="s">
        <v>3445</v>
      </c>
      <c r="E63" s="228"/>
    </row>
    <row r="64" spans="2:5" s="19" customFormat="1" ht="20.05" customHeight="1" x14ac:dyDescent="0.35">
      <c r="B64" s="226" t="s">
        <v>3448</v>
      </c>
      <c r="C64" s="227" t="str">
        <f t="array" ref="C64">sample_cbr_firewall_rule_vcenter</f>
        <v>vCenter Inbound Rule</v>
      </c>
      <c r="D64" s="112" t="str">
        <f t="array" ref="D64">cbr_firewall_rule_vcenter</f>
        <v>Value Missing</v>
      </c>
      <c r="E64" s="228"/>
    </row>
    <row r="65" spans="2:5" s="19" customFormat="1" ht="20.05" customHeight="1" x14ac:dyDescent="0.35">
      <c r="B65" s="226" t="s">
        <v>3449</v>
      </c>
      <c r="C65" s="227" t="str">
        <f t="array" ref="C65">sample_cbr_firewall_group</f>
        <v>External-Access</v>
      </c>
      <c r="D65" s="112"/>
      <c r="E65" s="228"/>
    </row>
    <row r="66" spans="2:5" s="19" customFormat="1" ht="20.05" customHeight="1" x14ac:dyDescent="0.35">
      <c r="B66" s="226" t="s">
        <v>3450</v>
      </c>
      <c r="C66" s="227" t="s">
        <v>814</v>
      </c>
      <c r="D66" s="112" t="str">
        <f>C66</f>
        <v>vCenter</v>
      </c>
      <c r="E66" s="228"/>
    </row>
    <row r="67" spans="2:5" s="19" customFormat="1" ht="20.05" customHeight="1" x14ac:dyDescent="0.35">
      <c r="B67" s="226" t="s">
        <v>3451</v>
      </c>
      <c r="C67" s="227" t="s">
        <v>3452</v>
      </c>
      <c r="D67" s="112" t="str">
        <f>C67</f>
        <v>HTTPS (TCP 443)</v>
      </c>
      <c r="E67" s="228"/>
    </row>
    <row r="68" spans="2:5" s="19" customFormat="1" ht="20.05" customHeight="1" x14ac:dyDescent="0.35">
      <c r="B68" s="226" t="s">
        <v>3451</v>
      </c>
      <c r="C68" s="227" t="s">
        <v>3453</v>
      </c>
      <c r="D68" s="112" t="str">
        <f>C68</f>
        <v>SSO (TCP 7444)</v>
      </c>
      <c r="E68" s="228"/>
    </row>
    <row r="69" spans="2:5" s="19" customFormat="1" ht="20.05" customHeight="1" x14ac:dyDescent="0.35">
      <c r="B69" s="226" t="s">
        <v>3454</v>
      </c>
      <c r="C69" s="227" t="str">
        <f t="array" ref="C69">sample_cbr_firewall_ip_addresses</f>
        <v>69.34.34.11</v>
      </c>
      <c r="D69" s="112"/>
      <c r="E69" s="228"/>
    </row>
    <row r="70" spans="2:5" s="19" customFormat="1" ht="20.05" customHeight="1" x14ac:dyDescent="0.35"/>
    <row r="71" spans="2:5" s="19" customFormat="1" ht="34" customHeight="1" x14ac:dyDescent="0.35">
      <c r="B71" s="656" t="s">
        <v>3455</v>
      </c>
      <c r="C71" s="656"/>
      <c r="D71" s="656"/>
      <c r="E71" s="656"/>
    </row>
    <row r="72" spans="2:5" s="19" customFormat="1" ht="20.05" customHeight="1" x14ac:dyDescent="0.35">
      <c r="B72" s="224" t="s">
        <v>261</v>
      </c>
      <c r="C72" s="224" t="s">
        <v>262</v>
      </c>
      <c r="D72" s="225" t="s">
        <v>19</v>
      </c>
      <c r="E72" s="224" t="s">
        <v>20</v>
      </c>
    </row>
    <row r="73" spans="2:5" s="19" customFormat="1" ht="20.05" customHeight="1" x14ac:dyDescent="0.35">
      <c r="B73" s="226" t="s">
        <v>3444</v>
      </c>
      <c r="C73" s="227" t="s">
        <v>3445</v>
      </c>
      <c r="D73" s="112" t="s">
        <v>3445</v>
      </c>
      <c r="E73" s="228"/>
    </row>
    <row r="74" spans="2:5" s="19" customFormat="1" ht="20.05" customHeight="1" x14ac:dyDescent="0.35">
      <c r="B74" s="226" t="s">
        <v>2154</v>
      </c>
      <c r="C74" s="227" t="str">
        <f>sample_cbr_recovery_region</f>
        <v>Europe (Ireland)</v>
      </c>
      <c r="D74" s="112" t="str">
        <f>cbr_recovery_region</f>
        <v>Value Missing</v>
      </c>
      <c r="E74" s="228"/>
    </row>
    <row r="75" spans="2:5" s="19" customFormat="1" ht="20.05" customHeight="1" x14ac:dyDescent="0.35"/>
    <row r="76" spans="2:5" s="19" customFormat="1" ht="34" customHeight="1" x14ac:dyDescent="0.35">
      <c r="B76" s="662" t="s">
        <v>3456</v>
      </c>
      <c r="C76" s="663"/>
      <c r="D76" s="663"/>
      <c r="E76" s="664"/>
    </row>
    <row r="77" spans="2:5" s="19" customFormat="1" ht="20.05" customHeight="1" x14ac:dyDescent="0.35">
      <c r="B77" s="224" t="s">
        <v>261</v>
      </c>
      <c r="C77" s="224" t="s">
        <v>262</v>
      </c>
      <c r="D77" s="225" t="s">
        <v>19</v>
      </c>
      <c r="E77" s="224" t="s">
        <v>20</v>
      </c>
    </row>
    <row r="78" spans="2:5" s="19" customFormat="1" ht="20.05" customHeight="1" x14ac:dyDescent="0.35">
      <c r="B78" s="226" t="s">
        <v>3444</v>
      </c>
      <c r="C78" s="227" t="s">
        <v>3445</v>
      </c>
      <c r="D78" s="112" t="s">
        <v>3445</v>
      </c>
      <c r="E78" s="228"/>
    </row>
    <row r="79" spans="2:5" s="19" customFormat="1" ht="20.05" customHeight="1" x14ac:dyDescent="0.35">
      <c r="B79" s="226" t="s">
        <v>3457</v>
      </c>
      <c r="C79" s="227" t="str">
        <f>sample_cbr_recovery_region</f>
        <v>Europe (Ireland)</v>
      </c>
      <c r="D79" s="112" t="str">
        <f>cbr_recovery_region</f>
        <v>Value Missing</v>
      </c>
      <c r="E79" s="228"/>
    </row>
    <row r="80" spans="2:5" s="19" customFormat="1" ht="20.05" customHeight="1" x14ac:dyDescent="0.35">
      <c r="B80" s="226" t="s">
        <v>3458</v>
      </c>
      <c r="C80" s="227" t="str">
        <f t="array" ref="C80">sample_cbr_vcdr_cloud_file_system</f>
        <v>usw2-az2-cfs01</v>
      </c>
      <c r="D80" s="112"/>
      <c r="E80" s="228"/>
    </row>
    <row r="81" spans="2:5" s="19" customFormat="1" ht="20.05" customHeight="1" x14ac:dyDescent="0.35"/>
    <row r="82" spans="2:5" s="19" customFormat="1" ht="34" customHeight="1" x14ac:dyDescent="0.35">
      <c r="B82" s="656" t="s">
        <v>3459</v>
      </c>
      <c r="C82" s="656"/>
      <c r="D82" s="656"/>
      <c r="E82" s="656"/>
    </row>
    <row r="83" spans="2:5" s="19" customFormat="1" ht="20.05" customHeight="1" x14ac:dyDescent="0.35">
      <c r="B83" s="224" t="s">
        <v>261</v>
      </c>
      <c r="C83" s="224" t="s">
        <v>262</v>
      </c>
      <c r="D83" s="225" t="s">
        <v>19</v>
      </c>
      <c r="E83" s="224" t="s">
        <v>20</v>
      </c>
    </row>
    <row r="84" spans="2:5" s="19" customFormat="1" ht="20.05" customHeight="1" x14ac:dyDescent="0.35">
      <c r="B84" s="226" t="s">
        <v>3444</v>
      </c>
      <c r="C84" s="227" t="s">
        <v>3445</v>
      </c>
      <c r="D84" s="112" t="s">
        <v>3445</v>
      </c>
      <c r="E84" s="228"/>
    </row>
    <row r="85" spans="2:5" s="19" customFormat="1" ht="20.05" customHeight="1" x14ac:dyDescent="0.35">
      <c r="B85" s="226" t="s">
        <v>3460</v>
      </c>
      <c r="C85" s="227" t="str">
        <f>sample_cbr_vcdr_cloud_file_system</f>
        <v>usw2-az2-cfs01</v>
      </c>
      <c r="D85" s="112"/>
      <c r="E85" s="228"/>
    </row>
    <row r="86" spans="2:5" s="19" customFormat="1" ht="20.05" customHeight="1" x14ac:dyDescent="0.35">
      <c r="B86" s="226" t="s">
        <v>3461</v>
      </c>
      <c r="C86" s="227" t="str">
        <f t="array" ref="C86">sample_cbr_vcdr_timezone</f>
        <v>UTC</v>
      </c>
      <c r="D86" s="112" t="str">
        <f t="array" ref="D86">cbr_vcdr_timezone</f>
        <v>Value Missing</v>
      </c>
      <c r="E86" s="228"/>
    </row>
    <row r="87" spans="2:5" s="19" customFormat="1" ht="20.05" customHeight="1" x14ac:dyDescent="0.35">
      <c r="B87" s="226" t="s">
        <v>3462</v>
      </c>
      <c r="C87" s="227" t="str">
        <f t="array" ref="C87">sample_cbr_vcdr_site_name</f>
        <v>sfo-vcf01-instance</v>
      </c>
      <c r="D87" s="112" t="str">
        <f t="array" ref="D87">cbr_vcdr_site_name</f>
        <v>Value Missing</v>
      </c>
      <c r="E87" s="228"/>
    </row>
    <row r="88" spans="2:5" s="19" customFormat="1" ht="20.05" customHeight="1" x14ac:dyDescent="0.35"/>
    <row r="89" spans="2:5" s="19" customFormat="1" ht="34" customHeight="1" x14ac:dyDescent="0.35">
      <c r="B89" s="656" t="s">
        <v>3463</v>
      </c>
      <c r="C89" s="656"/>
      <c r="D89" s="656"/>
      <c r="E89" s="656"/>
    </row>
    <row r="90" spans="2:5" s="19" customFormat="1" ht="20.05" customHeight="1" x14ac:dyDescent="0.35">
      <c r="B90" s="224" t="s">
        <v>261</v>
      </c>
      <c r="C90" s="224" t="s">
        <v>262</v>
      </c>
      <c r="D90" s="225" t="s">
        <v>19</v>
      </c>
      <c r="E90" s="224" t="s">
        <v>20</v>
      </c>
    </row>
    <row r="91" spans="2:5" s="19" customFormat="1" ht="20.05" customHeight="1" x14ac:dyDescent="0.35">
      <c r="B91" s="226" t="s">
        <v>3444</v>
      </c>
      <c r="C91" s="227" t="s">
        <v>3445</v>
      </c>
      <c r="D91" s="112" t="s">
        <v>3445</v>
      </c>
      <c r="E91" s="228"/>
    </row>
    <row r="92" spans="2:5" s="19" customFormat="1" ht="20.05" customHeight="1" x14ac:dyDescent="0.35">
      <c r="B92" s="226" t="s">
        <v>3464</v>
      </c>
      <c r="C92" s="227" t="str">
        <f>sample_cbr_vcdr_site_name</f>
        <v>sfo-vcf01-instance</v>
      </c>
      <c r="D92" s="112" t="str">
        <f>cbr_vcdr_site_name</f>
        <v>Value Missing</v>
      </c>
      <c r="E92" s="228"/>
    </row>
    <row r="93" spans="2:5" s="19" customFormat="1" ht="20.05" customHeight="1" x14ac:dyDescent="0.35">
      <c r="B93" s="226" t="s">
        <v>3465</v>
      </c>
      <c r="C93" s="227" t="str">
        <f t="array" ref="C93">sample_cbr_vcdr_ova</f>
        <v>https://vcdr-34-212-247-60.app.vcdr.vmware.com:443/vmware-cloud-connector.ova</v>
      </c>
      <c r="D93" s="112" t="str">
        <f t="array" ref="D93">cbr_vcdr_ova</f>
        <v>Value Missing</v>
      </c>
      <c r="E93" s="228"/>
    </row>
    <row r="94" spans="2:5" s="19" customFormat="1" ht="20.05" customHeight="1" x14ac:dyDescent="0.35">
      <c r="B94" s="226" t="s">
        <v>2910</v>
      </c>
      <c r="C94" s="227" t="str">
        <f>sample_mgmt_vc_fqdn</f>
        <v>sfo-m01-vc01.sfo.rainpole.io</v>
      </c>
      <c r="D94" s="112" t="str">
        <f>mgmt_vc_fqdn</f>
        <v>Value Missing</v>
      </c>
      <c r="E94" s="228"/>
    </row>
    <row r="95" spans="2:5" s="19" customFormat="1" ht="20.05" customHeight="1" x14ac:dyDescent="0.35">
      <c r="B95" s="226" t="s">
        <v>2764</v>
      </c>
      <c r="C95" s="227" t="str">
        <f>sample_cbr_vm_folder</f>
        <v>sfo-m01-fd-cbr</v>
      </c>
      <c r="D95" s="112" t="str">
        <f>cbr_vm_folder</f>
        <v>Value Missing</v>
      </c>
      <c r="E95" s="228"/>
    </row>
    <row r="96" spans="2:5" s="19" customFormat="1" ht="20.05" customHeight="1" x14ac:dyDescent="0.35">
      <c r="B96" s="226" t="s">
        <v>2845</v>
      </c>
      <c r="C96" s="227" t="str">
        <f t="array" ref="C96">sample_cbr_vcdr_cdp1_hostname</f>
        <v>sfo-cbr-cdp01a</v>
      </c>
      <c r="D96" s="112" t="str">
        <f t="array" ref="D96">cbr_vcdr_cdp1_hostname</f>
        <v>Value Missing</v>
      </c>
      <c r="E96" s="228"/>
    </row>
    <row r="97" spans="1:5" s="19" customFormat="1" ht="20.05" customHeight="1" x14ac:dyDescent="0.35">
      <c r="B97" s="226" t="s">
        <v>2847</v>
      </c>
      <c r="C97" s="227" t="str">
        <f>sample_mgmt_cl01_cluster</f>
        <v>sfo-m01-cl01</v>
      </c>
      <c r="D97" s="112" t="str">
        <f>mgmt_cl01_cluster</f>
        <v>Value Missing</v>
      </c>
      <c r="E97" s="228"/>
    </row>
    <row r="98" spans="1:5" s="19" customFormat="1" ht="20.05" customHeight="1" x14ac:dyDescent="0.35">
      <c r="B98" s="226" t="s">
        <v>3466</v>
      </c>
      <c r="C98" s="227" t="str">
        <f>sample_mgmt_cl01_vsan_datastore</f>
        <v>sfo-m01-cl01-ds-vsan01</v>
      </c>
      <c r="D98" s="112" t="str">
        <f>mgmt_cl01_vsan_datastore</f>
        <v>Value Missing</v>
      </c>
      <c r="E98" s="228"/>
    </row>
    <row r="99" spans="1:5" s="19" customFormat="1" ht="20.05" customHeight="1" x14ac:dyDescent="0.35">
      <c r="B99" s="226" t="s">
        <v>252</v>
      </c>
      <c r="C99" s="227" t="str">
        <f>sample_mgmt_cl01_az1_mgmt_pg</f>
        <v>sfo-m01-cl01-vds01-pg-mgmt</v>
      </c>
      <c r="D99" s="112" t="str">
        <f>mgmt_cl01_az1_mgmt_pg</f>
        <v>Value Missing</v>
      </c>
      <c r="E99" s="228"/>
    </row>
    <row r="100" spans="1:5" s="19" customFormat="1" ht="20.05" customHeight="1" x14ac:dyDescent="0.35">
      <c r="B100" s="226" t="s">
        <v>3467</v>
      </c>
      <c r="C100" s="227" t="s">
        <v>431</v>
      </c>
      <c r="D100" s="112" t="str">
        <f>C100</f>
        <v>admin</v>
      </c>
      <c r="E100" s="228"/>
    </row>
    <row r="101" spans="1:5" s="19" customFormat="1" ht="20.05" customHeight="1" x14ac:dyDescent="0.35">
      <c r="B101" s="226" t="s">
        <v>746</v>
      </c>
      <c r="C101" s="227"/>
      <c r="D101" s="112"/>
      <c r="E101" s="228"/>
    </row>
    <row r="102" spans="1:5" s="19" customFormat="1" ht="20.05" customHeight="1" x14ac:dyDescent="0.35">
      <c r="B102" s="226" t="s">
        <v>3468</v>
      </c>
      <c r="C102" s="227" t="s">
        <v>106</v>
      </c>
      <c r="D102" s="112" t="str">
        <f>C102</f>
        <v>Static</v>
      </c>
      <c r="E102" s="228"/>
    </row>
    <row r="103" spans="1:5" s="19" customFormat="1" ht="20.05" customHeight="1" x14ac:dyDescent="0.35">
      <c r="B103" s="226" t="s">
        <v>283</v>
      </c>
      <c r="C103" s="227" t="str">
        <f t="array" ref="C103">sample_cbr_vcdr_cdp1_ip</f>
        <v>10.11.10.44</v>
      </c>
      <c r="D103" s="112" t="str">
        <f t="array" ref="D103">cbr_vcdr_cdp1_ip</f>
        <v>Value Missing</v>
      </c>
      <c r="E103" s="228"/>
    </row>
    <row r="104" spans="1:5" s="19" customFormat="1" ht="20.05" customHeight="1" x14ac:dyDescent="0.35">
      <c r="B104" s="226" t="s">
        <v>3469</v>
      </c>
      <c r="C104" s="227" t="str">
        <f>VLOOKUP(INT(RIGHT(sample_mgmt_az1_mgmt_cidr,LEN(sample_mgmt_az1_mgmt_cidr)-FIND("/",sample_mgmt_az1_mgmt_cidr))),table_cidr_to_mask,2,FALSE)</f>
        <v>255.255.255.0</v>
      </c>
      <c r="D104" s="112" t="str">
        <f>mgmt_az1_mgmt_mask</f>
        <v>Value Missing</v>
      </c>
      <c r="E104" s="228"/>
    </row>
    <row r="105" spans="1:5" s="19" customFormat="1" ht="20.05" customHeight="1" x14ac:dyDescent="0.35">
      <c r="B105" s="226" t="s">
        <v>187</v>
      </c>
      <c r="C105" s="227" t="str">
        <f>sample_mgmt_az1_mgmt_gateway_ip</f>
        <v>10.11.11.1</v>
      </c>
      <c r="D105" s="112" t="str">
        <f>mgmt_az1_mgmt_gateway_ip</f>
        <v>Value Missing</v>
      </c>
      <c r="E105" s="228"/>
    </row>
    <row r="106" spans="1:5" s="19" customFormat="1" ht="20.05" customHeight="1" x14ac:dyDescent="0.35">
      <c r="B106" s="226" t="s">
        <v>608</v>
      </c>
      <c r="C106" s="227" t="str">
        <f>CONCATENATE(sample_region_dns1_ip," ",sample_region_dns2_ip)</f>
        <v>10.11.10.4 10.11.10.5</v>
      </c>
      <c r="D106" s="112" t="str">
        <f>CONCATENATE(region_dns1_ip," ",region_dns2_ip)</f>
        <v>Value Missing Value Missing</v>
      </c>
      <c r="E106" s="228"/>
    </row>
    <row r="107" spans="1:5" s="19" customFormat="1" ht="20.05" customHeight="1" x14ac:dyDescent="0.35">
      <c r="B107" s="226" t="s">
        <v>2208</v>
      </c>
      <c r="C107" s="227" t="str">
        <f t="array" ref="C107">sample_cbr_vcdr_orchestrator_fqdn</f>
        <v>vcdr-34-212-247-60.app.vcdr.vmware.com</v>
      </c>
      <c r="D107" s="112" t="str">
        <f t="array" ref="D107">cbr_vcdr_orchestrator_fqdn</f>
        <v>Value Missing</v>
      </c>
      <c r="E107" s="228"/>
    </row>
    <row r="108" spans="1:5" s="19" customFormat="1" ht="20.05" customHeight="1" x14ac:dyDescent="0.35">
      <c r="B108" s="226" t="s">
        <v>2212</v>
      </c>
      <c r="C108" s="227" t="str">
        <f t="array" ref="C108">sample_cbr_vcdr_passcode</f>
        <v>&lt;generated&gt;</v>
      </c>
      <c r="D108" s="112" t="str">
        <f t="array" ref="D108">cbr_vcdr_passcode</f>
        <v>Value Missing</v>
      </c>
      <c r="E108" s="228"/>
    </row>
    <row r="109" spans="1:5" s="19" customFormat="1" ht="20.05" customHeight="1" x14ac:dyDescent="0.35">
      <c r="B109" s="226" t="s">
        <v>2216</v>
      </c>
      <c r="C109" s="227" t="str">
        <f t="array" ref="C109">sample_cbr_vcdr_label</f>
        <v>sfo-cbr-cdp01</v>
      </c>
      <c r="D109" s="112" t="str">
        <f t="array" ref="D109">cbr_vcdr_label</f>
        <v>Value Missing</v>
      </c>
      <c r="E109" s="228"/>
    </row>
    <row r="110" spans="1:5" s="19" customFormat="1" ht="20.05" customHeight="1" x14ac:dyDescent="0.35"/>
    <row r="111" spans="1:5" ht="34.299999999999997" customHeight="1" x14ac:dyDescent="0.35">
      <c r="A111" s="223"/>
      <c r="B111" s="656" t="s">
        <v>3470</v>
      </c>
      <c r="C111" s="656"/>
      <c r="D111" s="656"/>
      <c r="E111" s="656"/>
    </row>
    <row r="112" spans="1:5" ht="20.05" customHeight="1" x14ac:dyDescent="0.35">
      <c r="A112" s="223"/>
      <c r="B112" s="224" t="s">
        <v>261</v>
      </c>
      <c r="C112" s="224" t="s">
        <v>262</v>
      </c>
      <c r="D112" s="225" t="s">
        <v>19</v>
      </c>
      <c r="E112" s="224" t="s">
        <v>20</v>
      </c>
    </row>
    <row r="113" spans="1:5" ht="20.05" customHeight="1" x14ac:dyDescent="0.35">
      <c r="A113" s="223"/>
      <c r="B113" s="226" t="s">
        <v>3444</v>
      </c>
      <c r="C113" s="227" t="s">
        <v>3445</v>
      </c>
      <c r="D113" s="112" t="str">
        <f>C113</f>
        <v>console.cloud.vmware.com</v>
      </c>
      <c r="E113" s="228"/>
    </row>
    <row r="114" spans="1:5" ht="20.05" customHeight="1" x14ac:dyDescent="0.35">
      <c r="A114" s="223"/>
      <c r="B114" s="226" t="s">
        <v>3464</v>
      </c>
      <c r="C114" s="227" t="str">
        <f>sample_cbr_vcdr_site_name</f>
        <v>sfo-vcf01-instance</v>
      </c>
      <c r="D114" s="112" t="str">
        <f>cbr_vcdr_site_name</f>
        <v>Value Missing</v>
      </c>
      <c r="E114" s="228"/>
    </row>
    <row r="115" spans="1:5" ht="20.05" customHeight="1" x14ac:dyDescent="0.35">
      <c r="A115" s="223"/>
      <c r="B115" s="226" t="s">
        <v>3471</v>
      </c>
      <c r="C115" s="227" t="str">
        <f>sample_wld_vc_ip</f>
        <v>10.11.10.130</v>
      </c>
      <c r="D115" s="112" t="str">
        <f>wld_vc_ip</f>
        <v>Value Missing</v>
      </c>
      <c r="E115" s="228"/>
    </row>
    <row r="116" spans="1:5" ht="20.05" customHeight="1" x14ac:dyDescent="0.35">
      <c r="A116" s="223"/>
      <c r="B116" s="226" t="s">
        <v>3472</v>
      </c>
      <c r="C116" s="227" t="str">
        <f>sso_default_admin</f>
        <v>administrator@vsphere.local</v>
      </c>
      <c r="D116" s="112" t="str">
        <f>sso_default_admin</f>
        <v>administrator@vsphere.local</v>
      </c>
      <c r="E116" s="228"/>
    </row>
    <row r="117" spans="1:5" ht="20.05" customHeight="1" x14ac:dyDescent="0.35">
      <c r="A117" s="223"/>
      <c r="B117" s="226" t="s">
        <v>3473</v>
      </c>
      <c r="C117" s="227" t="str">
        <f>sample_administrator_vsphere_local_password</f>
        <v>VMw@re1!VMw@re1!</v>
      </c>
      <c r="D117" s="112" t="str">
        <f>administrator_vsphere_local_password</f>
        <v>Value Missing</v>
      </c>
      <c r="E117" s="228"/>
    </row>
    <row r="118" spans="1:5" ht="20.05" customHeight="1" x14ac:dyDescent="0.35">
      <c r="A118" s="223"/>
      <c r="B118" s="226" t="s">
        <v>3474</v>
      </c>
      <c r="C118" s="227" t="str">
        <f>CONCATENATE(sample_svc_cbr_vcdr_vsphere_user,"@vsphere.local")</f>
        <v>svc-vlcr-vsphere@vsphere.local</v>
      </c>
      <c r="D118" s="112" t="str">
        <f>CONCATENATE(svc_cbr_vcdr_vsphere_user,"@vsphere.local")</f>
        <v>Value Missing@vsphere.local</v>
      </c>
      <c r="E118" s="228"/>
    </row>
    <row r="119" spans="1:5" ht="20.05" customHeight="1" x14ac:dyDescent="0.35">
      <c r="A119" s="223"/>
      <c r="B119" s="226" t="s">
        <v>3475</v>
      </c>
      <c r="C119" s="227" t="str">
        <f>sample_svc_cbr_vcdr_vsphere_password</f>
        <v>VMw@re1!</v>
      </c>
      <c r="D119" s="112" t="str">
        <f t="array" ref="D119">svc_cbr_vcdr_vsphere_password</f>
        <v>Value Missing</v>
      </c>
      <c r="E119" s="228"/>
    </row>
    <row r="120" spans="1:5" ht="20.05" customHeight="1" x14ac:dyDescent="0.35">
      <c r="A120" s="223"/>
      <c r="B120" s="230" t="s">
        <v>3476</v>
      </c>
      <c r="C120" s="227" t="str">
        <f>sample_cbr_vcdr_vsphere_role</f>
        <v>VMware Live Cyber Recovery to vSphere Integration</v>
      </c>
      <c r="D120" s="112" t="str">
        <f>cbr_vcdr_vsphere_role</f>
        <v>Value Missing</v>
      </c>
      <c r="E120" s="228"/>
    </row>
    <row r="121" spans="1:5" ht="20.05" customHeight="1" x14ac:dyDescent="0.35">
      <c r="A121" s="223"/>
      <c r="B121" s="231"/>
      <c r="C121" s="232"/>
      <c r="D121" s="232"/>
      <c r="E121" s="223"/>
    </row>
    <row r="122" spans="1:5" s="19" customFormat="1" ht="34" customHeight="1" x14ac:dyDescent="0.35">
      <c r="B122" s="656" t="s">
        <v>3477</v>
      </c>
      <c r="C122" s="656"/>
      <c r="D122" s="656"/>
      <c r="E122" s="656"/>
    </row>
    <row r="123" spans="1:5" s="19" customFormat="1" ht="20.05" customHeight="1" x14ac:dyDescent="0.35">
      <c r="B123" s="224" t="s">
        <v>261</v>
      </c>
      <c r="C123" s="224" t="s">
        <v>262</v>
      </c>
      <c r="D123" s="225" t="s">
        <v>19</v>
      </c>
      <c r="E123" s="224" t="s">
        <v>20</v>
      </c>
    </row>
    <row r="124" spans="1:5" s="19" customFormat="1" ht="20.05" customHeight="1" x14ac:dyDescent="0.35">
      <c r="B124" s="226" t="s">
        <v>2910</v>
      </c>
      <c r="C124" s="227" t="str">
        <f>sample_mgmt_vc_fqdn</f>
        <v>sfo-m01-vc01.sfo.rainpole.io</v>
      </c>
      <c r="D124" s="112" t="str">
        <f>mgmt_vc_fqdn</f>
        <v>Value Missing</v>
      </c>
      <c r="E124" s="228"/>
    </row>
    <row r="125" spans="1:5" s="19" customFormat="1" ht="20.05" customHeight="1" x14ac:dyDescent="0.35">
      <c r="B125" s="226" t="s">
        <v>301</v>
      </c>
      <c r="C125" s="227" t="str">
        <f>sample_mgmt_datacenter</f>
        <v>sfo-m01-dc01</v>
      </c>
      <c r="D125" s="112" t="str">
        <f>mgmt_datacenter</f>
        <v>Value Missing</v>
      </c>
      <c r="E125" s="228"/>
    </row>
    <row r="126" spans="1:5" s="19" customFormat="1" ht="20.05" customHeight="1" x14ac:dyDescent="0.35">
      <c r="B126" s="226" t="s">
        <v>732</v>
      </c>
      <c r="C126" s="227" t="str">
        <f>sample_mgmt_cl01_cluster</f>
        <v>sfo-m01-cl01</v>
      </c>
      <c r="D126" s="112" t="str">
        <f>mgmt_cl01_cluster</f>
        <v>Value Missing</v>
      </c>
      <c r="E126" s="228"/>
    </row>
    <row r="127" spans="1:5" s="19" customFormat="1" ht="20.05" customHeight="1" x14ac:dyDescent="0.35">
      <c r="B127" s="226" t="s">
        <v>261</v>
      </c>
      <c r="C127" s="227" t="str">
        <f>sample_cbr_vcdr_anti_affinity</f>
        <v>sfo-m01anti-affinity-rule-cbr</v>
      </c>
      <c r="D127" s="112" t="str">
        <f>cbr_vcdr_anti_affinity</f>
        <v>Value Missing</v>
      </c>
      <c r="E127" s="228"/>
    </row>
    <row r="128" spans="1:5" s="19" customFormat="1" ht="20.05" customHeight="1" x14ac:dyDescent="0.35">
      <c r="B128" s="226" t="s">
        <v>3478</v>
      </c>
      <c r="C128" s="227" t="str">
        <f>sample_cbr_vcdr_cdp1_hostname</f>
        <v>sfo-cbr-cdp01a</v>
      </c>
      <c r="D128" s="112" t="str">
        <f>cbr_vcdr_cdp1_hostname</f>
        <v>Value Missing</v>
      </c>
      <c r="E128" s="228"/>
    </row>
    <row r="129" spans="2:5" s="19" customFormat="1" ht="20.05" customHeight="1" x14ac:dyDescent="0.35">
      <c r="B129" s="233" t="s">
        <v>3479</v>
      </c>
      <c r="C129" s="234" t="str">
        <f>sample_cbr_vcdr_cdp2_hostname</f>
        <v>sfo-cbr-cdp01b</v>
      </c>
      <c r="D129" s="235" t="str">
        <f>cbr_vcdr_cdp2_hostname</f>
        <v>Value Missing</v>
      </c>
      <c r="E129" s="228"/>
    </row>
    <row r="130" spans="2:5" s="19" customFormat="1" ht="20.05" customHeight="1" x14ac:dyDescent="0.35"/>
    <row r="131" spans="2:5" s="19" customFormat="1" ht="34" customHeight="1" x14ac:dyDescent="0.35">
      <c r="B131" s="656" t="s">
        <v>3480</v>
      </c>
      <c r="C131" s="656"/>
      <c r="D131" s="656"/>
      <c r="E131" s="656"/>
    </row>
    <row r="132" spans="2:5" s="19" customFormat="1" ht="20.05" customHeight="1" x14ac:dyDescent="0.35">
      <c r="B132" s="224" t="s">
        <v>261</v>
      </c>
      <c r="C132" s="224" t="s">
        <v>262</v>
      </c>
      <c r="D132" s="225" t="s">
        <v>19</v>
      </c>
      <c r="E132" s="224" t="s">
        <v>20</v>
      </c>
    </row>
    <row r="133" spans="2:5" s="19" customFormat="1" ht="20.05" customHeight="1" x14ac:dyDescent="0.35">
      <c r="B133" s="226" t="s">
        <v>2910</v>
      </c>
      <c r="C133" s="227" t="str">
        <f>sample_mgmt_vc_fqdn</f>
        <v>sfo-m01-vc01.sfo.rainpole.io</v>
      </c>
      <c r="D133" s="112" t="str">
        <f>mgmt_vc_fqdn</f>
        <v>Value Missing</v>
      </c>
      <c r="E133" s="228"/>
    </row>
    <row r="134" spans="2:5" s="19" customFormat="1" ht="20.05" customHeight="1" x14ac:dyDescent="0.35">
      <c r="B134" s="226" t="s">
        <v>261</v>
      </c>
      <c r="C134" s="227" t="str">
        <f>CONCATENATE(sample_mgmt_cl01_cluster,"_primary-az-vmgroup")</f>
        <v>sfo-m01-cl01_primary-az-vmgroup</v>
      </c>
      <c r="D134" s="112" t="str">
        <f>CONCATENATE(mgmt_cl01_cluster,"_primary-az-vmgroup")</f>
        <v>Value Missing_primary-az-vmgroup</v>
      </c>
      <c r="E134" s="228"/>
    </row>
    <row r="135" spans="2:5" s="19" customFormat="1" ht="20.05" customHeight="1" x14ac:dyDescent="0.35">
      <c r="B135" s="226" t="s">
        <v>3478</v>
      </c>
      <c r="C135" s="227" t="str">
        <f>sample_cbr_vcdr_cdp1_hostname</f>
        <v>sfo-cbr-cdp01a</v>
      </c>
      <c r="D135" s="112" t="str">
        <f>cbr_vcdr_cdp1_hostname</f>
        <v>Value Missing</v>
      </c>
      <c r="E135" s="228"/>
    </row>
    <row r="136" spans="2:5" s="19" customFormat="1" ht="20.05" customHeight="1" x14ac:dyDescent="0.35">
      <c r="B136" s="233" t="s">
        <v>3479</v>
      </c>
      <c r="C136" s="234" t="str">
        <f>sample_cbr_vcdr_cdp2_hostname</f>
        <v>sfo-cbr-cdp01b</v>
      </c>
      <c r="D136" s="235" t="str">
        <f>cbr_vcdr_cdp2_hostname</f>
        <v>Value Missing</v>
      </c>
      <c r="E136" s="228"/>
    </row>
    <row r="137" spans="2:5" s="19" customFormat="1" ht="20.05" customHeight="1" x14ac:dyDescent="0.35"/>
    <row r="138" spans="2:5" s="19" customFormat="1" ht="34" customHeight="1" x14ac:dyDescent="0.35">
      <c r="B138" s="656" t="s">
        <v>3481</v>
      </c>
      <c r="C138" s="656"/>
      <c r="D138" s="656"/>
      <c r="E138" s="656"/>
    </row>
    <row r="139" spans="2:5" s="19" customFormat="1" ht="20.05" customHeight="1" x14ac:dyDescent="0.35">
      <c r="B139" s="224" t="s">
        <v>261</v>
      </c>
      <c r="C139" s="224" t="s">
        <v>262</v>
      </c>
      <c r="D139" s="225" t="s">
        <v>19</v>
      </c>
      <c r="E139" s="224" t="s">
        <v>20</v>
      </c>
    </row>
    <row r="140" spans="2:5" s="19" customFormat="1" ht="20.05" customHeight="1" x14ac:dyDescent="0.35">
      <c r="B140" s="226" t="s">
        <v>3444</v>
      </c>
      <c r="C140" s="227" t="s">
        <v>3445</v>
      </c>
      <c r="D140" s="112" t="str">
        <f>C140</f>
        <v>console.cloud.vmware.com</v>
      </c>
      <c r="E140" s="228"/>
    </row>
    <row r="141" spans="2:5" s="19" customFormat="1" ht="20.05" customHeight="1" x14ac:dyDescent="0.35">
      <c r="B141" s="226" t="s">
        <v>3464</v>
      </c>
      <c r="C141" s="227" t="str">
        <f>sample_cbr_vcdr_site_name</f>
        <v>sfo-vcf01-instance</v>
      </c>
      <c r="D141" s="112" t="str">
        <f>cbr_vcdr_site_name</f>
        <v>Value Missing</v>
      </c>
      <c r="E141" s="228"/>
    </row>
    <row r="142" spans="2:5" s="19" customFormat="1" ht="20.05" customHeight="1" x14ac:dyDescent="0.35">
      <c r="B142" s="226" t="s">
        <v>3482</v>
      </c>
      <c r="C142" s="227" t="str">
        <f>sample_wld_vc_ip</f>
        <v>10.11.10.130</v>
      </c>
      <c r="D142" s="112" t="str">
        <f>wld_vc_ip</f>
        <v>Value Missing</v>
      </c>
      <c r="E142" s="228"/>
    </row>
    <row r="143" spans="2:5" s="19" customFormat="1" ht="20.05" customHeight="1" x14ac:dyDescent="0.35">
      <c r="B143" s="226" t="s">
        <v>3483</v>
      </c>
      <c r="C143" s="227" t="str">
        <f>CONCATENATE(sample_svc_cbr_vcdr_vsphere_user,"@vsphere.local")</f>
        <v>svc-vlcr-vsphere@vsphere.local</v>
      </c>
      <c r="D143" s="112" t="str">
        <f>CONCATENATE(svc_cbr_vcdr_vsphere_user,"@vsphere.local")</f>
        <v>Value Missing@vsphere.local</v>
      </c>
      <c r="E143" s="228"/>
    </row>
    <row r="144" spans="2:5" s="19" customFormat="1" ht="20.05" customHeight="1" x14ac:dyDescent="0.35">
      <c r="B144" s="226" t="s">
        <v>29</v>
      </c>
      <c r="C144" s="227" t="str">
        <f>sample_svc_cbr_vcdr_vsphere_password</f>
        <v>VMw@re1!</v>
      </c>
      <c r="D144" s="112" t="str">
        <f>svc_cbr_vcdr_vsphere_password</f>
        <v>Value Missing</v>
      </c>
      <c r="E144" s="228"/>
    </row>
    <row r="145" spans="1:6" s="19" customFormat="1" ht="20.05" customHeight="1" x14ac:dyDescent="0.35"/>
    <row r="146" spans="1:6" s="19" customFormat="1" ht="34" customHeight="1" x14ac:dyDescent="0.35">
      <c r="B146" s="656" t="s">
        <v>3484</v>
      </c>
      <c r="C146" s="656"/>
      <c r="D146" s="656"/>
      <c r="E146" s="656"/>
    </row>
    <row r="147" spans="1:6" s="19" customFormat="1" ht="20.05" customHeight="1" x14ac:dyDescent="0.35">
      <c r="B147" s="224" t="s">
        <v>261</v>
      </c>
      <c r="C147" s="224" t="s">
        <v>262</v>
      </c>
      <c r="D147" s="225" t="s">
        <v>19</v>
      </c>
      <c r="E147" s="224" t="s">
        <v>20</v>
      </c>
    </row>
    <row r="148" spans="1:6" s="19" customFormat="1" ht="20.05" customHeight="1" x14ac:dyDescent="0.35">
      <c r="B148" s="226" t="s">
        <v>3444</v>
      </c>
      <c r="C148" s="227" t="s">
        <v>3445</v>
      </c>
      <c r="D148" s="112" t="str">
        <f>C148</f>
        <v>console.cloud.vmware.com</v>
      </c>
      <c r="E148" s="228"/>
    </row>
    <row r="149" spans="1:6" s="19" customFormat="1" ht="20.05" customHeight="1" x14ac:dyDescent="0.35">
      <c r="B149" s="226" t="s">
        <v>3464</v>
      </c>
      <c r="C149" s="227" t="str">
        <f>sample_cbr_vcdr_site_name</f>
        <v>sfo-vcf01-instance</v>
      </c>
      <c r="D149" s="112" t="str">
        <f>cbr_vcdr_site_name</f>
        <v>Value Missing</v>
      </c>
      <c r="E149" s="228"/>
    </row>
    <row r="150" spans="1:6" s="19" customFormat="1" ht="20.05" customHeight="1" x14ac:dyDescent="0.35"/>
    <row r="151" spans="1:6" s="19" customFormat="1" ht="34" customHeight="1" x14ac:dyDescent="0.35">
      <c r="B151" s="656" t="s">
        <v>3485</v>
      </c>
      <c r="C151" s="656"/>
      <c r="D151" s="656"/>
      <c r="E151" s="656"/>
    </row>
    <row r="152" spans="1:6" s="19" customFormat="1" ht="20.05" customHeight="1" x14ac:dyDescent="0.35">
      <c r="B152" s="224" t="s">
        <v>261</v>
      </c>
      <c r="C152" s="224" t="s">
        <v>262</v>
      </c>
      <c r="D152" s="225" t="s">
        <v>19</v>
      </c>
      <c r="E152" s="224" t="s">
        <v>20</v>
      </c>
    </row>
    <row r="153" spans="1:6" s="19" customFormat="1" ht="20.05" customHeight="1" x14ac:dyDescent="0.35">
      <c r="B153" s="226" t="s">
        <v>3444</v>
      </c>
      <c r="C153" s="227" t="s">
        <v>3445</v>
      </c>
      <c r="D153" s="112" t="str">
        <f>C153</f>
        <v>console.cloud.vmware.com</v>
      </c>
      <c r="E153" s="228"/>
    </row>
    <row r="154" spans="1:6" s="19" customFormat="1" ht="20.05" customHeight="1" x14ac:dyDescent="0.35">
      <c r="B154" s="226" t="s">
        <v>2223</v>
      </c>
      <c r="C154" s="227" t="str">
        <f>sample_cbr_vcdr_email_recipient</f>
        <v>cloudadmins@rainpole.io</v>
      </c>
      <c r="D154" s="112" t="str">
        <f>cbr_vcdr_email_recipient</f>
        <v>Value Missing</v>
      </c>
      <c r="E154" s="228"/>
    </row>
    <row r="155" spans="1:6" s="19" customFormat="1" ht="20.05" customHeight="1" x14ac:dyDescent="0.35">
      <c r="B155" s="226" t="s">
        <v>2228</v>
      </c>
      <c r="C155" s="227" t="str">
        <f>sample_cbr_vcdr_email_sender</f>
        <v>administrator@rainpole.io</v>
      </c>
      <c r="D155" s="112" t="str">
        <f>cbr_vcdr_email_sender</f>
        <v>Value Missing</v>
      </c>
      <c r="E155" s="228"/>
    </row>
    <row r="156" spans="1:6" s="19" customFormat="1" ht="20.05" customHeight="1" x14ac:dyDescent="0.35">
      <c r="B156" s="226" t="s">
        <v>3486</v>
      </c>
      <c r="C156" s="227" t="s">
        <v>3487</v>
      </c>
      <c r="D156" s="112" t="str">
        <f>C156</f>
        <v>no-reply-vlcr</v>
      </c>
      <c r="E156" s="228"/>
    </row>
    <row r="157" spans="1:6" s="19" customFormat="1" ht="20.05" customHeight="1" x14ac:dyDescent="0.35"/>
    <row r="158" spans="1:6" s="19" customFormat="1" ht="34" customHeight="1" x14ac:dyDescent="0.35">
      <c r="A158" s="216"/>
      <c r="B158" s="657" t="s">
        <v>2981</v>
      </c>
      <c r="C158" s="657"/>
      <c r="D158" s="657"/>
      <c r="E158" s="657"/>
      <c r="F158" s="216"/>
    </row>
    <row r="159" spans="1:6" s="19" customFormat="1" ht="20.05" customHeight="1" x14ac:dyDescent="0.35"/>
    <row r="160" spans="1:6" s="19" customFormat="1" ht="34" customHeight="1" x14ac:dyDescent="0.35">
      <c r="B160" s="660" t="s">
        <v>3488</v>
      </c>
      <c r="C160" s="661"/>
      <c r="D160" s="661"/>
      <c r="E160" s="661"/>
    </row>
    <row r="161" spans="2:5" s="19" customFormat="1" ht="20.05" customHeight="1" x14ac:dyDescent="0.35"/>
    <row r="162" spans="2:5" s="19" customFormat="1" ht="34" customHeight="1" x14ac:dyDescent="0.35">
      <c r="B162" s="656" t="s">
        <v>3489</v>
      </c>
      <c r="C162" s="656"/>
      <c r="D162" s="656"/>
      <c r="E162" s="656"/>
    </row>
    <row r="163" spans="2:5" s="19" customFormat="1" ht="20.05" customHeight="1" x14ac:dyDescent="0.35">
      <c r="B163" s="224" t="s">
        <v>261</v>
      </c>
      <c r="C163" s="224" t="s">
        <v>262</v>
      </c>
      <c r="D163" s="225" t="s">
        <v>19</v>
      </c>
      <c r="E163" s="224" t="s">
        <v>20</v>
      </c>
    </row>
    <row r="164" spans="2:5" s="19" customFormat="1" ht="20.05" customHeight="1" x14ac:dyDescent="0.35">
      <c r="B164" s="226" t="s">
        <v>3149</v>
      </c>
      <c r="C164" s="227" t="str">
        <f>sample_xreg_vrops_virtual_fqdn</f>
        <v>flt-ops01.rainpole.io</v>
      </c>
      <c r="D164" s="112" t="str">
        <f>xreg_vrops_virtual_fqdn</f>
        <v>Value Missing</v>
      </c>
      <c r="E164" s="228"/>
    </row>
    <row r="165" spans="2:5" s="19" customFormat="1" ht="20.05" customHeight="1" x14ac:dyDescent="0.35">
      <c r="B165" s="226" t="s">
        <v>261</v>
      </c>
      <c r="C165" s="227" t="str">
        <f>"ransomware-recovery-proxies"</f>
        <v>ransomware-recovery-proxies</v>
      </c>
      <c r="D165" s="112" t="str">
        <f>C165</f>
        <v>ransomware-recovery-proxies</v>
      </c>
      <c r="E165" s="228"/>
    </row>
    <row r="166" spans="2:5" s="19" customFormat="1" ht="20.05" customHeight="1" x14ac:dyDescent="0.35">
      <c r="B166" s="226" t="s">
        <v>3490</v>
      </c>
      <c r="C166" s="227" t="str">
        <f>C165</f>
        <v>ransomware-recovery-proxies</v>
      </c>
      <c r="D166" s="112" t="str">
        <f>C166</f>
        <v>ransomware-recovery-proxies</v>
      </c>
      <c r="E166" s="228"/>
    </row>
    <row r="167" spans="2:5" s="19" customFormat="1" ht="20.05" customHeight="1" x14ac:dyDescent="0.35">
      <c r="B167" s="226" t="s">
        <v>3491</v>
      </c>
      <c r="C167" s="227" t="str">
        <f>CONCATENATE(sample_cbr_vcdr_cdp1_ip,",",sample_cbr_vcdr_cdp2_ip)</f>
        <v>10.11.10.44,10.11.10.45</v>
      </c>
      <c r="D167" s="112" t="str">
        <f>CONCATENATE(cbr_vcdr_cdp1_ip,",",cbr_vcdr_cdp2_ip)</f>
        <v>Value Missing,Value Missing</v>
      </c>
      <c r="E167" s="228"/>
    </row>
    <row r="168" spans="2:5" s="19" customFormat="1" ht="20.05" customHeight="1" x14ac:dyDescent="0.35">
      <c r="B168" s="226" t="s">
        <v>3492</v>
      </c>
      <c r="C168" s="227" t="str">
        <f>CONCATENATE(sample_mgmt_sddc_domain,"-collector-group")</f>
        <v>sfo-m01-collector-group</v>
      </c>
      <c r="D168" s="112" t="str">
        <f>CONCATENATE(mgmt_sddc_domain,"-collector-group")</f>
        <v>Value Missing-collector-group</v>
      </c>
      <c r="E168" s="228"/>
    </row>
    <row r="169" spans="2:5" s="19" customFormat="1" ht="20.05" customHeight="1" x14ac:dyDescent="0.35"/>
    <row r="170" spans="2:5" s="19" customFormat="1" x14ac:dyDescent="0.35"/>
    <row r="171" spans="2:5" s="19" customFormat="1" x14ac:dyDescent="0.35"/>
    <row r="172" spans="2:5" s="19" customFormat="1" x14ac:dyDescent="0.35"/>
    <row r="173" spans="2:5" s="19" customFormat="1" x14ac:dyDescent="0.35"/>
    <row r="174" spans="2:5" s="19" customFormat="1" x14ac:dyDescent="0.35"/>
    <row r="175" spans="2:5" s="19" customFormat="1" x14ac:dyDescent="0.35"/>
    <row r="176" spans="2:5" s="19" customFormat="1" x14ac:dyDescent="0.35"/>
    <row r="177" s="19" customFormat="1" x14ac:dyDescent="0.35"/>
    <row r="178" s="19" customFormat="1" x14ac:dyDescent="0.35"/>
    <row r="179" s="19" customFormat="1" x14ac:dyDescent="0.35"/>
    <row r="180" s="19" customFormat="1" x14ac:dyDescent="0.35"/>
    <row r="181" s="19" customFormat="1" x14ac:dyDescent="0.35"/>
    <row r="182" s="19" customFormat="1" x14ac:dyDescent="0.35"/>
    <row r="183" s="19" customFormat="1" x14ac:dyDescent="0.35"/>
    <row r="184" s="19" customFormat="1" x14ac:dyDescent="0.35"/>
    <row r="185" s="19" customFormat="1" x14ac:dyDescent="0.35"/>
    <row r="186" s="19" customFormat="1" x14ac:dyDescent="0.35"/>
    <row r="187" s="19" customFormat="1" x14ac:dyDescent="0.35"/>
    <row r="188" s="19" customFormat="1" x14ac:dyDescent="0.35"/>
    <row r="189" s="19" customFormat="1" x14ac:dyDescent="0.35"/>
    <row r="190" s="19" customFormat="1" x14ac:dyDescent="0.35"/>
    <row r="191" s="19" customFormat="1" x14ac:dyDescent="0.35"/>
    <row r="192" s="19" customFormat="1" x14ac:dyDescent="0.35"/>
    <row r="193" s="19" customFormat="1" x14ac:dyDescent="0.35"/>
    <row r="194" s="19" customFormat="1" x14ac:dyDescent="0.35"/>
    <row r="195" s="19" customFormat="1" x14ac:dyDescent="0.35"/>
    <row r="196" s="19" customFormat="1" x14ac:dyDescent="0.35"/>
    <row r="197" s="19" customFormat="1" x14ac:dyDescent="0.35"/>
    <row r="198" s="19" customFormat="1" x14ac:dyDescent="0.35"/>
    <row r="199" s="19" customFormat="1" x14ac:dyDescent="0.35"/>
    <row r="200" s="19" customFormat="1" x14ac:dyDescent="0.35"/>
    <row r="201" s="19" customFormat="1" x14ac:dyDescent="0.35"/>
    <row r="202" s="19" customFormat="1" x14ac:dyDescent="0.35"/>
    <row r="203" s="19" customFormat="1" x14ac:dyDescent="0.35"/>
    <row r="204" s="19" customFormat="1" x14ac:dyDescent="0.35"/>
    <row r="205" s="19" customFormat="1" x14ac:dyDescent="0.35"/>
    <row r="206" s="19" customFormat="1" x14ac:dyDescent="0.35"/>
    <row r="207" s="19" customFormat="1" x14ac:dyDescent="0.35"/>
    <row r="208" s="19" customFormat="1" x14ac:dyDescent="0.35"/>
    <row r="209" s="19" customFormat="1" x14ac:dyDescent="0.35"/>
    <row r="210" s="19" customFormat="1" x14ac:dyDescent="0.35"/>
    <row r="211" s="19" customFormat="1" x14ac:dyDescent="0.35"/>
    <row r="212" s="19" customFormat="1" x14ac:dyDescent="0.35"/>
    <row r="213" s="19" customFormat="1" x14ac:dyDescent="0.35"/>
    <row r="214" s="19" customFormat="1" x14ac:dyDescent="0.35"/>
    <row r="215" s="19" customFormat="1" x14ac:dyDescent="0.35"/>
    <row r="216" s="19" customFormat="1" x14ac:dyDescent="0.35"/>
    <row r="217" s="19" customFormat="1" x14ac:dyDescent="0.35"/>
    <row r="218" s="19" customFormat="1" x14ac:dyDescent="0.35"/>
    <row r="219" s="19" customFormat="1" x14ac:dyDescent="0.35"/>
    <row r="220" s="19" customFormat="1" x14ac:dyDescent="0.35"/>
    <row r="221" s="19" customFormat="1" x14ac:dyDescent="0.35"/>
    <row r="222" s="19" customFormat="1" x14ac:dyDescent="0.35"/>
    <row r="223" s="19" customFormat="1" x14ac:dyDescent="0.35"/>
    <row r="224" s="19" customFormat="1" x14ac:dyDescent="0.35"/>
    <row r="225" s="19" customFormat="1" x14ac:dyDescent="0.35"/>
    <row r="226" s="19" customFormat="1" x14ac:dyDescent="0.35"/>
    <row r="227" s="19" customFormat="1" x14ac:dyDescent="0.35"/>
    <row r="228" s="19" customFormat="1" x14ac:dyDescent="0.35"/>
    <row r="229" s="19" customFormat="1" x14ac:dyDescent="0.35"/>
    <row r="230" s="19" customFormat="1" x14ac:dyDescent="0.35"/>
    <row r="231" s="19" customFormat="1" x14ac:dyDescent="0.35"/>
    <row r="232" s="19" customFormat="1" x14ac:dyDescent="0.35"/>
    <row r="233" s="19" customFormat="1" x14ac:dyDescent="0.35"/>
    <row r="234" s="19" customFormat="1" x14ac:dyDescent="0.35"/>
    <row r="235" s="19" customFormat="1" x14ac:dyDescent="0.35"/>
    <row r="236" s="19" customFormat="1" x14ac:dyDescent="0.35"/>
    <row r="237" s="19" customFormat="1" x14ac:dyDescent="0.35"/>
    <row r="238" s="19" customFormat="1" x14ac:dyDescent="0.35"/>
    <row r="239" s="19" customFormat="1" x14ac:dyDescent="0.35"/>
    <row r="240" s="19" customFormat="1" x14ac:dyDescent="0.35"/>
    <row r="241" s="19" customFormat="1" x14ac:dyDescent="0.35"/>
    <row r="242" s="19" customFormat="1" x14ac:dyDescent="0.35"/>
    <row r="243" s="19" customFormat="1" x14ac:dyDescent="0.35"/>
    <row r="244" s="19" customFormat="1" x14ac:dyDescent="0.35"/>
    <row r="245" s="19" customFormat="1" x14ac:dyDescent="0.35"/>
    <row r="246" s="19" customFormat="1" x14ac:dyDescent="0.35"/>
    <row r="247" s="19" customFormat="1" x14ac:dyDescent="0.35"/>
    <row r="248" s="19" customFormat="1" x14ac:dyDescent="0.35"/>
    <row r="249" s="19" customFormat="1" x14ac:dyDescent="0.35"/>
    <row r="250" s="19" customFormat="1" x14ac:dyDescent="0.35"/>
    <row r="251" s="19" customFormat="1" x14ac:dyDescent="0.35"/>
    <row r="252" s="19" customFormat="1" x14ac:dyDescent="0.35"/>
    <row r="253" s="19" customFormat="1" x14ac:dyDescent="0.35"/>
    <row r="254" s="19" customFormat="1" x14ac:dyDescent="0.35"/>
    <row r="255" s="19" customFormat="1" x14ac:dyDescent="0.35"/>
    <row r="256" s="19" customFormat="1" x14ac:dyDescent="0.35"/>
    <row r="257" s="19" customFormat="1" x14ac:dyDescent="0.35"/>
    <row r="258" s="19" customFormat="1" x14ac:dyDescent="0.35"/>
    <row r="259" s="19" customFormat="1" x14ac:dyDescent="0.35"/>
    <row r="260" s="19" customFormat="1" x14ac:dyDescent="0.35"/>
    <row r="261" s="19" customFormat="1" x14ac:dyDescent="0.35"/>
    <row r="262" s="19" customFormat="1" x14ac:dyDescent="0.35"/>
    <row r="263" s="19" customFormat="1" x14ac:dyDescent="0.35"/>
    <row r="264" s="19" customFormat="1" x14ac:dyDescent="0.35"/>
    <row r="265" s="19" customFormat="1" x14ac:dyDescent="0.35"/>
    <row r="266" s="19" customFormat="1" x14ac:dyDescent="0.35"/>
    <row r="267" s="19" customFormat="1" x14ac:dyDescent="0.35"/>
    <row r="268" s="19" customFormat="1" x14ac:dyDescent="0.35"/>
    <row r="269" s="19" customFormat="1" x14ac:dyDescent="0.35"/>
    <row r="270" s="19" customFormat="1" x14ac:dyDescent="0.35"/>
    <row r="271" s="19" customFormat="1" x14ac:dyDescent="0.35"/>
    <row r="272" s="19" customFormat="1" x14ac:dyDescent="0.35"/>
    <row r="273" s="19" customFormat="1" x14ac:dyDescent="0.35"/>
    <row r="274" s="19" customFormat="1" x14ac:dyDescent="0.35"/>
    <row r="275" s="19" customFormat="1" x14ac:dyDescent="0.35"/>
    <row r="276" s="19" customFormat="1" x14ac:dyDescent="0.35"/>
    <row r="277" s="19" customFormat="1" x14ac:dyDescent="0.35"/>
    <row r="278" s="19" customFormat="1" x14ac:dyDescent="0.35"/>
    <row r="279" s="19" customFormat="1" x14ac:dyDescent="0.35"/>
    <row r="280" s="19" customFormat="1" x14ac:dyDescent="0.35"/>
    <row r="281" s="19" customFormat="1" x14ac:dyDescent="0.35"/>
    <row r="282" s="19" customFormat="1" x14ac:dyDescent="0.35"/>
    <row r="283" s="19" customFormat="1" x14ac:dyDescent="0.35"/>
    <row r="284" s="19" customFormat="1" x14ac:dyDescent="0.35"/>
    <row r="285" s="19" customFormat="1" x14ac:dyDescent="0.35"/>
    <row r="286" s="19" customFormat="1" x14ac:dyDescent="0.35"/>
    <row r="287" s="19" customFormat="1" x14ac:dyDescent="0.35"/>
    <row r="288" s="19" customFormat="1" x14ac:dyDescent="0.35"/>
    <row r="289" s="19" customFormat="1" x14ac:dyDescent="0.35"/>
    <row r="290" s="19" customFormat="1" x14ac:dyDescent="0.35"/>
    <row r="291" s="19" customFormat="1" x14ac:dyDescent="0.35"/>
    <row r="292" s="19" customFormat="1" x14ac:dyDescent="0.35"/>
    <row r="293" s="19" customFormat="1" x14ac:dyDescent="0.35"/>
    <row r="294" s="19" customFormat="1" x14ac:dyDescent="0.35"/>
    <row r="295" s="19" customFormat="1" x14ac:dyDescent="0.35"/>
    <row r="296" s="19" customFormat="1" x14ac:dyDescent="0.35"/>
    <row r="297" s="19" customFormat="1" x14ac:dyDescent="0.35"/>
    <row r="298" s="19" customFormat="1" x14ac:dyDescent="0.35"/>
    <row r="299" s="19" customFormat="1" x14ac:dyDescent="0.35"/>
    <row r="300" s="19" customFormat="1" x14ac:dyDescent="0.35"/>
    <row r="301" s="19" customFormat="1" x14ac:dyDescent="0.35"/>
    <row r="302" s="19" customFormat="1" x14ac:dyDescent="0.35"/>
    <row r="303" s="19" customFormat="1" x14ac:dyDescent="0.35"/>
    <row r="304" s="19" customFormat="1" x14ac:dyDescent="0.35"/>
    <row r="305" s="19" customFormat="1" x14ac:dyDescent="0.35"/>
    <row r="306" s="19" customFormat="1" x14ac:dyDescent="0.35"/>
    <row r="307" s="19" customFormat="1" x14ac:dyDescent="0.35"/>
    <row r="308" s="19" customFormat="1" x14ac:dyDescent="0.35"/>
    <row r="309" s="19" customFormat="1" x14ac:dyDescent="0.35"/>
    <row r="310" s="19" customFormat="1" x14ac:dyDescent="0.35"/>
    <row r="311" s="19" customFormat="1" x14ac:dyDescent="0.35"/>
    <row r="312" s="19" customFormat="1" x14ac:dyDescent="0.35"/>
    <row r="313" s="19" customFormat="1" x14ac:dyDescent="0.35"/>
    <row r="314" s="19" customFormat="1" x14ac:dyDescent="0.35"/>
    <row r="315" s="19" customFormat="1" x14ac:dyDescent="0.35"/>
    <row r="316" s="19" customFormat="1" x14ac:dyDescent="0.35"/>
    <row r="317" s="19" customFormat="1" x14ac:dyDescent="0.35"/>
    <row r="318" s="19" customFormat="1" x14ac:dyDescent="0.35"/>
    <row r="319" s="19" customFormat="1" x14ac:dyDescent="0.35"/>
    <row r="320" s="19" customFormat="1" x14ac:dyDescent="0.35"/>
    <row r="321" s="19" customFormat="1" x14ac:dyDescent="0.35"/>
    <row r="322" s="19" customFormat="1" x14ac:dyDescent="0.35"/>
    <row r="323" s="19" customFormat="1" x14ac:dyDescent="0.35"/>
    <row r="324" s="19" customFormat="1" x14ac:dyDescent="0.35"/>
    <row r="325" s="19" customFormat="1" x14ac:dyDescent="0.35"/>
    <row r="326" s="19" customFormat="1" x14ac:dyDescent="0.35"/>
    <row r="327" s="19" customFormat="1" x14ac:dyDescent="0.35"/>
    <row r="328" s="19" customFormat="1" x14ac:dyDescent="0.35"/>
    <row r="329" s="19" customFormat="1" x14ac:dyDescent="0.35"/>
    <row r="330" s="19" customFormat="1" x14ac:dyDescent="0.35"/>
    <row r="331" s="19" customFormat="1" x14ac:dyDescent="0.35"/>
    <row r="332" s="19" customFormat="1" x14ac:dyDescent="0.35"/>
    <row r="333" s="19" customFormat="1" x14ac:dyDescent="0.35"/>
    <row r="334" s="19" customFormat="1" x14ac:dyDescent="0.35"/>
    <row r="335" s="19" customFormat="1" x14ac:dyDescent="0.35"/>
    <row r="336" s="19" customFormat="1" x14ac:dyDescent="0.35"/>
    <row r="337" s="19" customFormat="1" x14ac:dyDescent="0.35"/>
    <row r="338" s="19" customFormat="1" x14ac:dyDescent="0.35"/>
    <row r="339" s="19" customFormat="1" x14ac:dyDescent="0.35"/>
    <row r="340" s="19" customFormat="1" x14ac:dyDescent="0.35"/>
    <row r="341" s="19" customFormat="1" x14ac:dyDescent="0.35"/>
    <row r="342" s="19" customFormat="1" x14ac:dyDescent="0.35"/>
    <row r="343" s="19" customFormat="1" x14ac:dyDescent="0.35"/>
    <row r="344" s="19" customFormat="1" x14ac:dyDescent="0.35"/>
    <row r="345" s="19" customFormat="1" x14ac:dyDescent="0.35"/>
    <row r="346" s="19" customFormat="1" x14ac:dyDescent="0.35"/>
    <row r="347" s="19" customFormat="1" x14ac:dyDescent="0.35"/>
    <row r="348" s="19" customFormat="1" x14ac:dyDescent="0.35"/>
    <row r="349" s="19" customFormat="1" x14ac:dyDescent="0.35"/>
    <row r="350" s="19" customFormat="1" x14ac:dyDescent="0.35"/>
    <row r="351" s="19" customFormat="1" x14ac:dyDescent="0.35"/>
    <row r="352" s="19" customFormat="1" x14ac:dyDescent="0.35"/>
    <row r="353" s="19" customFormat="1" x14ac:dyDescent="0.35"/>
    <row r="354" s="19" customFormat="1" x14ac:dyDescent="0.35"/>
    <row r="355" s="19" customFormat="1" x14ac:dyDescent="0.35"/>
    <row r="356" s="19" customFormat="1" x14ac:dyDescent="0.35"/>
    <row r="357" s="19" customFormat="1" x14ac:dyDescent="0.35"/>
    <row r="358" s="19" customFormat="1" x14ac:dyDescent="0.35"/>
    <row r="359" s="19" customFormat="1" x14ac:dyDescent="0.35"/>
    <row r="360" s="19" customFormat="1" x14ac:dyDescent="0.35"/>
    <row r="361" s="19" customFormat="1" x14ac:dyDescent="0.35"/>
    <row r="362" s="19" customFormat="1" x14ac:dyDescent="0.35"/>
    <row r="363" s="19" customFormat="1" x14ac:dyDescent="0.35"/>
    <row r="364" s="19" customFormat="1" x14ac:dyDescent="0.35"/>
    <row r="365" s="19" customFormat="1" x14ac:dyDescent="0.35"/>
    <row r="366" s="19" customFormat="1" x14ac:dyDescent="0.35"/>
    <row r="367" s="19" customFormat="1" x14ac:dyDescent="0.35"/>
    <row r="368" s="19" customFormat="1" x14ac:dyDescent="0.35"/>
    <row r="369" s="19" customFormat="1" x14ac:dyDescent="0.35"/>
    <row r="370" s="19" customFormat="1" x14ac:dyDescent="0.35"/>
    <row r="371" s="19" customFormat="1" x14ac:dyDescent="0.35"/>
    <row r="372" s="19" customFormat="1" x14ac:dyDescent="0.35"/>
    <row r="373" s="19" customFormat="1" x14ac:dyDescent="0.35"/>
    <row r="374" s="19" customFormat="1" x14ac:dyDescent="0.35"/>
    <row r="375" s="19" customFormat="1" x14ac:dyDescent="0.35"/>
    <row r="376" s="19" customFormat="1" x14ac:dyDescent="0.35"/>
    <row r="377" s="19" customFormat="1" x14ac:dyDescent="0.35"/>
    <row r="378" s="19" customFormat="1" x14ac:dyDescent="0.35"/>
    <row r="379" s="19" customFormat="1" x14ac:dyDescent="0.35"/>
    <row r="380" s="19" customFormat="1" x14ac:dyDescent="0.35"/>
    <row r="381" s="19" customFormat="1" x14ac:dyDescent="0.35"/>
    <row r="382" s="19" customFormat="1" x14ac:dyDescent="0.35"/>
    <row r="383" s="19" customFormat="1" x14ac:dyDescent="0.35"/>
    <row r="384" s="19" customFormat="1" x14ac:dyDescent="0.35"/>
    <row r="385" s="19" customFormat="1" x14ac:dyDescent="0.35"/>
    <row r="386" s="19" customFormat="1" x14ac:dyDescent="0.35"/>
    <row r="387" s="19" customFormat="1" x14ac:dyDescent="0.35"/>
    <row r="388" s="19" customFormat="1" x14ac:dyDescent="0.35"/>
    <row r="389" s="19" customFormat="1" x14ac:dyDescent="0.35"/>
    <row r="390" s="19" customFormat="1" x14ac:dyDescent="0.35"/>
    <row r="391" s="19" customFormat="1" x14ac:dyDescent="0.35"/>
    <row r="392" s="19" customFormat="1" x14ac:dyDescent="0.35"/>
    <row r="393" s="19" customFormat="1" x14ac:dyDescent="0.35"/>
    <row r="394" s="19" customFormat="1" x14ac:dyDescent="0.35"/>
    <row r="395" s="19" customFormat="1" x14ac:dyDescent="0.35"/>
    <row r="396" s="19" customFormat="1" x14ac:dyDescent="0.35"/>
    <row r="397" s="19" customFormat="1" x14ac:dyDescent="0.35"/>
    <row r="398" s="19" customFormat="1" x14ac:dyDescent="0.35"/>
    <row r="399" s="19" customFormat="1" x14ac:dyDescent="0.35"/>
    <row r="400" s="19" customFormat="1" x14ac:dyDescent="0.35"/>
    <row r="401" s="19" customFormat="1" x14ac:dyDescent="0.35"/>
    <row r="402" s="19" customFormat="1" x14ac:dyDescent="0.35"/>
    <row r="403" s="19" customFormat="1" x14ac:dyDescent="0.35"/>
    <row r="404" s="19" customFormat="1" x14ac:dyDescent="0.35"/>
    <row r="405" s="19" customFormat="1" x14ac:dyDescent="0.35"/>
    <row r="406" s="19" customFormat="1" x14ac:dyDescent="0.35"/>
    <row r="407" s="19" customFormat="1" x14ac:dyDescent="0.35"/>
    <row r="408" s="19" customFormat="1" x14ac:dyDescent="0.35"/>
    <row r="409" s="19" customFormat="1" x14ac:dyDescent="0.35"/>
    <row r="410" s="19" customFormat="1" x14ac:dyDescent="0.35"/>
    <row r="411" s="19" customFormat="1" x14ac:dyDescent="0.35"/>
    <row r="412" s="19" customFormat="1" x14ac:dyDescent="0.35"/>
    <row r="413" s="19" customFormat="1" x14ac:dyDescent="0.35"/>
    <row r="414" s="19" customFormat="1" x14ac:dyDescent="0.35"/>
    <row r="415" s="19" customFormat="1" x14ac:dyDescent="0.35"/>
    <row r="416" s="19" customFormat="1" x14ac:dyDescent="0.35"/>
    <row r="417" s="19" customFormat="1" x14ac:dyDescent="0.35"/>
    <row r="418" s="19" customFormat="1" x14ac:dyDescent="0.35"/>
    <row r="419" s="19" customFormat="1" x14ac:dyDescent="0.35"/>
    <row r="420" s="19" customFormat="1" x14ac:dyDescent="0.35"/>
    <row r="421" s="19" customFormat="1" x14ac:dyDescent="0.35"/>
    <row r="422" s="19" customFormat="1" x14ac:dyDescent="0.35"/>
    <row r="423" s="19" customFormat="1" x14ac:dyDescent="0.35"/>
    <row r="424" s="19" customFormat="1" x14ac:dyDescent="0.35"/>
    <row r="425" s="19" customFormat="1" x14ac:dyDescent="0.35"/>
    <row r="426" s="19" customFormat="1" x14ac:dyDescent="0.35"/>
    <row r="427" s="19" customFormat="1" x14ac:dyDescent="0.35"/>
    <row r="428" s="19" customFormat="1" x14ac:dyDescent="0.35"/>
    <row r="429" s="19" customFormat="1" x14ac:dyDescent="0.35"/>
    <row r="430" s="19" customFormat="1" x14ac:dyDescent="0.35"/>
    <row r="431" s="19" customFormat="1" x14ac:dyDescent="0.35"/>
    <row r="432" s="19" customFormat="1" x14ac:dyDescent="0.35"/>
    <row r="433" s="19" customFormat="1" x14ac:dyDescent="0.35"/>
    <row r="434" s="19" customFormat="1" x14ac:dyDescent="0.35"/>
    <row r="435" s="19" customFormat="1" x14ac:dyDescent="0.35"/>
    <row r="436" s="19" customFormat="1" x14ac:dyDescent="0.35"/>
    <row r="437" s="19" customFormat="1" x14ac:dyDescent="0.35"/>
    <row r="438" s="19" customFormat="1" x14ac:dyDescent="0.35"/>
    <row r="439" s="19" customFormat="1" x14ac:dyDescent="0.35"/>
    <row r="440" s="19" customFormat="1" x14ac:dyDescent="0.35"/>
    <row r="441" s="19" customFormat="1" x14ac:dyDescent="0.35"/>
    <row r="442" s="19" customFormat="1" x14ac:dyDescent="0.35"/>
    <row r="443" s="19" customFormat="1" x14ac:dyDescent="0.35"/>
    <row r="444" s="19" customFormat="1" x14ac:dyDescent="0.35"/>
    <row r="445" s="19" customFormat="1" x14ac:dyDescent="0.35"/>
    <row r="446" s="19" customFormat="1" x14ac:dyDescent="0.35"/>
    <row r="447" s="19" customFormat="1" x14ac:dyDescent="0.35"/>
    <row r="448" s="19" customFormat="1" x14ac:dyDescent="0.35"/>
    <row r="449" s="19" customFormat="1" x14ac:dyDescent="0.35"/>
    <row r="450" s="19" customFormat="1" x14ac:dyDescent="0.35"/>
    <row r="451" s="19" customFormat="1" x14ac:dyDescent="0.35"/>
    <row r="452" s="19" customFormat="1" x14ac:dyDescent="0.35"/>
    <row r="453" s="19" customFormat="1" x14ac:dyDescent="0.35"/>
    <row r="454" s="19" customFormat="1" x14ac:dyDescent="0.35"/>
    <row r="455" s="19" customFormat="1" x14ac:dyDescent="0.35"/>
    <row r="456" s="19" customFormat="1" x14ac:dyDescent="0.35"/>
    <row r="457" s="19" customFormat="1" x14ac:dyDescent="0.35"/>
    <row r="458" s="19" customFormat="1" x14ac:dyDescent="0.35"/>
    <row r="459" s="19" customFormat="1" x14ac:dyDescent="0.35"/>
    <row r="460" s="19" customFormat="1" x14ac:dyDescent="0.35"/>
    <row r="461" s="19" customFormat="1" x14ac:dyDescent="0.35"/>
    <row r="462" s="19" customFormat="1" x14ac:dyDescent="0.35"/>
    <row r="463" s="19" customFormat="1" x14ac:dyDescent="0.35"/>
    <row r="464" s="19" customFormat="1" x14ac:dyDescent="0.35"/>
    <row r="465" s="19" customFormat="1" x14ac:dyDescent="0.35"/>
    <row r="466" s="19" customFormat="1" x14ac:dyDescent="0.35"/>
    <row r="467" s="19" customFormat="1" x14ac:dyDescent="0.35"/>
    <row r="468" s="19" customFormat="1" x14ac:dyDescent="0.35"/>
    <row r="469" s="19" customFormat="1" x14ac:dyDescent="0.35"/>
    <row r="470" s="19" customFormat="1" x14ac:dyDescent="0.35"/>
    <row r="471" s="19" customFormat="1" x14ac:dyDescent="0.35"/>
    <row r="472" s="19" customFormat="1" x14ac:dyDescent="0.35"/>
    <row r="473" s="19" customFormat="1" x14ac:dyDescent="0.35"/>
    <row r="474" s="19" customFormat="1" x14ac:dyDescent="0.35"/>
    <row r="475" s="19" customFormat="1" x14ac:dyDescent="0.35"/>
    <row r="476" s="19" customFormat="1" x14ac:dyDescent="0.35"/>
    <row r="477" s="19" customFormat="1" x14ac:dyDescent="0.35"/>
    <row r="478" s="19" customFormat="1" x14ac:dyDescent="0.35"/>
    <row r="479" s="19" customFormat="1" x14ac:dyDescent="0.35"/>
    <row r="480" s="19" customFormat="1" x14ac:dyDescent="0.35"/>
    <row r="481" s="19" customFormat="1" x14ac:dyDescent="0.35"/>
    <row r="482" s="19" customFormat="1" x14ac:dyDescent="0.35"/>
    <row r="483" s="19" customFormat="1" x14ac:dyDescent="0.35"/>
    <row r="484" s="19" customFormat="1" x14ac:dyDescent="0.35"/>
    <row r="485" s="19" customFormat="1" x14ac:dyDescent="0.35"/>
    <row r="486" s="19" customFormat="1" x14ac:dyDescent="0.35"/>
    <row r="487" s="19" customFormat="1" x14ac:dyDescent="0.35"/>
    <row r="488" s="19" customFormat="1" x14ac:dyDescent="0.35"/>
    <row r="489" s="19" customFormat="1" x14ac:dyDescent="0.35"/>
    <row r="490" s="19" customFormat="1" x14ac:dyDescent="0.35"/>
    <row r="491" s="19" customFormat="1" x14ac:dyDescent="0.35"/>
    <row r="492" s="19" customFormat="1" x14ac:dyDescent="0.35"/>
    <row r="493" s="19" customFormat="1" x14ac:dyDescent="0.35"/>
    <row r="494" s="19" customFormat="1" x14ac:dyDescent="0.35"/>
    <row r="495" s="19" customFormat="1" x14ac:dyDescent="0.35"/>
    <row r="496" s="19" customFormat="1" x14ac:dyDescent="0.35"/>
    <row r="497" s="19" customFormat="1" x14ac:dyDescent="0.35"/>
    <row r="498" s="19" customFormat="1" x14ac:dyDescent="0.35"/>
    <row r="499" s="19" customFormat="1" x14ac:dyDescent="0.35"/>
    <row r="500" s="19" customFormat="1" x14ac:dyDescent="0.35"/>
    <row r="501" s="19" customFormat="1" x14ac:dyDescent="0.35"/>
    <row r="502" s="19" customFormat="1" x14ac:dyDescent="0.35"/>
    <row r="503" s="19" customFormat="1" x14ac:dyDescent="0.35"/>
    <row r="504" s="19" customFormat="1" x14ac:dyDescent="0.35"/>
    <row r="505" s="19" customFormat="1" x14ac:dyDescent="0.35"/>
    <row r="506" s="19" customFormat="1" x14ac:dyDescent="0.35"/>
    <row r="507" s="19" customFormat="1" x14ac:dyDescent="0.35"/>
    <row r="508" s="19" customFormat="1" x14ac:dyDescent="0.35"/>
    <row r="509" s="19" customFormat="1" x14ac:dyDescent="0.35"/>
    <row r="510" s="19" customFormat="1" x14ac:dyDescent="0.35"/>
    <row r="511" s="19" customFormat="1" x14ac:dyDescent="0.35"/>
    <row r="512" s="19" customFormat="1" x14ac:dyDescent="0.35"/>
    <row r="513" s="19" customFormat="1" x14ac:dyDescent="0.35"/>
    <row r="514" s="19" customFormat="1" x14ac:dyDescent="0.35"/>
    <row r="515" s="19" customFormat="1" x14ac:dyDescent="0.35"/>
    <row r="516" s="19" customFormat="1" x14ac:dyDescent="0.35"/>
    <row r="517" s="19" customFormat="1" x14ac:dyDescent="0.35"/>
    <row r="518" s="19" customFormat="1" x14ac:dyDescent="0.35"/>
    <row r="519" s="19" customFormat="1" x14ac:dyDescent="0.35"/>
    <row r="520" s="19" customFormat="1" x14ac:dyDescent="0.35"/>
    <row r="521" s="19" customFormat="1" x14ac:dyDescent="0.35"/>
    <row r="522" s="19" customFormat="1" x14ac:dyDescent="0.35"/>
    <row r="523" s="19" customFormat="1" x14ac:dyDescent="0.35"/>
    <row r="524" s="19" customFormat="1" x14ac:dyDescent="0.35"/>
    <row r="525" s="19" customFormat="1" x14ac:dyDescent="0.35"/>
    <row r="526" s="19" customFormat="1" x14ac:dyDescent="0.35"/>
    <row r="527" s="19" customFormat="1" x14ac:dyDescent="0.35"/>
    <row r="528" s="19" customFormat="1" x14ac:dyDescent="0.35"/>
    <row r="529" s="19" customFormat="1" x14ac:dyDescent="0.35"/>
    <row r="530" s="19" customFormat="1" x14ac:dyDescent="0.35"/>
    <row r="531" s="19" customFormat="1" x14ac:dyDescent="0.35"/>
    <row r="532" s="19" customFormat="1" x14ac:dyDescent="0.35"/>
    <row r="533" s="19" customFormat="1" x14ac:dyDescent="0.35"/>
    <row r="534" s="19" customFormat="1" x14ac:dyDescent="0.35"/>
    <row r="535" s="19" customFormat="1" x14ac:dyDescent="0.35"/>
    <row r="536" s="19" customFormat="1" x14ac:dyDescent="0.35"/>
    <row r="537" s="19" customFormat="1" x14ac:dyDescent="0.35"/>
    <row r="538" s="19" customFormat="1" x14ac:dyDescent="0.35"/>
    <row r="539" s="19" customFormat="1" x14ac:dyDescent="0.35"/>
    <row r="540" s="19" customFormat="1" x14ac:dyDescent="0.35"/>
    <row r="541" s="19" customFormat="1" x14ac:dyDescent="0.35"/>
    <row r="542" s="19" customFormat="1" x14ac:dyDescent="0.35"/>
    <row r="543" s="19" customFormat="1" x14ac:dyDescent="0.35"/>
    <row r="544" s="19" customFormat="1" x14ac:dyDescent="0.35"/>
    <row r="545" s="19" customFormat="1" x14ac:dyDescent="0.35"/>
    <row r="546" s="19" customFormat="1" x14ac:dyDescent="0.35"/>
    <row r="547" s="19" customFormat="1" x14ac:dyDescent="0.35"/>
    <row r="548" s="19" customFormat="1" x14ac:dyDescent="0.35"/>
    <row r="549" s="19" customFormat="1" x14ac:dyDescent="0.35"/>
    <row r="550" s="19" customFormat="1" x14ac:dyDescent="0.35"/>
    <row r="551" s="19" customFormat="1" x14ac:dyDescent="0.35"/>
    <row r="552" s="19" customFormat="1" x14ac:dyDescent="0.35"/>
    <row r="553" s="19" customFormat="1" x14ac:dyDescent="0.35"/>
    <row r="554" s="19" customFormat="1" x14ac:dyDescent="0.35"/>
    <row r="555" s="19" customFormat="1" x14ac:dyDescent="0.35"/>
    <row r="556" s="19" customFormat="1" x14ac:dyDescent="0.35"/>
    <row r="557" s="19" customFormat="1" x14ac:dyDescent="0.35"/>
    <row r="558" s="19" customFormat="1" x14ac:dyDescent="0.35"/>
    <row r="559" s="19" customFormat="1" x14ac:dyDescent="0.35"/>
    <row r="560" s="19" customFormat="1" x14ac:dyDescent="0.35"/>
    <row r="561" s="19" customFormat="1" x14ac:dyDescent="0.35"/>
    <row r="562" s="19" customFormat="1" x14ac:dyDescent="0.35"/>
    <row r="563" s="19" customFormat="1" x14ac:dyDescent="0.35"/>
    <row r="564" s="19" customFormat="1" x14ac:dyDescent="0.35"/>
    <row r="565" s="19" customFormat="1" x14ac:dyDescent="0.35"/>
    <row r="566" s="19" customFormat="1" x14ac:dyDescent="0.35"/>
    <row r="567" s="19" customFormat="1" x14ac:dyDescent="0.35"/>
    <row r="568" s="19" customFormat="1" x14ac:dyDescent="0.35"/>
    <row r="569" s="19" customFormat="1" x14ac:dyDescent="0.35"/>
    <row r="570" s="19" customFormat="1" x14ac:dyDescent="0.35"/>
    <row r="571" s="19" customFormat="1" x14ac:dyDescent="0.35"/>
    <row r="572" s="19" customFormat="1" x14ac:dyDescent="0.35"/>
    <row r="573" s="19" customFormat="1" x14ac:dyDescent="0.35"/>
    <row r="574" s="19" customFormat="1" x14ac:dyDescent="0.35"/>
    <row r="575" s="19" customFormat="1" x14ac:dyDescent="0.35"/>
    <row r="576" s="19" customFormat="1" x14ac:dyDescent="0.35"/>
    <row r="577" s="19" customFormat="1" x14ac:dyDescent="0.35"/>
    <row r="578" s="19" customFormat="1" x14ac:dyDescent="0.35"/>
    <row r="579" s="19" customFormat="1" x14ac:dyDescent="0.35"/>
    <row r="580" s="19" customFormat="1" x14ac:dyDescent="0.35"/>
    <row r="581" s="19" customFormat="1" x14ac:dyDescent="0.35"/>
    <row r="582" s="19" customFormat="1" x14ac:dyDescent="0.35"/>
    <row r="583" s="19" customFormat="1" x14ac:dyDescent="0.35"/>
    <row r="584" s="19" customFormat="1" x14ac:dyDescent="0.35"/>
    <row r="585" s="19" customFormat="1" x14ac:dyDescent="0.35"/>
    <row r="586" s="19" customFormat="1" x14ac:dyDescent="0.35"/>
    <row r="587" s="19" customFormat="1" x14ac:dyDescent="0.35"/>
    <row r="588" s="19" customFormat="1" x14ac:dyDescent="0.35"/>
    <row r="589" s="19" customFormat="1" x14ac:dyDescent="0.35"/>
    <row r="590" s="19" customFormat="1" x14ac:dyDescent="0.35"/>
    <row r="591" s="19" customFormat="1" x14ac:dyDescent="0.35"/>
    <row r="592" s="19" customFormat="1" x14ac:dyDescent="0.35"/>
    <row r="593" s="19" customFormat="1" x14ac:dyDescent="0.35"/>
    <row r="594" s="19" customFormat="1" x14ac:dyDescent="0.35"/>
    <row r="595" s="19" customFormat="1" x14ac:dyDescent="0.35"/>
    <row r="596" s="19" customFormat="1" x14ac:dyDescent="0.35"/>
    <row r="597" s="19" customFormat="1" x14ac:dyDescent="0.35"/>
    <row r="598" s="19" customFormat="1" x14ac:dyDescent="0.35"/>
    <row r="599" s="19" customFormat="1" x14ac:dyDescent="0.35"/>
    <row r="600" s="19" customFormat="1" x14ac:dyDescent="0.35"/>
    <row r="601" s="19" customFormat="1" x14ac:dyDescent="0.35"/>
    <row r="602" s="19" customFormat="1" x14ac:dyDescent="0.35"/>
    <row r="603" s="19" customFormat="1" x14ac:dyDescent="0.35"/>
    <row r="604" s="19" customFormat="1" x14ac:dyDescent="0.35"/>
    <row r="605" s="19" customFormat="1" x14ac:dyDescent="0.35"/>
    <row r="606" s="19" customFormat="1" x14ac:dyDescent="0.35"/>
    <row r="607" s="19" customFormat="1" x14ac:dyDescent="0.35"/>
    <row r="608" s="19" customFormat="1" x14ac:dyDescent="0.35"/>
    <row r="609" s="19" customFormat="1" x14ac:dyDescent="0.35"/>
    <row r="610" s="19" customFormat="1" x14ac:dyDescent="0.35"/>
    <row r="611" s="19" customFormat="1" x14ac:dyDescent="0.35"/>
    <row r="612" s="19" customFormat="1" x14ac:dyDescent="0.35"/>
    <row r="613" s="19" customFormat="1" x14ac:dyDescent="0.35"/>
    <row r="614" s="19" customFormat="1" x14ac:dyDescent="0.35"/>
    <row r="615" s="19" customFormat="1" x14ac:dyDescent="0.35"/>
    <row r="616" s="19" customFormat="1" x14ac:dyDescent="0.35"/>
    <row r="617" s="19" customFormat="1" x14ac:dyDescent="0.35"/>
    <row r="618" s="19" customFormat="1" x14ac:dyDescent="0.35"/>
    <row r="619" s="19" customFormat="1" x14ac:dyDescent="0.35"/>
    <row r="620" s="19" customFormat="1" x14ac:dyDescent="0.35"/>
    <row r="621" s="19" customFormat="1" x14ac:dyDescent="0.35"/>
    <row r="622" s="19" customFormat="1" x14ac:dyDescent="0.35"/>
    <row r="623" s="19" customFormat="1" x14ac:dyDescent="0.35"/>
    <row r="624" s="19" customFormat="1" x14ac:dyDescent="0.35"/>
    <row r="625" s="19" customFormat="1" x14ac:dyDescent="0.35"/>
    <row r="626" s="19" customFormat="1" x14ac:dyDescent="0.35"/>
    <row r="627" s="19" customFormat="1" x14ac:dyDescent="0.35"/>
    <row r="628" s="19" customFormat="1" x14ac:dyDescent="0.35"/>
    <row r="629" s="19" customFormat="1" x14ac:dyDescent="0.35"/>
    <row r="630" s="19" customFormat="1" x14ac:dyDescent="0.35"/>
    <row r="631" s="19" customFormat="1" x14ac:dyDescent="0.35"/>
    <row r="632" s="19" customFormat="1" x14ac:dyDescent="0.35"/>
    <row r="633" s="19" customFormat="1" x14ac:dyDescent="0.35"/>
    <row r="634" s="19" customFormat="1" x14ac:dyDescent="0.35"/>
    <row r="635" s="19" customFormat="1" x14ac:dyDescent="0.35"/>
    <row r="636" s="19" customFormat="1" x14ac:dyDescent="0.35"/>
    <row r="637" s="19" customFormat="1" x14ac:dyDescent="0.35"/>
    <row r="638" s="19" customFormat="1" x14ac:dyDescent="0.35"/>
    <row r="639" s="19" customFormat="1" x14ac:dyDescent="0.35"/>
    <row r="640" s="19" customFormat="1" x14ac:dyDescent="0.35"/>
    <row r="641" s="19" customFormat="1" x14ac:dyDescent="0.35"/>
    <row r="642" s="19" customFormat="1" x14ac:dyDescent="0.35"/>
    <row r="643" s="19" customFormat="1" x14ac:dyDescent="0.35"/>
    <row r="644" s="19" customFormat="1" x14ac:dyDescent="0.35"/>
    <row r="645" s="19" customFormat="1" x14ac:dyDescent="0.35"/>
    <row r="646" s="19" customFormat="1" x14ac:dyDescent="0.35"/>
    <row r="647" s="19" customFormat="1" x14ac:dyDescent="0.35"/>
    <row r="648" s="19" customFormat="1" x14ac:dyDescent="0.35"/>
    <row r="649" s="19" customFormat="1" x14ac:dyDescent="0.35"/>
    <row r="650" s="19" customFormat="1" x14ac:dyDescent="0.35"/>
    <row r="651" s="19" customFormat="1" x14ac:dyDescent="0.35"/>
    <row r="652" s="19" customFormat="1" x14ac:dyDescent="0.35"/>
    <row r="653" s="19" customFormat="1" x14ac:dyDescent="0.35"/>
    <row r="654" s="19" customFormat="1" x14ac:dyDescent="0.35"/>
    <row r="655" s="19" customFormat="1" x14ac:dyDescent="0.35"/>
    <row r="656" s="19" customFormat="1" x14ac:dyDescent="0.35"/>
    <row r="657" s="19" customFormat="1" x14ac:dyDescent="0.35"/>
    <row r="658" s="19" customFormat="1" x14ac:dyDescent="0.35"/>
    <row r="659" s="19" customFormat="1" x14ac:dyDescent="0.35"/>
    <row r="660" s="19" customFormat="1" x14ac:dyDescent="0.35"/>
    <row r="661" s="19" customFormat="1" x14ac:dyDescent="0.35"/>
    <row r="662" s="19" customFormat="1" x14ac:dyDescent="0.35"/>
    <row r="663" s="19" customFormat="1" x14ac:dyDescent="0.35"/>
    <row r="664" s="19" customFormat="1" x14ac:dyDescent="0.35"/>
    <row r="665" s="19" customFormat="1" x14ac:dyDescent="0.35"/>
    <row r="666" s="19" customFormat="1" x14ac:dyDescent="0.35"/>
    <row r="667" s="19" customFormat="1" x14ac:dyDescent="0.35"/>
    <row r="668" s="19" customFormat="1" x14ac:dyDescent="0.35"/>
    <row r="669" s="19" customFormat="1" x14ac:dyDescent="0.35"/>
    <row r="670" s="19" customFormat="1" x14ac:dyDescent="0.35"/>
    <row r="671" s="19" customFormat="1" x14ac:dyDescent="0.35"/>
    <row r="672" s="19" customFormat="1" x14ac:dyDescent="0.35"/>
    <row r="673" s="19" customFormat="1" x14ac:dyDescent="0.35"/>
    <row r="674" s="19" customFormat="1" x14ac:dyDescent="0.35"/>
    <row r="675" s="19" customFormat="1" x14ac:dyDescent="0.35"/>
    <row r="676" s="19" customFormat="1" x14ac:dyDescent="0.35"/>
    <row r="677" s="19" customFormat="1" x14ac:dyDescent="0.35"/>
    <row r="678" s="19" customFormat="1" x14ac:dyDescent="0.35"/>
    <row r="679" s="19" customFormat="1" x14ac:dyDescent="0.35"/>
    <row r="680" s="19" customFormat="1" x14ac:dyDescent="0.35"/>
    <row r="681" s="19" customFormat="1" x14ac:dyDescent="0.35"/>
    <row r="682" s="19" customFormat="1" x14ac:dyDescent="0.35"/>
    <row r="683" s="19" customFormat="1" x14ac:dyDescent="0.35"/>
    <row r="684" s="19" customFormat="1" x14ac:dyDescent="0.35"/>
    <row r="685" s="19" customFormat="1" x14ac:dyDescent="0.35"/>
    <row r="686" s="19" customFormat="1" x14ac:dyDescent="0.35"/>
    <row r="687" s="19" customFormat="1" x14ac:dyDescent="0.35"/>
    <row r="688" s="19" customFormat="1" x14ac:dyDescent="0.35"/>
    <row r="689" s="19" customFormat="1" x14ac:dyDescent="0.35"/>
    <row r="690" s="19" customFormat="1" x14ac:dyDescent="0.35"/>
    <row r="691" s="19" customFormat="1" x14ac:dyDescent="0.35"/>
    <row r="692" s="19" customFormat="1" x14ac:dyDescent="0.35"/>
    <row r="693" s="19" customFormat="1" x14ac:dyDescent="0.35"/>
    <row r="694" s="19" customFormat="1" x14ac:dyDescent="0.35"/>
    <row r="695" s="19" customFormat="1" x14ac:dyDescent="0.35"/>
    <row r="696" s="19" customFormat="1" x14ac:dyDescent="0.35"/>
    <row r="697" s="19" customFormat="1" x14ac:dyDescent="0.35"/>
    <row r="698" s="19" customFormat="1" x14ac:dyDescent="0.35"/>
    <row r="699" s="19" customFormat="1" x14ac:dyDescent="0.35"/>
    <row r="700" s="19" customFormat="1" x14ac:dyDescent="0.35"/>
    <row r="701" s="19" customFormat="1" x14ac:dyDescent="0.35"/>
    <row r="702" s="19" customFormat="1" x14ac:dyDescent="0.35"/>
    <row r="703" s="19" customFormat="1" x14ac:dyDescent="0.35"/>
    <row r="704" s="19" customFormat="1" x14ac:dyDescent="0.35"/>
    <row r="705" s="19" customFormat="1" x14ac:dyDescent="0.35"/>
    <row r="706" s="19" customFormat="1" x14ac:dyDescent="0.35"/>
    <row r="707" s="19" customFormat="1" x14ac:dyDescent="0.35"/>
    <row r="708" s="19" customFormat="1" x14ac:dyDescent="0.35"/>
    <row r="709" s="19" customFormat="1" x14ac:dyDescent="0.35"/>
    <row r="710" s="19" customFormat="1" x14ac:dyDescent="0.35"/>
    <row r="711" s="19" customFormat="1" x14ac:dyDescent="0.35"/>
    <row r="712" s="19" customFormat="1" x14ac:dyDescent="0.35"/>
    <row r="713" s="19" customFormat="1" x14ac:dyDescent="0.35"/>
    <row r="714" s="19" customFormat="1" x14ac:dyDescent="0.35"/>
    <row r="715" s="19" customFormat="1" x14ac:dyDescent="0.35"/>
    <row r="716" s="19" customFormat="1" x14ac:dyDescent="0.35"/>
    <row r="717" s="19" customFormat="1" x14ac:dyDescent="0.35"/>
    <row r="718" s="19" customFormat="1" x14ac:dyDescent="0.35"/>
    <row r="719" s="19" customFormat="1" x14ac:dyDescent="0.35"/>
    <row r="720" s="19" customFormat="1" x14ac:dyDescent="0.35"/>
    <row r="721" s="19" customFormat="1" x14ac:dyDescent="0.35"/>
    <row r="722" s="19" customFormat="1" x14ac:dyDescent="0.35"/>
    <row r="723" s="19" customFormat="1" x14ac:dyDescent="0.35"/>
    <row r="724" s="19" customFormat="1" x14ac:dyDescent="0.35"/>
    <row r="725" s="19" customFormat="1" x14ac:dyDescent="0.35"/>
    <row r="726" s="19" customFormat="1" x14ac:dyDescent="0.35"/>
    <row r="727" s="19" customFormat="1" x14ac:dyDescent="0.35"/>
    <row r="728" s="19" customFormat="1" x14ac:dyDescent="0.35"/>
    <row r="729" s="19" customFormat="1" x14ac:dyDescent="0.35"/>
    <row r="730" s="19" customFormat="1" x14ac:dyDescent="0.35"/>
    <row r="731" s="19" customFormat="1" x14ac:dyDescent="0.35"/>
    <row r="732" s="19" customFormat="1" x14ac:dyDescent="0.35"/>
    <row r="733" s="19" customFormat="1" x14ac:dyDescent="0.35"/>
    <row r="734" s="19" customFormat="1" x14ac:dyDescent="0.35"/>
    <row r="735" s="19" customFormat="1" x14ac:dyDescent="0.35"/>
    <row r="736" s="19" customFormat="1" x14ac:dyDescent="0.35"/>
    <row r="737" s="19" customFormat="1" x14ac:dyDescent="0.35"/>
    <row r="738" s="19" customFormat="1" x14ac:dyDescent="0.35"/>
    <row r="739" s="19" customFormat="1" x14ac:dyDescent="0.35"/>
    <row r="740" s="19" customFormat="1" x14ac:dyDescent="0.35"/>
    <row r="741" s="19" customFormat="1" x14ac:dyDescent="0.35"/>
    <row r="742" s="19" customFormat="1" x14ac:dyDescent="0.35"/>
    <row r="743" s="19" customFormat="1" x14ac:dyDescent="0.35"/>
    <row r="744" s="19" customFormat="1" x14ac:dyDescent="0.35"/>
    <row r="745" s="19" customFormat="1" x14ac:dyDescent="0.35"/>
    <row r="746" s="19" customFormat="1" x14ac:dyDescent="0.35"/>
    <row r="747" s="19" customFormat="1" x14ac:dyDescent="0.35"/>
    <row r="748" s="19" customFormat="1" x14ac:dyDescent="0.35"/>
    <row r="749" s="19" customFormat="1" x14ac:dyDescent="0.35"/>
    <row r="750" s="19" customFormat="1" x14ac:dyDescent="0.35"/>
    <row r="751" s="19" customFormat="1" x14ac:dyDescent="0.35"/>
    <row r="752" s="19" customFormat="1" x14ac:dyDescent="0.35"/>
    <row r="753" s="19" customFormat="1" x14ac:dyDescent="0.35"/>
    <row r="754" s="19" customFormat="1" x14ac:dyDescent="0.35"/>
    <row r="755" s="19" customFormat="1" x14ac:dyDescent="0.35"/>
    <row r="756" s="19" customFormat="1" x14ac:dyDescent="0.35"/>
    <row r="757" s="19" customFormat="1" x14ac:dyDescent="0.35"/>
    <row r="758" s="19" customFormat="1" x14ac:dyDescent="0.35"/>
    <row r="759" s="19" customFormat="1" x14ac:dyDescent="0.35"/>
    <row r="760" s="19" customFormat="1" x14ac:dyDescent="0.35"/>
    <row r="761" s="19" customFormat="1" x14ac:dyDescent="0.35"/>
    <row r="762" s="19" customFormat="1" x14ac:dyDescent="0.35"/>
    <row r="763" s="19" customFormat="1" x14ac:dyDescent="0.35"/>
    <row r="764" s="19" customFormat="1" x14ac:dyDescent="0.35"/>
    <row r="765" s="19" customFormat="1" x14ac:dyDescent="0.35"/>
    <row r="766" s="19" customFormat="1" x14ac:dyDescent="0.35"/>
    <row r="767" s="19" customFormat="1" x14ac:dyDescent="0.35"/>
    <row r="768" s="19" customFormat="1" x14ac:dyDescent="0.35"/>
    <row r="769" s="19" customFormat="1" x14ac:dyDescent="0.35"/>
    <row r="770" s="19" customFormat="1" x14ac:dyDescent="0.35"/>
    <row r="771" s="19" customFormat="1" x14ac:dyDescent="0.35"/>
    <row r="772" s="19" customFormat="1" x14ac:dyDescent="0.35"/>
    <row r="773" s="19" customFormat="1" x14ac:dyDescent="0.35"/>
    <row r="774" s="19" customFormat="1" x14ac:dyDescent="0.35"/>
    <row r="775" s="19" customFormat="1" x14ac:dyDescent="0.35"/>
    <row r="776" s="19" customFormat="1" x14ac:dyDescent="0.35"/>
    <row r="777" s="19" customFormat="1" x14ac:dyDescent="0.35"/>
    <row r="778" s="19" customFormat="1" x14ac:dyDescent="0.35"/>
    <row r="779" s="19" customFormat="1" x14ac:dyDescent="0.35"/>
    <row r="780" s="19" customFormat="1" x14ac:dyDescent="0.35"/>
    <row r="781" s="19" customFormat="1" x14ac:dyDescent="0.35"/>
    <row r="782" s="19" customFormat="1" x14ac:dyDescent="0.35"/>
    <row r="783" s="19" customFormat="1" x14ac:dyDescent="0.35"/>
    <row r="784" s="19" customFormat="1" x14ac:dyDescent="0.35"/>
    <row r="785" s="19" customFormat="1" x14ac:dyDescent="0.35"/>
    <row r="786" s="19" customFormat="1" x14ac:dyDescent="0.35"/>
    <row r="787" s="19" customFormat="1" x14ac:dyDescent="0.35"/>
    <row r="788" s="19" customFormat="1" x14ac:dyDescent="0.35"/>
    <row r="789" s="19" customFormat="1" x14ac:dyDescent="0.35"/>
    <row r="790" s="19" customFormat="1" x14ac:dyDescent="0.35"/>
    <row r="791" s="19" customFormat="1" x14ac:dyDescent="0.35"/>
    <row r="792" s="19" customFormat="1" x14ac:dyDescent="0.35"/>
    <row r="793" s="19" customFormat="1" x14ac:dyDescent="0.35"/>
    <row r="794" s="19" customFormat="1" x14ac:dyDescent="0.35"/>
    <row r="795" s="19" customFormat="1" x14ac:dyDescent="0.35"/>
    <row r="796" s="19" customFormat="1" x14ac:dyDescent="0.35"/>
    <row r="797" s="19" customFormat="1" x14ac:dyDescent="0.35"/>
    <row r="798" s="19" customFormat="1" x14ac:dyDescent="0.35"/>
    <row r="799" s="19" customFormat="1" x14ac:dyDescent="0.35"/>
    <row r="800" s="19" customFormat="1" x14ac:dyDescent="0.35"/>
    <row r="801" s="19" customFormat="1" x14ac:dyDescent="0.35"/>
    <row r="802" s="19" customFormat="1" x14ac:dyDescent="0.35"/>
    <row r="803" s="19" customFormat="1" x14ac:dyDescent="0.35"/>
    <row r="804" s="19" customFormat="1" x14ac:dyDescent="0.35"/>
    <row r="805" s="19" customFormat="1" x14ac:dyDescent="0.35"/>
    <row r="806" s="19" customFormat="1" x14ac:dyDescent="0.35"/>
    <row r="807" s="19" customFormat="1" x14ac:dyDescent="0.35"/>
    <row r="808" s="19" customFormat="1" x14ac:dyDescent="0.35"/>
    <row r="809" s="19" customFormat="1" x14ac:dyDescent="0.35"/>
    <row r="810" s="19" customFormat="1" x14ac:dyDescent="0.35"/>
    <row r="811" s="19" customFormat="1" x14ac:dyDescent="0.35"/>
    <row r="812" s="19" customFormat="1" x14ac:dyDescent="0.35"/>
    <row r="813" s="19" customFormat="1" x14ac:dyDescent="0.35"/>
    <row r="814" s="19" customFormat="1" x14ac:dyDescent="0.35"/>
    <row r="815" s="19" customFormat="1" x14ac:dyDescent="0.35"/>
    <row r="816" s="19" customFormat="1" x14ac:dyDescent="0.35"/>
    <row r="817" s="19" customFormat="1" x14ac:dyDescent="0.35"/>
    <row r="818" s="19" customFormat="1" x14ac:dyDescent="0.35"/>
    <row r="819" s="19" customFormat="1" x14ac:dyDescent="0.35"/>
    <row r="820" s="19" customFormat="1" x14ac:dyDescent="0.35"/>
    <row r="821" s="19" customFormat="1" x14ac:dyDescent="0.35"/>
    <row r="822" s="19" customFormat="1" x14ac:dyDescent="0.35"/>
    <row r="823" s="19" customFormat="1" x14ac:dyDescent="0.35"/>
    <row r="824" s="19" customFormat="1" x14ac:dyDescent="0.35"/>
    <row r="825" s="19" customFormat="1" x14ac:dyDescent="0.35"/>
    <row r="826" s="19" customFormat="1" x14ac:dyDescent="0.35"/>
    <row r="827" s="19" customFormat="1" x14ac:dyDescent="0.35"/>
    <row r="828" s="19" customFormat="1" x14ac:dyDescent="0.35"/>
    <row r="829" s="19" customFormat="1" x14ac:dyDescent="0.35"/>
    <row r="830" s="19" customFormat="1" x14ac:dyDescent="0.35"/>
    <row r="831" s="19" customFormat="1" x14ac:dyDescent="0.35"/>
    <row r="832" s="19" customFormat="1" x14ac:dyDescent="0.35"/>
    <row r="833" s="19" customFormat="1" x14ac:dyDescent="0.35"/>
    <row r="834" s="19" customFormat="1" x14ac:dyDescent="0.35"/>
    <row r="835" s="19" customFormat="1" x14ac:dyDescent="0.35"/>
    <row r="836" s="19" customFormat="1" x14ac:dyDescent="0.35"/>
    <row r="837" s="19" customFormat="1" x14ac:dyDescent="0.35"/>
    <row r="838" s="19" customFormat="1" x14ac:dyDescent="0.35"/>
    <row r="839" s="19" customFormat="1" x14ac:dyDescent="0.35"/>
    <row r="840" s="19" customFormat="1" x14ac:dyDescent="0.35"/>
    <row r="841" s="19" customFormat="1" x14ac:dyDescent="0.35"/>
    <row r="842" s="19" customFormat="1" x14ac:dyDescent="0.35"/>
    <row r="843" s="19" customFormat="1" x14ac:dyDescent="0.35"/>
    <row r="844" s="19" customFormat="1" x14ac:dyDescent="0.35"/>
    <row r="845" s="19" customFormat="1" x14ac:dyDescent="0.35"/>
    <row r="846" s="19" customFormat="1" x14ac:dyDescent="0.35"/>
    <row r="847" s="19" customFormat="1" x14ac:dyDescent="0.35"/>
    <row r="848" s="19" customFormat="1" x14ac:dyDescent="0.35"/>
    <row r="849" s="19" customFormat="1" x14ac:dyDescent="0.35"/>
    <row r="850" s="19" customFormat="1" x14ac:dyDescent="0.35"/>
    <row r="851" s="19" customFormat="1" x14ac:dyDescent="0.35"/>
    <row r="852" s="19" customFormat="1" x14ac:dyDescent="0.35"/>
    <row r="853" s="19" customFormat="1" x14ac:dyDescent="0.35"/>
    <row r="854" s="19" customFormat="1" x14ac:dyDescent="0.35"/>
    <row r="855" s="19" customFormat="1" x14ac:dyDescent="0.35"/>
    <row r="856" s="19" customFormat="1" x14ac:dyDescent="0.35"/>
    <row r="857" s="19" customFormat="1" x14ac:dyDescent="0.35"/>
    <row r="858" s="19" customFormat="1" x14ac:dyDescent="0.35"/>
    <row r="859" s="19" customFormat="1" x14ac:dyDescent="0.35"/>
    <row r="860" s="19" customFormat="1" x14ac:dyDescent="0.35"/>
    <row r="861" s="19" customFormat="1" x14ac:dyDescent="0.35"/>
    <row r="862" s="19" customFormat="1" x14ac:dyDescent="0.35"/>
    <row r="863" s="19" customFormat="1" x14ac:dyDescent="0.35"/>
    <row r="864" s="19" customFormat="1" x14ac:dyDescent="0.35"/>
    <row r="865" s="19" customFormat="1" x14ac:dyDescent="0.35"/>
    <row r="866" s="19" customFormat="1" x14ac:dyDescent="0.35"/>
    <row r="867" s="19" customFormat="1" x14ac:dyDescent="0.35"/>
    <row r="868" s="19" customFormat="1" x14ac:dyDescent="0.35"/>
    <row r="869" s="19" customFormat="1" x14ac:dyDescent="0.35"/>
    <row r="870" s="19" customFormat="1" x14ac:dyDescent="0.35"/>
    <row r="871" s="19" customFormat="1" x14ac:dyDescent="0.35"/>
    <row r="872" s="19" customFormat="1" x14ac:dyDescent="0.35"/>
    <row r="873" s="19" customFormat="1" x14ac:dyDescent="0.35"/>
    <row r="874" s="19" customFormat="1" x14ac:dyDescent="0.35"/>
    <row r="875" s="19" customFormat="1" x14ac:dyDescent="0.35"/>
    <row r="876" s="19" customFormat="1" x14ac:dyDescent="0.35"/>
    <row r="877" s="19" customFormat="1" x14ac:dyDescent="0.35"/>
    <row r="878" s="19" customFormat="1" x14ac:dyDescent="0.35"/>
    <row r="879" s="19" customFormat="1" x14ac:dyDescent="0.35"/>
    <row r="880" s="19" customFormat="1" x14ac:dyDescent="0.35"/>
    <row r="881" s="19" customFormat="1" x14ac:dyDescent="0.35"/>
    <row r="882" s="19" customFormat="1" x14ac:dyDescent="0.35"/>
    <row r="883" s="19" customFormat="1" x14ac:dyDescent="0.35"/>
    <row r="884" s="19" customFormat="1" x14ac:dyDescent="0.35"/>
    <row r="885" s="19" customFormat="1" x14ac:dyDescent="0.35"/>
    <row r="886" s="19" customFormat="1" x14ac:dyDescent="0.35"/>
    <row r="887" s="19" customFormat="1" x14ac:dyDescent="0.35"/>
    <row r="888" s="19" customFormat="1" x14ac:dyDescent="0.35"/>
    <row r="889" s="19" customFormat="1" x14ac:dyDescent="0.35"/>
    <row r="890" s="19" customFormat="1" x14ac:dyDescent="0.35"/>
    <row r="891" s="19" customFormat="1" x14ac:dyDescent="0.35"/>
    <row r="892" s="19" customFormat="1" x14ac:dyDescent="0.35"/>
    <row r="893" s="19" customFormat="1" x14ac:dyDescent="0.35"/>
    <row r="894" s="19" customFormat="1" x14ac:dyDescent="0.35"/>
    <row r="895" s="19" customFormat="1" x14ac:dyDescent="0.35"/>
    <row r="896" s="19" customFormat="1" x14ac:dyDescent="0.35"/>
    <row r="897" s="19" customFormat="1" x14ac:dyDescent="0.35"/>
    <row r="898" s="19" customFormat="1" x14ac:dyDescent="0.35"/>
    <row r="899" s="19" customFormat="1" x14ac:dyDescent="0.35"/>
    <row r="900" s="19" customFormat="1" x14ac:dyDescent="0.35"/>
    <row r="901" s="19" customFormat="1" x14ac:dyDescent="0.35"/>
    <row r="902" s="19" customFormat="1" x14ac:dyDescent="0.35"/>
    <row r="903" s="19" customFormat="1" x14ac:dyDescent="0.35"/>
    <row r="904" s="19" customFormat="1" x14ac:dyDescent="0.35"/>
    <row r="905" s="19" customFormat="1" x14ac:dyDescent="0.35"/>
    <row r="906" s="19" customFormat="1" x14ac:dyDescent="0.35"/>
    <row r="907" s="19" customFormat="1" x14ac:dyDescent="0.35"/>
    <row r="908" s="19" customFormat="1" x14ac:dyDescent="0.35"/>
    <row r="909" s="19" customFormat="1" x14ac:dyDescent="0.35"/>
    <row r="910" s="19" customFormat="1" x14ac:dyDescent="0.35"/>
    <row r="911" s="19" customFormat="1" x14ac:dyDescent="0.35"/>
    <row r="912" s="19" customFormat="1" x14ac:dyDescent="0.35"/>
    <row r="913" s="19" customFormat="1" x14ac:dyDescent="0.35"/>
    <row r="914" s="19" customFormat="1" x14ac:dyDescent="0.35"/>
    <row r="915" s="19" customFormat="1" x14ac:dyDescent="0.35"/>
    <row r="916" s="19" customFormat="1" x14ac:dyDescent="0.35"/>
    <row r="917" s="19" customFormat="1" x14ac:dyDescent="0.35"/>
    <row r="918" s="19" customFormat="1" x14ac:dyDescent="0.35"/>
    <row r="919" s="19" customFormat="1" x14ac:dyDescent="0.35"/>
    <row r="920" s="19" customFormat="1" x14ac:dyDescent="0.35"/>
    <row r="921" s="19" customFormat="1" x14ac:dyDescent="0.35"/>
    <row r="922" s="19" customFormat="1" x14ac:dyDescent="0.35"/>
    <row r="923" s="19" customFormat="1" x14ac:dyDescent="0.35"/>
    <row r="924" s="19" customFormat="1" x14ac:dyDescent="0.35"/>
    <row r="925" s="19" customFormat="1" x14ac:dyDescent="0.35"/>
    <row r="926" s="19" customFormat="1" x14ac:dyDescent="0.35"/>
    <row r="927" s="19" customFormat="1" x14ac:dyDescent="0.35"/>
    <row r="928" s="19" customFormat="1" x14ac:dyDescent="0.35"/>
    <row r="929" s="19" customFormat="1" x14ac:dyDescent="0.35"/>
    <row r="930" s="19" customFormat="1" x14ac:dyDescent="0.35"/>
    <row r="931" s="19" customFormat="1" x14ac:dyDescent="0.35"/>
    <row r="932" s="19" customFormat="1" x14ac:dyDescent="0.35"/>
    <row r="933" s="19" customFormat="1" x14ac:dyDescent="0.35"/>
    <row r="934" s="19" customFormat="1" x14ac:dyDescent="0.35"/>
    <row r="935" s="19" customFormat="1" x14ac:dyDescent="0.35"/>
    <row r="936" s="19" customFormat="1" x14ac:dyDescent="0.35"/>
    <row r="937" s="19" customFormat="1" x14ac:dyDescent="0.35"/>
  </sheetData>
  <sheetProtection algorithmName="SHA-512" hashValue="yp+HtzXse4Z88nHS5JzEEQmfjxCp6PIOWm1QONMiPrbPUik2VK0aTwMAXXD0RbAg86Lc7WXIze6n6Se1mmhxrw==" saltValue="JMe/ZXSl4YO/bhCYmndyJg==" spinCount="100000" sheet="1" objects="1" scenarios="1"/>
  <mergeCells count="24">
    <mergeCell ref="B71:E71"/>
    <mergeCell ref="B2:E2"/>
    <mergeCell ref="B160:E160"/>
    <mergeCell ref="B76:E76"/>
    <mergeCell ref="B3:E3"/>
    <mergeCell ref="B42:E42"/>
    <mergeCell ref="B50:E50"/>
    <mergeCell ref="B12:E12"/>
    <mergeCell ref="H9:J9"/>
    <mergeCell ref="H10:J10"/>
    <mergeCell ref="B7:J7"/>
    <mergeCell ref="H8:J8"/>
    <mergeCell ref="B162:E162"/>
    <mergeCell ref="B131:E131"/>
    <mergeCell ref="B138:E138"/>
    <mergeCell ref="B122:E122"/>
    <mergeCell ref="B82:E82"/>
    <mergeCell ref="B89:E89"/>
    <mergeCell ref="B146:E146"/>
    <mergeCell ref="B151:E151"/>
    <mergeCell ref="B158:E158"/>
    <mergeCell ref="B111:E111"/>
    <mergeCell ref="B61:E61"/>
    <mergeCell ref="B44:E44"/>
  </mergeCells>
  <conditionalFormatting sqref="B12:E39">
    <cfRule type="expression" dxfId="91" priority="6">
      <formula>cbr_result="Excluded"</formula>
    </cfRule>
  </conditionalFormatting>
  <conditionalFormatting sqref="C7:J8 H9:J9 C9:G10 H10">
    <cfRule type="expression" dxfId="90" priority="1">
      <formula>cbr_result="Excluded"</formula>
    </cfRule>
  </conditionalFormatting>
  <conditionalFormatting sqref="D5">
    <cfRule type="expression" dxfId="89" priority="80">
      <formula>OR((cbr_result="Excluded"),AND((intelligent_operations_result="Excluded")))</formula>
    </cfRule>
  </conditionalFormatting>
  <conditionalFormatting sqref="D14:D39">
    <cfRule type="notContainsBlanks" dxfId="88" priority="7">
      <formula>LEN(TRIM(D14))&gt;0</formula>
    </cfRule>
    <cfRule type="containsBlanks" dxfId="87" priority="8">
      <formula>LEN(TRIM(D14))=0</formula>
    </cfRule>
  </conditionalFormatting>
  <conditionalFormatting sqref="D42">
    <cfRule type="expression" dxfId="86" priority="21">
      <formula>cbr_result="Excluded"</formula>
    </cfRule>
  </conditionalFormatting>
  <conditionalFormatting sqref="D44 D46:D48 D50 D52:D59 D61 D63:D69 D71 D73:D74 D76 D78:D80 D82 D84:D87 D89 D91:D109 D111 D113:D120 D122 D124:D129 D131 D133:D136 D138 D140:D144 D146 D148:D149 D151 D153:D156">
    <cfRule type="expression" dxfId="85" priority="9" stopIfTrue="1">
      <formula>cbr_result="Excluded"</formula>
    </cfRule>
    <cfRule type="notContainsBlanks" dxfId="84" priority="20">
      <formula>LEN(TRIM(D44))&gt;0</formula>
    </cfRule>
  </conditionalFormatting>
  <conditionalFormatting sqref="D160 D162 D164:D168">
    <cfRule type="expression" dxfId="81" priority="18" stopIfTrue="1">
      <formula>OR((cbr_result="Excluded"),AND((intelligent_operations_result="Excluded")))</formula>
    </cfRule>
  </conditionalFormatting>
  <conditionalFormatting sqref="E9:E10">
    <cfRule type="notContainsBlanks" dxfId="80" priority="4">
      <formula>LEN(TRIM(E9))&gt;0</formula>
    </cfRule>
    <cfRule type="containsBlanks" dxfId="79" priority="5">
      <formula>LEN(TRIM(E9))=0</formula>
    </cfRule>
  </conditionalFormatting>
  <conditionalFormatting sqref="G9:G10">
    <cfRule type="notContainsBlanks" dxfId="78" priority="2">
      <formula>LEN(TRIM(G9))&gt;0</formula>
    </cfRule>
    <cfRule type="containsBlanks" dxfId="77" priority="3">
      <formula>LEN(TRIM(G9))=0</formula>
    </cfRule>
  </conditionalFormatting>
  <dataValidations disablePrompts="1" count="2">
    <dataValidation type="list" allowBlank="1" showInputMessage="1" showErrorMessage="1" sqref="C19:D19" xr:uid="{D0291D4F-CAC3-8249-BB23-83660C8D63EF}">
      <formula1>aws_regions</formula1>
    </dataValidation>
    <dataValidation type="list" allowBlank="1" showInputMessage="1" showErrorMessage="1" sqref="C13:D13" xr:uid="{4BEA9190-F800-344C-9020-B8C55E48864B}">
      <formula1>"Standard,Consolidated"</formula1>
    </dataValidation>
  </dataValidations>
  <hyperlinks>
    <hyperlink ref="B5" location="'Deployment Options'!H50" display="Section Navigation (Click to Navigate)" xr:uid="{00000000-0004-0000-1700-000000000000}"/>
    <hyperlink ref="C5" location="'Cloud-Based Ransomware Recovery'!B8" display="Deployment" xr:uid="{00000000-0004-0000-1700-000001000000}"/>
    <hyperlink ref="D5" location="'Cloud-Based Ransomware Recovery'!B130" display="Solution Interoperability" xr:uid="{00000000-0004-0000-1700-000002000000}"/>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notContainsText" priority="23" operator="notContains" id="{478229EA-1160-4146-916B-9ECBD3E6FB0C}">
            <xm:f>ISERROR(SEARCH("Value Missing",D44))</xm:f>
            <xm:f>"Value Missing"</xm:f>
            <x14:dxf>
              <font>
                <color theme="1"/>
              </font>
              <fill>
                <patternFill>
                  <bgColor rgb="FFEFFDE3"/>
                </patternFill>
              </fill>
            </x14:dxf>
          </x14:cfRule>
          <x14:cfRule type="containsText" priority="24" operator="containsText" id="{D598269F-1849-5240-98C2-59F78A1732EB}">
            <xm:f>NOT(ISERROR(SEARCH("Value Missing",D44)))</xm:f>
            <xm:f>"Value Missing"</xm:f>
            <x14:dxf>
              <font>
                <color theme="1"/>
              </font>
              <fill>
                <patternFill>
                  <bgColor rgb="FFFFBE29"/>
                </patternFill>
              </fill>
            </x14:dxf>
          </x14:cfRule>
          <xm:sqref>D44 D46:D48 D50 D52:D59 D61 D63:D69 D71 D73:D74 D76 D78:D80 D82 D84:D87 D89 D91:D109 D111 D113:D120 D122 D124:D129 D131 D133:D136 D138 D140:D144 D146 D148:D149 D151 D153:D156</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38AD5-C809-B944-B157-C2C0A514B93C}">
  <sheetPr codeName="Sheet27">
    <tabColor theme="4" tint="0.39997558519241921"/>
  </sheetPr>
  <dimension ref="A1:S983"/>
  <sheetViews>
    <sheetView workbookViewId="0">
      <pane ySplit="6" topLeftCell="A7" activePane="bottomLeft" state="frozen"/>
      <selection pane="bottomLeft" activeCell="L24" sqref="L24"/>
    </sheetView>
  </sheetViews>
  <sheetFormatPr defaultColWidth="11" defaultRowHeight="15" x14ac:dyDescent="0.35"/>
  <cols>
    <col min="1" max="1" width="2.85546875" style="19" customWidth="1"/>
    <col min="2" max="2" width="63.85546875" style="8" customWidth="1"/>
    <col min="3" max="3" width="78.85546875" style="8" customWidth="1"/>
    <col min="4" max="4" width="84.85546875" style="8" customWidth="1"/>
    <col min="5" max="5" width="60.85546875" style="8" customWidth="1"/>
    <col min="6" max="19" width="11" style="19" customWidth="1"/>
    <col min="20" max="27" width="11" style="8" customWidth="1"/>
    <col min="28" max="16384" width="11" style="8"/>
  </cols>
  <sheetData>
    <row r="1" spans="1:19" s="19" customFormat="1" x14ac:dyDescent="0.35">
      <c r="A1" s="215"/>
      <c r="B1" s="203"/>
      <c r="C1" s="203"/>
      <c r="D1" s="203"/>
      <c r="E1" s="203"/>
      <c r="F1" s="203"/>
    </row>
    <row r="2" spans="1:19" ht="54" customHeight="1" x14ac:dyDescent="0.35">
      <c r="A2" s="203"/>
      <c r="B2" s="658" t="s">
        <v>3493</v>
      </c>
      <c r="C2" s="659"/>
      <c r="D2" s="659"/>
      <c r="E2" s="668"/>
      <c r="F2" s="203"/>
    </row>
    <row r="3" spans="1:19" ht="15.45" x14ac:dyDescent="0.35">
      <c r="A3" s="203"/>
      <c r="B3" s="665" t="s">
        <v>3494</v>
      </c>
      <c r="C3" s="665"/>
      <c r="D3" s="665"/>
      <c r="E3" s="666"/>
      <c r="F3" s="203"/>
    </row>
    <row r="4" spans="1:19" x14ac:dyDescent="0.35">
      <c r="A4" s="216"/>
      <c r="B4" s="216"/>
      <c r="C4" s="216"/>
      <c r="D4" s="216"/>
      <c r="E4" s="216"/>
      <c r="F4" s="216"/>
    </row>
    <row r="5" spans="1:19" ht="34" customHeight="1" x14ac:dyDescent="0.35">
      <c r="A5" s="216"/>
      <c r="B5" s="217" t="s">
        <v>3416</v>
      </c>
      <c r="C5" s="217" t="s">
        <v>577</v>
      </c>
      <c r="D5" s="236" t="s">
        <v>2981</v>
      </c>
      <c r="E5" s="237"/>
      <c r="F5" s="220"/>
    </row>
    <row r="6" spans="1:19" ht="20.05" customHeight="1" x14ac:dyDescent="0.35">
      <c r="A6" s="203"/>
      <c r="B6" s="203"/>
      <c r="C6" s="203"/>
      <c r="D6" s="221"/>
      <c r="E6" s="222"/>
      <c r="F6" s="222"/>
    </row>
    <row r="7" spans="1:19" ht="34" customHeight="1" x14ac:dyDescent="0.35">
      <c r="A7" s="8"/>
      <c r="B7" s="407" t="s">
        <v>3495</v>
      </c>
      <c r="C7" s="408"/>
      <c r="D7" s="408"/>
      <c r="E7" s="408"/>
      <c r="F7" s="408"/>
      <c r="G7" s="408"/>
      <c r="H7" s="408"/>
      <c r="I7" s="408"/>
      <c r="J7" s="409"/>
      <c r="K7" s="8"/>
      <c r="L7" s="8"/>
      <c r="M7" s="8"/>
      <c r="N7" s="8"/>
      <c r="O7" s="8"/>
      <c r="P7" s="8"/>
      <c r="Q7" s="8"/>
      <c r="R7" s="8"/>
      <c r="S7" s="8"/>
    </row>
    <row r="8" spans="1:19" ht="20.05" customHeight="1" x14ac:dyDescent="0.35">
      <c r="A8" s="8"/>
      <c r="B8" s="346" t="s">
        <v>2725</v>
      </c>
      <c r="C8" s="346" t="s">
        <v>2726</v>
      </c>
      <c r="D8" s="346" t="s">
        <v>2727</v>
      </c>
      <c r="E8" s="97" t="s">
        <v>2728</v>
      </c>
      <c r="F8" s="346" t="s">
        <v>940</v>
      </c>
      <c r="G8" s="97" t="s">
        <v>941</v>
      </c>
      <c r="H8" s="438" t="s">
        <v>20</v>
      </c>
      <c r="I8" s="443"/>
      <c r="J8" s="439"/>
      <c r="K8" s="8"/>
      <c r="L8" s="8"/>
      <c r="M8" s="8"/>
      <c r="N8" s="8"/>
      <c r="O8" s="8"/>
      <c r="P8" s="8"/>
      <c r="Q8" s="8"/>
      <c r="R8" s="8"/>
      <c r="S8" s="8"/>
    </row>
    <row r="9" spans="1:19" ht="20.05" customHeight="1" x14ac:dyDescent="0.35">
      <c r="A9" s="8"/>
      <c r="B9" s="4" t="s">
        <v>3496</v>
      </c>
      <c r="C9" s="9" t="s">
        <v>1905</v>
      </c>
      <c r="D9" s="80" t="str">
        <f>CONCATENATE(this_instance,"-ccm-hcx01")</f>
        <v>sfo-ccm-hcx01</v>
      </c>
      <c r="E9" s="347"/>
      <c r="F9" s="80" t="str">
        <f>IF(mgmt_dpg_reuse_result="Included",CONCATENATE(prefix_mgmt_az1_cidr,"10.46"),CONCATENATE(prefix_mgmt_az1_cidr,"11.46"))</f>
        <v>10.11.10.46</v>
      </c>
      <c r="G9" s="347"/>
      <c r="H9" s="645" t="s">
        <v>3496</v>
      </c>
      <c r="I9" s="646"/>
      <c r="J9" s="644"/>
      <c r="K9" s="8"/>
      <c r="L9" s="8"/>
      <c r="M9" s="8"/>
      <c r="N9" s="8"/>
      <c r="O9" s="8"/>
      <c r="P9" s="8"/>
      <c r="Q9" s="8"/>
      <c r="R9" s="8"/>
      <c r="S9" s="8"/>
    </row>
    <row r="10" spans="1:19" ht="20.05" customHeight="1" x14ac:dyDescent="0.35">
      <c r="A10" s="8"/>
      <c r="B10" s="676" t="s">
        <v>3497</v>
      </c>
      <c r="C10" s="677"/>
      <c r="D10" s="676" t="s">
        <v>3498</v>
      </c>
      <c r="E10" s="678"/>
      <c r="F10" s="679" t="s">
        <v>3499</v>
      </c>
      <c r="G10" s="677"/>
      <c r="H10" s="669"/>
      <c r="I10" s="670"/>
      <c r="J10" s="671"/>
      <c r="K10" s="8"/>
      <c r="L10" s="8"/>
      <c r="M10" s="8"/>
      <c r="N10" s="8"/>
      <c r="O10" s="8"/>
      <c r="P10" s="8"/>
      <c r="Q10" s="8"/>
      <c r="R10" s="8"/>
      <c r="S10" s="8"/>
    </row>
    <row r="11" spans="1:19" ht="20.05" customHeight="1" x14ac:dyDescent="0.35">
      <c r="A11" s="8"/>
      <c r="B11" s="458" t="s">
        <v>2131</v>
      </c>
      <c r="C11" s="459"/>
      <c r="D11" s="674" t="str">
        <f>IF(mgmt_dpg_reuse_result="Included",CONCATENATE(prefix_wld_az1_cidr,"10.221-",prefix_wld_az1_cidr,"10.225"),CONCATENATE(prefix_wld_az1_cidr,"11.221-",prefix_wld_az1_cidr,"11.225"))</f>
        <v>10.13.10.221-10.13.10.225</v>
      </c>
      <c r="E11" s="675"/>
      <c r="F11" s="672"/>
      <c r="G11" s="673"/>
      <c r="H11" s="645"/>
      <c r="I11" s="646"/>
      <c r="J11" s="644"/>
      <c r="K11" s="8"/>
      <c r="L11" s="8"/>
      <c r="M11" s="8"/>
      <c r="N11" s="8"/>
      <c r="O11" s="8"/>
      <c r="P11" s="8"/>
      <c r="Q11" s="8"/>
      <c r="R11" s="8"/>
      <c r="S11" s="8"/>
    </row>
    <row r="12" spans="1:19" ht="20.05" customHeight="1" x14ac:dyDescent="0.35">
      <c r="A12" s="8"/>
      <c r="B12" s="458" t="s">
        <v>1672</v>
      </c>
      <c r="C12" s="459"/>
      <c r="D12" s="674" t="str">
        <f>CONCATENATE(prefix_wld_az1_cidr,"12.221-",prefix_wld_az1_cidr,"12.225")</f>
        <v>10.13.12.221-10.13.12.225</v>
      </c>
      <c r="E12" s="675"/>
      <c r="F12" s="672"/>
      <c r="G12" s="673"/>
      <c r="H12" s="645"/>
      <c r="I12" s="646"/>
      <c r="J12" s="644"/>
      <c r="K12" s="8"/>
      <c r="L12" s="8"/>
      <c r="M12" s="8"/>
      <c r="N12" s="8"/>
      <c r="O12" s="8"/>
      <c r="P12" s="8"/>
      <c r="Q12" s="8"/>
      <c r="R12" s="8"/>
      <c r="S12" s="8"/>
    </row>
    <row r="13" spans="1:19" x14ac:dyDescent="0.35">
      <c r="A13" s="8"/>
      <c r="B13" s="2"/>
      <c r="C13" s="2"/>
      <c r="D13" s="2"/>
      <c r="E13" s="2"/>
      <c r="F13" s="2"/>
      <c r="G13" s="2"/>
      <c r="H13" s="2"/>
      <c r="I13" s="2"/>
      <c r="J13" s="3"/>
      <c r="K13" s="8"/>
      <c r="L13" s="8"/>
      <c r="M13" s="8"/>
      <c r="N13" s="8"/>
      <c r="O13" s="8"/>
      <c r="P13" s="8"/>
      <c r="Q13" s="8"/>
      <c r="R13" s="8"/>
      <c r="S13" s="8"/>
    </row>
    <row r="14" spans="1:19" s="2" customFormat="1" ht="30" customHeight="1" x14ac:dyDescent="0.45">
      <c r="B14" s="579" t="s">
        <v>3495</v>
      </c>
      <c r="C14" s="580"/>
      <c r="D14" s="580"/>
      <c r="E14" s="581"/>
    </row>
    <row r="15" spans="1:19" s="2" customFormat="1" ht="20.05" customHeight="1" x14ac:dyDescent="0.45">
      <c r="B15" s="166" t="s">
        <v>261</v>
      </c>
      <c r="C15" s="166" t="s">
        <v>262</v>
      </c>
      <c r="D15" s="167" t="s">
        <v>19</v>
      </c>
      <c r="E15" s="166" t="s">
        <v>20</v>
      </c>
    </row>
    <row r="16" spans="1:19" s="2" customFormat="1" ht="20.05" customHeight="1" x14ac:dyDescent="0.45">
      <c r="B16" s="4" t="s">
        <v>2250</v>
      </c>
      <c r="C16" s="9" t="s">
        <v>3500</v>
      </c>
      <c r="D16" s="113"/>
      <c r="E16" s="197"/>
    </row>
    <row r="17" spans="2:5" s="2" customFormat="1" ht="20.05" customHeight="1" x14ac:dyDescent="0.45">
      <c r="B17" s="4" t="s">
        <v>3501</v>
      </c>
      <c r="C17" s="9" t="str">
        <f>CONCATENATE(this_instance,"-m01-fd-ccm")</f>
        <v>sfo-m01-fd-ccm</v>
      </c>
      <c r="D17" s="113"/>
      <c r="E17" s="197"/>
    </row>
    <row r="18" spans="2:5" s="2" customFormat="1" ht="20.05" customHeight="1" x14ac:dyDescent="0.45">
      <c r="B18" s="4" t="s">
        <v>2261</v>
      </c>
      <c r="C18" s="9" t="str">
        <f>CONCATENATE(this_instance,"-w0",wld_domain_number_chosen,"-fd-hcx")</f>
        <v>sfo-w01-fd-hcx</v>
      </c>
      <c r="D18" s="113"/>
      <c r="E18" s="197"/>
    </row>
    <row r="19" spans="2:5" s="2" customFormat="1" ht="20.05" customHeight="1" x14ac:dyDescent="0.45">
      <c r="B19" s="4" t="s">
        <v>2264</v>
      </c>
      <c r="C19" s="9" t="str">
        <f>CONCATENATE(this_instance,"-w0",wld_domain_number_chosen,"-cl01-rp-hcx")</f>
        <v>sfo-w01-cl01-rp-hcx</v>
      </c>
      <c r="D19" s="113"/>
      <c r="E19" s="197"/>
    </row>
    <row r="20" spans="2:5" s="2" customFormat="1" ht="20.05" customHeight="1" x14ac:dyDescent="0.45">
      <c r="B20" s="4" t="s">
        <v>2272</v>
      </c>
      <c r="C20" s="9" t="s">
        <v>3502</v>
      </c>
      <c r="D20" s="113"/>
      <c r="E20" s="197"/>
    </row>
    <row r="21" spans="2:5" s="2" customFormat="1" ht="20.05" customHeight="1" x14ac:dyDescent="0.45">
      <c r="B21" s="4" t="s">
        <v>2154</v>
      </c>
      <c r="C21" s="9" t="s">
        <v>2684</v>
      </c>
      <c r="D21" s="113"/>
      <c r="E21" s="197"/>
    </row>
    <row r="22" spans="2:5" s="2" customFormat="1" ht="20.05" customHeight="1" x14ac:dyDescent="0.45">
      <c r="B22" s="4" t="s">
        <v>2157</v>
      </c>
      <c r="C22" s="9" t="s">
        <v>3503</v>
      </c>
      <c r="D22" s="113"/>
      <c r="E22" s="197"/>
    </row>
    <row r="23" spans="2:5" s="2" customFormat="1" ht="20.05" customHeight="1" x14ac:dyDescent="0.45">
      <c r="B23" s="4" t="s">
        <v>2161</v>
      </c>
      <c r="C23" s="9">
        <v>2</v>
      </c>
      <c r="D23" s="113"/>
      <c r="E23" s="197"/>
    </row>
    <row r="24" spans="2:5" s="2" customFormat="1" ht="20.05" customHeight="1" x14ac:dyDescent="0.45">
      <c r="B24" s="4" t="s">
        <v>2166</v>
      </c>
      <c r="C24" s="9" t="s">
        <v>3426</v>
      </c>
      <c r="D24" s="113"/>
      <c r="E24" s="197"/>
    </row>
    <row r="25" spans="2:5" s="2" customFormat="1" ht="20.05" customHeight="1" x14ac:dyDescent="0.45">
      <c r="B25" s="4" t="s">
        <v>2170</v>
      </c>
      <c r="C25" s="9" t="s">
        <v>3426</v>
      </c>
      <c r="D25" s="113"/>
      <c r="E25" s="197"/>
    </row>
    <row r="26" spans="2:5" s="2" customFormat="1" ht="20.05" customHeight="1" x14ac:dyDescent="0.45">
      <c r="B26" s="4" t="s">
        <v>2175</v>
      </c>
      <c r="C26" s="9" t="s">
        <v>3427</v>
      </c>
      <c r="D26" s="113"/>
      <c r="E26" s="197"/>
    </row>
    <row r="27" spans="2:5" s="2" customFormat="1" ht="20.05" customHeight="1" x14ac:dyDescent="0.45">
      <c r="B27" s="4" t="s">
        <v>3428</v>
      </c>
      <c r="C27" s="9" t="s">
        <v>3429</v>
      </c>
      <c r="D27" s="113"/>
      <c r="E27" s="197"/>
    </row>
    <row r="28" spans="2:5" s="2" customFormat="1" ht="20.05" customHeight="1" x14ac:dyDescent="0.45">
      <c r="B28" s="4" t="s">
        <v>2296</v>
      </c>
      <c r="C28" s="9" t="s">
        <v>3504</v>
      </c>
      <c r="D28" s="113"/>
      <c r="E28" s="197"/>
    </row>
    <row r="29" spans="2:5" s="2" customFormat="1" ht="20.05" customHeight="1" x14ac:dyDescent="0.45">
      <c r="B29" s="4" t="s">
        <v>3430</v>
      </c>
      <c r="C29" s="9" t="s">
        <v>3431</v>
      </c>
      <c r="D29" s="113"/>
      <c r="E29" s="197"/>
    </row>
    <row r="30" spans="2:5" s="2" customFormat="1" ht="20.05" customHeight="1" x14ac:dyDescent="0.45">
      <c r="B30" s="4" t="s">
        <v>2301</v>
      </c>
      <c r="C30" s="9" t="s">
        <v>3432</v>
      </c>
      <c r="D30" s="113"/>
      <c r="E30" s="197"/>
    </row>
    <row r="31" spans="2:5" s="2" customFormat="1" ht="20.05" customHeight="1" x14ac:dyDescent="0.45">
      <c r="B31" s="4" t="s">
        <v>2306</v>
      </c>
      <c r="C31" s="9" t="s">
        <v>3366</v>
      </c>
      <c r="D31" s="113"/>
      <c r="E31" s="197"/>
    </row>
    <row r="32" spans="2:5" s="2" customFormat="1" ht="20.05" customHeight="1" x14ac:dyDescent="0.45">
      <c r="B32" s="4" t="s">
        <v>2310</v>
      </c>
      <c r="C32" s="9" t="s">
        <v>3505</v>
      </c>
      <c r="D32" s="113"/>
      <c r="E32" s="197"/>
    </row>
    <row r="33" spans="1:6" s="2" customFormat="1" ht="20.05" customHeight="1" x14ac:dyDescent="0.45">
      <c r="B33" s="4" t="s">
        <v>2317</v>
      </c>
      <c r="C33" s="9" t="s">
        <v>30</v>
      </c>
      <c r="D33" s="113"/>
      <c r="E33" s="197"/>
    </row>
    <row r="34" spans="1:6" s="2" customFormat="1" ht="20.05" customHeight="1" x14ac:dyDescent="0.45">
      <c r="B34" s="4" t="s">
        <v>2319</v>
      </c>
      <c r="C34" s="9" t="s">
        <v>30</v>
      </c>
      <c r="D34" s="113"/>
      <c r="E34" s="197"/>
    </row>
    <row r="35" spans="1:6" s="2" customFormat="1" ht="20.05" customHeight="1" x14ac:dyDescent="0.45">
      <c r="B35" s="4" t="s">
        <v>2324</v>
      </c>
      <c r="C35" s="9" t="s">
        <v>3506</v>
      </c>
      <c r="D35" s="113"/>
      <c r="E35" s="197"/>
    </row>
    <row r="36" spans="1:6" s="2" customFormat="1" ht="20.05" customHeight="1" x14ac:dyDescent="0.45">
      <c r="B36" s="4" t="s">
        <v>2326</v>
      </c>
      <c r="C36" s="9" t="s">
        <v>3507</v>
      </c>
      <c r="D36" s="113"/>
      <c r="E36" s="197"/>
    </row>
    <row r="37" spans="1:6" s="2" customFormat="1" ht="20.05" customHeight="1" x14ac:dyDescent="0.45">
      <c r="B37" s="4" t="s">
        <v>2328</v>
      </c>
      <c r="C37" s="9" t="s">
        <v>3508</v>
      </c>
      <c r="D37" s="113"/>
      <c r="E37" s="197"/>
    </row>
    <row r="38" spans="1:6" s="2" customFormat="1" ht="20.05" customHeight="1" x14ac:dyDescent="0.45">
      <c r="B38" s="4" t="s">
        <v>2334</v>
      </c>
      <c r="C38" s="9" t="str">
        <f>CONCATENATE(this_instance,"-w0",wld_domain_number_chosen,"-compute-profile")</f>
        <v>sfo-w01-compute-profile</v>
      </c>
      <c r="D38" s="113"/>
      <c r="E38" s="197"/>
    </row>
    <row r="39" spans="1:6" s="2" customFormat="1" ht="20.05" customHeight="1" x14ac:dyDescent="0.45">
      <c r="B39" s="4" t="s">
        <v>2336</v>
      </c>
      <c r="C39" s="9" t="str">
        <f>CONCATENATE(this_instance,"-w0",wld_domain_number_chosen,"-service-mesh")</f>
        <v>sfo-w01-service-mesh</v>
      </c>
      <c r="D39" s="113"/>
      <c r="E39" s="197"/>
    </row>
    <row r="40" spans="1:6" x14ac:dyDescent="0.35">
      <c r="A40" s="216"/>
      <c r="B40" s="216"/>
      <c r="C40" s="216"/>
      <c r="D40" s="216"/>
      <c r="E40" s="216"/>
      <c r="F40" s="216"/>
    </row>
    <row r="41" spans="1:6" ht="34" customHeight="1" x14ac:dyDescent="0.35">
      <c r="A41" s="216"/>
      <c r="B41" s="657" t="s">
        <v>577</v>
      </c>
      <c r="C41" s="657"/>
      <c r="D41" s="657"/>
      <c r="E41" s="667"/>
      <c r="F41" s="216"/>
    </row>
    <row r="42" spans="1:6" s="19" customFormat="1" x14ac:dyDescent="0.35">
      <c r="A42" s="216"/>
      <c r="B42" s="216"/>
      <c r="C42" s="216"/>
      <c r="D42" s="216"/>
      <c r="E42" s="216"/>
      <c r="F42" s="216"/>
    </row>
    <row r="43" spans="1:6" ht="34" customHeight="1" x14ac:dyDescent="0.35">
      <c r="A43" s="223"/>
      <c r="B43" s="656" t="s">
        <v>3509</v>
      </c>
      <c r="C43" s="656"/>
      <c r="D43" s="656"/>
      <c r="E43" s="656"/>
    </row>
    <row r="44" spans="1:6" ht="20.05" customHeight="1" x14ac:dyDescent="0.35">
      <c r="A44" s="223"/>
      <c r="B44" s="224" t="s">
        <v>261</v>
      </c>
      <c r="C44" s="224" t="s">
        <v>262</v>
      </c>
      <c r="D44" s="225" t="s">
        <v>19</v>
      </c>
      <c r="E44" s="224" t="s">
        <v>20</v>
      </c>
    </row>
    <row r="45" spans="1:6" ht="20.05" customHeight="1" x14ac:dyDescent="0.35">
      <c r="A45" s="223"/>
      <c r="B45" s="226" t="s">
        <v>2910</v>
      </c>
      <c r="C45" s="227" t="str">
        <f>sample_mgmt_vc_fqdn</f>
        <v>sfo-m01-vc01.sfo.rainpole.io</v>
      </c>
      <c r="D45" s="112" t="str">
        <f>mgmt_vc_fqdn</f>
        <v>Value Missing</v>
      </c>
      <c r="E45" s="228"/>
    </row>
    <row r="46" spans="1:6" s="19" customFormat="1" ht="20.05" customHeight="1" x14ac:dyDescent="0.35">
      <c r="A46" s="223"/>
      <c r="B46" s="233" t="s">
        <v>3510</v>
      </c>
      <c r="C46" s="234" t="str">
        <f>sample_ccm_hcx_vsphere_role</f>
        <v>VMware HCX to vSphere Integration</v>
      </c>
      <c r="D46" s="235" t="str">
        <f t="array" ref="D46">ccm_hcx_vsphere_role</f>
        <v>Value Missing</v>
      </c>
      <c r="E46" s="228"/>
    </row>
    <row r="47" spans="1:6" s="19" customFormat="1" ht="20.05" customHeight="1" x14ac:dyDescent="0.35"/>
    <row r="48" spans="1:6" s="19" customFormat="1" ht="34" customHeight="1" x14ac:dyDescent="0.35">
      <c r="B48" s="656" t="s">
        <v>3511</v>
      </c>
      <c r="C48" s="656"/>
      <c r="D48" s="656"/>
      <c r="E48" s="656"/>
    </row>
    <row r="49" spans="1:5" s="19" customFormat="1" ht="20.05" customHeight="1" x14ac:dyDescent="0.35">
      <c r="B49" s="224" t="s">
        <v>261</v>
      </c>
      <c r="C49" s="224" t="s">
        <v>262</v>
      </c>
      <c r="D49" s="225" t="s">
        <v>19</v>
      </c>
      <c r="E49" s="224" t="s">
        <v>20</v>
      </c>
    </row>
    <row r="50" spans="1:5" s="19" customFormat="1" ht="20.05" customHeight="1" x14ac:dyDescent="0.35">
      <c r="B50" s="226" t="s">
        <v>2910</v>
      </c>
      <c r="C50" s="227" t="str">
        <f>sample_mgmt_vc_fqdn</f>
        <v>sfo-m01-vc01.sfo.rainpole.io</v>
      </c>
      <c r="D50" s="112" t="str">
        <f>mgmt_vc_fqdn</f>
        <v>Value Missing</v>
      </c>
      <c r="E50" s="228"/>
    </row>
    <row r="51" spans="1:5" s="19" customFormat="1" ht="20.05" customHeight="1" x14ac:dyDescent="0.35">
      <c r="B51" s="226" t="s">
        <v>3512</v>
      </c>
      <c r="C51" s="227" t="str">
        <f>sample_child_dns_zone</f>
        <v>sfo.rainpole.io</v>
      </c>
      <c r="D51" s="112" t="str">
        <f>child_dns_zone</f>
        <v>Value Missing</v>
      </c>
      <c r="E51" s="228"/>
    </row>
    <row r="52" spans="1:5" s="19" customFormat="1" ht="20.05" customHeight="1" x14ac:dyDescent="0.35">
      <c r="B52" s="226" t="s">
        <v>3513</v>
      </c>
      <c r="C52" s="227" t="str">
        <f>sample_svc_ccm_hcx_vsphere_user</f>
        <v>svc-hcx-vsphere</v>
      </c>
      <c r="D52" s="112" t="str">
        <f>ccm_hcx_vsphere_svc_user</f>
        <v>Value Missing</v>
      </c>
      <c r="E52" s="228"/>
    </row>
    <row r="53" spans="1:5" s="19" customFormat="1" ht="20.05" customHeight="1" x14ac:dyDescent="0.35">
      <c r="B53" s="238" t="s">
        <v>3514</v>
      </c>
      <c r="C53" s="227" t="str">
        <f>sample_ccm_hcx_vsphere_role</f>
        <v>VMware HCX to vSphere Integration</v>
      </c>
      <c r="D53" s="112" t="str">
        <f>ccm_hcx_vsphere_role</f>
        <v>Value Missing</v>
      </c>
      <c r="E53" s="228"/>
    </row>
    <row r="54" spans="1:5" s="19" customFormat="1" ht="20.05" customHeight="1" x14ac:dyDescent="0.35"/>
    <row r="55" spans="1:5" s="19" customFormat="1" ht="34" customHeight="1" x14ac:dyDescent="0.35">
      <c r="A55" s="223"/>
      <c r="B55" s="656" t="s">
        <v>3515</v>
      </c>
      <c r="C55" s="656"/>
      <c r="D55" s="656"/>
      <c r="E55" s="656"/>
    </row>
    <row r="56" spans="1:5" s="19" customFormat="1" ht="20.05" customHeight="1" x14ac:dyDescent="0.35">
      <c r="A56" s="223"/>
      <c r="B56" s="224" t="s">
        <v>261</v>
      </c>
      <c r="C56" s="224" t="s">
        <v>262</v>
      </c>
      <c r="D56" s="225" t="s">
        <v>19</v>
      </c>
      <c r="E56" s="224" t="s">
        <v>20</v>
      </c>
    </row>
    <row r="57" spans="1:5" s="19" customFormat="1" ht="20.05" customHeight="1" x14ac:dyDescent="0.35">
      <c r="A57" s="223"/>
      <c r="B57" s="226" t="s">
        <v>2910</v>
      </c>
      <c r="C57" s="227" t="str">
        <f>sample_mgmt_vc_fqdn</f>
        <v>sfo-m01-vc01.sfo.rainpole.io</v>
      </c>
      <c r="D57" s="112" t="str">
        <f>mgmt_vc_fqdn</f>
        <v>Value Missing</v>
      </c>
      <c r="E57" s="228"/>
    </row>
    <row r="58" spans="1:5" s="19" customFormat="1" ht="20.05" customHeight="1" x14ac:dyDescent="0.35">
      <c r="A58" s="223"/>
      <c r="B58" s="226" t="s">
        <v>301</v>
      </c>
      <c r="C58" s="227" t="str">
        <f>sample_mgmt_datacenter</f>
        <v>sfo-m01-dc01</v>
      </c>
      <c r="D58" s="112" t="str">
        <f>mgmt_datacenter</f>
        <v>Value Missing</v>
      </c>
      <c r="E58" s="228"/>
    </row>
    <row r="59" spans="1:5" s="19" customFormat="1" ht="20.05" customHeight="1" x14ac:dyDescent="0.35">
      <c r="A59" s="223"/>
      <c r="B59" s="229" t="s">
        <v>3516</v>
      </c>
      <c r="C59" s="227" t="str">
        <f>sample_ccm_vm_folder</f>
        <v>sfo-m01-fd-ccm</v>
      </c>
      <c r="D59" s="112" t="str">
        <f>ccm_vm_folder</f>
        <v>Value Missing</v>
      </c>
      <c r="E59" s="228"/>
    </row>
    <row r="60" spans="1:5" s="19" customFormat="1" ht="20.05" customHeight="1" x14ac:dyDescent="0.35"/>
    <row r="61" spans="1:5" s="19" customFormat="1" ht="34" customHeight="1" x14ac:dyDescent="0.35">
      <c r="B61" s="656" t="s">
        <v>3517</v>
      </c>
      <c r="C61" s="656"/>
      <c r="D61" s="656"/>
      <c r="E61" s="656"/>
    </row>
    <row r="62" spans="1:5" s="19" customFormat="1" ht="20.05" customHeight="1" x14ac:dyDescent="0.35">
      <c r="B62" s="224" t="s">
        <v>261</v>
      </c>
      <c r="C62" s="224" t="s">
        <v>262</v>
      </c>
      <c r="D62" s="225" t="s">
        <v>19</v>
      </c>
      <c r="E62" s="224" t="s">
        <v>20</v>
      </c>
    </row>
    <row r="63" spans="1:5" s="19" customFormat="1" ht="20.05" customHeight="1" x14ac:dyDescent="0.35">
      <c r="B63" s="226" t="s">
        <v>3518</v>
      </c>
      <c r="C63" s="227" t="str">
        <f>sample_wld_vc_fqdn</f>
        <v>sfo-w01-vc01.sfo.rainpole.io</v>
      </c>
      <c r="D63" s="112" t="str">
        <f>wld_vc_fqdn</f>
        <v>Value Missing</v>
      </c>
      <c r="E63" s="228"/>
    </row>
    <row r="64" spans="1:5" s="19" customFormat="1" ht="20.05" customHeight="1" x14ac:dyDescent="0.35">
      <c r="B64" s="226" t="s">
        <v>301</v>
      </c>
      <c r="C64" s="227" t="str">
        <f>sample_wld_datacenter</f>
        <v>sfo-w01-dc</v>
      </c>
      <c r="D64" s="112" t="str">
        <f>wld_datacenter</f>
        <v>Value Missing</v>
      </c>
      <c r="E64" s="228"/>
    </row>
    <row r="65" spans="2:5" s="19" customFormat="1" ht="20.05" customHeight="1" x14ac:dyDescent="0.35">
      <c r="B65" s="226" t="s">
        <v>3519</v>
      </c>
      <c r="C65" s="227" t="str">
        <f>sample_ccm_hcx_vm_folder</f>
        <v>sfo-w01-fd-hcx</v>
      </c>
      <c r="D65" s="112"/>
      <c r="E65" s="228"/>
    </row>
    <row r="66" spans="2:5" s="19" customFormat="1" ht="20.05" customHeight="1" x14ac:dyDescent="0.35">
      <c r="B66" s="226" t="s">
        <v>2264</v>
      </c>
      <c r="C66" s="227" t="str">
        <f>sample_ccm_hcx_resource_pool</f>
        <v>sfo-w01-cl01-rp-hcx</v>
      </c>
      <c r="D66" s="112"/>
      <c r="E66" s="228"/>
    </row>
    <row r="67" spans="2:5" s="19" customFormat="1" ht="20.05" customHeight="1" x14ac:dyDescent="0.35"/>
    <row r="68" spans="2:5" s="19" customFormat="1" ht="34" customHeight="1" x14ac:dyDescent="0.35">
      <c r="B68" s="656" t="s">
        <v>3520</v>
      </c>
      <c r="C68" s="656"/>
      <c r="D68" s="656"/>
      <c r="E68" s="656"/>
    </row>
    <row r="69" spans="2:5" s="19" customFormat="1" ht="20.05" customHeight="1" x14ac:dyDescent="0.35">
      <c r="B69" s="224" t="s">
        <v>261</v>
      </c>
      <c r="C69" s="224" t="s">
        <v>262</v>
      </c>
      <c r="D69" s="225" t="s">
        <v>19</v>
      </c>
      <c r="E69" s="224" t="s">
        <v>20</v>
      </c>
    </row>
    <row r="70" spans="2:5" s="19" customFormat="1" ht="20.05" customHeight="1" x14ac:dyDescent="0.35">
      <c r="B70" s="226" t="s">
        <v>3521</v>
      </c>
      <c r="C70" s="227" t="str">
        <f>sample_mgmt_vc_fqdn</f>
        <v>sfo-m01-vc01.sfo.rainpole.io</v>
      </c>
      <c r="D70" s="112" t="str">
        <f>wld_nsxt_hostname&amp;"."&amp;child_dns_zone</f>
        <v>Value Missing.Value Missing</v>
      </c>
      <c r="E70" s="228"/>
    </row>
    <row r="71" spans="2:5" s="19" customFormat="1" ht="20.05" customHeight="1" x14ac:dyDescent="0.35">
      <c r="B71" s="226" t="s">
        <v>46</v>
      </c>
      <c r="C71" s="227" t="str">
        <f>sample_svc_ccm_hcx_nsx_user&amp;"@"&amp;sample_child_dns_zone</f>
        <v>svc-hcx-nsx@sfo.rainpole.io</v>
      </c>
      <c r="D71" s="112" t="str">
        <f>ccm_hcx_nsx_svc_user&amp;"@"&amp;child_dns_zone</f>
        <v>Value Missing@Value Missing</v>
      </c>
      <c r="E71" s="228"/>
    </row>
    <row r="72" spans="2:5" s="19" customFormat="1" ht="20.05" customHeight="1" x14ac:dyDescent="0.35"/>
    <row r="73" spans="2:5" s="19" customFormat="1" ht="34" customHeight="1" x14ac:dyDescent="0.35">
      <c r="B73" s="656" t="s">
        <v>3522</v>
      </c>
      <c r="C73" s="656"/>
      <c r="D73" s="656"/>
      <c r="E73" s="656"/>
    </row>
    <row r="74" spans="2:5" s="19" customFormat="1" ht="20.05" customHeight="1" x14ac:dyDescent="0.35">
      <c r="B74" s="224" t="s">
        <v>261</v>
      </c>
      <c r="C74" s="224" t="s">
        <v>262</v>
      </c>
      <c r="D74" s="225" t="s">
        <v>19</v>
      </c>
      <c r="E74" s="224" t="s">
        <v>20</v>
      </c>
    </row>
    <row r="75" spans="2:5" s="19" customFormat="1" ht="20.05" customHeight="1" x14ac:dyDescent="0.35">
      <c r="B75" s="226" t="s">
        <v>3444</v>
      </c>
      <c r="C75" s="227" t="s">
        <v>3445</v>
      </c>
      <c r="D75" s="112" t="str">
        <f>C75</f>
        <v>console.cloud.vmware.com</v>
      </c>
      <c r="E75" s="228"/>
    </row>
    <row r="76" spans="2:5" s="19" customFormat="1" ht="20.05" customHeight="1" x14ac:dyDescent="0.35">
      <c r="B76" s="226" t="s">
        <v>3446</v>
      </c>
      <c r="C76" s="227" t="str">
        <f>sample_ccm_aws_sddc_name</f>
        <v>mobility-sddc</v>
      </c>
      <c r="D76" s="112" t="str">
        <f>ccm_aws_sddc_name</f>
        <v>Value Missing</v>
      </c>
      <c r="E76" s="228"/>
    </row>
    <row r="77" spans="2:5" s="19" customFormat="1" ht="20.05" customHeight="1" x14ac:dyDescent="0.35">
      <c r="B77" s="226" t="s">
        <v>2154</v>
      </c>
      <c r="C77" s="227" t="str">
        <f>sample_ccm_aws_region</f>
        <v>Europe (Ireland)</v>
      </c>
      <c r="D77" s="112" t="str">
        <f>ccm_aws_region</f>
        <v>Value Missing</v>
      </c>
      <c r="E77" s="228"/>
    </row>
    <row r="78" spans="2:5" s="19" customFormat="1" ht="20.05" customHeight="1" x14ac:dyDescent="0.35">
      <c r="B78" s="226" t="s">
        <v>2157</v>
      </c>
      <c r="C78" s="227" t="str">
        <f>sample_ccm_aws_host_type</f>
        <v>I3 (Local SSD)</v>
      </c>
      <c r="D78" s="112" t="str">
        <f>ccm_aws_host_type</f>
        <v>Value Missing</v>
      </c>
      <c r="E78" s="228"/>
    </row>
    <row r="79" spans="2:5" s="19" customFormat="1" ht="20.05" customHeight="1" x14ac:dyDescent="0.35">
      <c r="B79" s="226" t="s">
        <v>2161</v>
      </c>
      <c r="C79" s="227">
        <f>sample_ccm_aws_host_count</f>
        <v>2</v>
      </c>
      <c r="D79" s="112" t="str">
        <f>ccm_aws_host_count</f>
        <v>Value Missing</v>
      </c>
      <c r="E79" s="228"/>
    </row>
    <row r="80" spans="2:5" s="19" customFormat="1" ht="20.05" customHeight="1" x14ac:dyDescent="0.35">
      <c r="B80" s="226" t="s">
        <v>2166</v>
      </c>
      <c r="C80" s="227" t="str">
        <f>sample_ccm_aws_vpc</f>
        <v>&lt;generated&gt;</v>
      </c>
      <c r="D80" s="112" t="str">
        <f>ccm_aws_vpc</f>
        <v>Value Missing</v>
      </c>
      <c r="E80" s="228"/>
    </row>
    <row r="81" spans="2:5" s="19" customFormat="1" ht="20.05" customHeight="1" x14ac:dyDescent="0.35">
      <c r="B81" s="226" t="s">
        <v>2170</v>
      </c>
      <c r="C81" s="227" t="str">
        <f>sample_ccm_aws_subnet</f>
        <v>&lt;generated&gt;</v>
      </c>
      <c r="D81" s="112" t="str">
        <f>ccm_aws_subnet</f>
        <v>Value Missing</v>
      </c>
      <c r="E81" s="228"/>
    </row>
    <row r="82" spans="2:5" s="19" customFormat="1" ht="20.05" customHeight="1" x14ac:dyDescent="0.35">
      <c r="B82" s="226" t="s">
        <v>2175</v>
      </c>
      <c r="C82" s="227" t="str">
        <f>sample_ccm_aws_management_subnet</f>
        <v>10.2.0.0/16</v>
      </c>
      <c r="D82" s="112" t="str">
        <f>ccm_aws_management_subnet</f>
        <v>Value Missing</v>
      </c>
      <c r="E82" s="228"/>
    </row>
    <row r="83" spans="2:5" s="19" customFormat="1" ht="20.05" customHeight="1" x14ac:dyDescent="0.35"/>
    <row r="84" spans="2:5" s="19" customFormat="1" ht="34" customHeight="1" x14ac:dyDescent="0.35">
      <c r="B84" s="656" t="s">
        <v>3523</v>
      </c>
      <c r="C84" s="656"/>
      <c r="D84" s="656"/>
      <c r="E84" s="656"/>
    </row>
    <row r="85" spans="2:5" s="19" customFormat="1" ht="20.05" customHeight="1" x14ac:dyDescent="0.35">
      <c r="B85" s="224" t="s">
        <v>261</v>
      </c>
      <c r="C85" s="224" t="s">
        <v>262</v>
      </c>
      <c r="D85" s="225" t="s">
        <v>19</v>
      </c>
      <c r="E85" s="224" t="s">
        <v>20</v>
      </c>
    </row>
    <row r="86" spans="2:5" s="19" customFormat="1" ht="20.05" customHeight="1" x14ac:dyDescent="0.35">
      <c r="B86" s="226" t="s">
        <v>3444</v>
      </c>
      <c r="C86" s="227" t="s">
        <v>3445</v>
      </c>
      <c r="D86" s="112" t="s">
        <v>3445</v>
      </c>
      <c r="E86" s="228"/>
    </row>
    <row r="87" spans="2:5" s="19" customFormat="1" ht="20.05" customHeight="1" x14ac:dyDescent="0.35">
      <c r="B87" s="226" t="s">
        <v>3448</v>
      </c>
      <c r="C87" s="227" t="str">
        <f>sample_ccm_firewall_rule_vcenter</f>
        <v>vCenter Inbound Rule</v>
      </c>
      <c r="D87" s="112" t="str">
        <f>ccm_firewall_rule_vcenter</f>
        <v>Value Missing</v>
      </c>
      <c r="E87" s="228"/>
    </row>
    <row r="88" spans="2:5" s="19" customFormat="1" ht="20.05" customHeight="1" x14ac:dyDescent="0.35">
      <c r="B88" s="226" t="s">
        <v>3449</v>
      </c>
      <c r="C88" s="227" t="str">
        <f>sample_ccm_firewall_group</f>
        <v>External-Access</v>
      </c>
      <c r="D88" s="112" t="str">
        <f>ccm_firewall_group</f>
        <v>Value Missing</v>
      </c>
      <c r="E88" s="228"/>
    </row>
    <row r="89" spans="2:5" s="19" customFormat="1" ht="20.05" customHeight="1" x14ac:dyDescent="0.35">
      <c r="B89" s="226" t="s">
        <v>3450</v>
      </c>
      <c r="C89" s="227" t="s">
        <v>814</v>
      </c>
      <c r="D89" s="112" t="str">
        <f>C89</f>
        <v>vCenter</v>
      </c>
      <c r="E89" s="228"/>
    </row>
    <row r="90" spans="2:5" s="19" customFormat="1" ht="20.05" customHeight="1" x14ac:dyDescent="0.35">
      <c r="B90" s="226" t="s">
        <v>3451</v>
      </c>
      <c r="C90" s="227" t="s">
        <v>3452</v>
      </c>
      <c r="D90" s="112" t="str">
        <f>C90</f>
        <v>HTTPS (TCP 443)</v>
      </c>
      <c r="E90" s="228"/>
    </row>
    <row r="91" spans="2:5" s="19" customFormat="1" ht="20.05" customHeight="1" x14ac:dyDescent="0.35">
      <c r="B91" s="226" t="s">
        <v>3451</v>
      </c>
      <c r="C91" s="227" t="s">
        <v>3453</v>
      </c>
      <c r="D91" s="112" t="str">
        <f>C91</f>
        <v>SSO (TCP 7444)</v>
      </c>
      <c r="E91" s="228"/>
    </row>
    <row r="92" spans="2:5" s="19" customFormat="1" ht="20.05" customHeight="1" x14ac:dyDescent="0.35">
      <c r="B92" s="226" t="s">
        <v>3454</v>
      </c>
      <c r="C92" s="227" t="str">
        <f>sample_ccm_firewall_ip_addresses</f>
        <v>69.34.34.11</v>
      </c>
      <c r="D92" s="112" t="str">
        <f>ccm_firewall_ip_addresses</f>
        <v>Value Missing</v>
      </c>
      <c r="E92" s="228"/>
    </row>
    <row r="93" spans="2:5" s="19" customFormat="1" ht="20.05" customHeight="1" x14ac:dyDescent="0.35"/>
    <row r="94" spans="2:5" s="19" customFormat="1" ht="34" customHeight="1" x14ac:dyDescent="0.35">
      <c r="B94" s="656" t="s">
        <v>3524</v>
      </c>
      <c r="C94" s="656"/>
      <c r="D94" s="656"/>
      <c r="E94" s="656"/>
    </row>
    <row r="95" spans="2:5" s="19" customFormat="1" ht="20.05" customHeight="1" x14ac:dyDescent="0.35">
      <c r="B95" s="224" t="s">
        <v>261</v>
      </c>
      <c r="C95" s="224" t="s">
        <v>262</v>
      </c>
      <c r="D95" s="225" t="s">
        <v>19</v>
      </c>
      <c r="E95" s="224" t="s">
        <v>20</v>
      </c>
    </row>
    <row r="96" spans="2:5" s="19" customFormat="1" ht="20.05" customHeight="1" x14ac:dyDescent="0.35">
      <c r="B96" s="226" t="s">
        <v>3444</v>
      </c>
      <c r="C96" s="227" t="s">
        <v>3445</v>
      </c>
      <c r="D96" s="112" t="s">
        <v>3445</v>
      </c>
      <c r="E96" s="228"/>
    </row>
    <row r="97" spans="2:5" s="19" customFormat="1" ht="20.05" customHeight="1" x14ac:dyDescent="0.35">
      <c r="B97" s="226" t="s">
        <v>2272</v>
      </c>
      <c r="C97" s="227" t="str">
        <f>sample_ccm_aws_sddc_name</f>
        <v>mobility-sddc</v>
      </c>
      <c r="D97" s="112" t="str">
        <f>ccm_aws_sddc_name</f>
        <v>Value Missing</v>
      </c>
      <c r="E97" s="228"/>
    </row>
    <row r="98" spans="2:5" s="19" customFormat="1" ht="20.05" customHeight="1" x14ac:dyDescent="0.35"/>
    <row r="99" spans="2:5" s="19" customFormat="1" ht="34" customHeight="1" x14ac:dyDescent="0.35">
      <c r="B99" s="656" t="s">
        <v>3525</v>
      </c>
      <c r="C99" s="656"/>
      <c r="D99" s="656"/>
      <c r="E99" s="656"/>
    </row>
    <row r="100" spans="2:5" s="19" customFormat="1" ht="20.05" customHeight="1" x14ac:dyDescent="0.35">
      <c r="B100" s="224" t="s">
        <v>261</v>
      </c>
      <c r="C100" s="224" t="s">
        <v>262</v>
      </c>
      <c r="D100" s="225" t="s">
        <v>19</v>
      </c>
      <c r="E100" s="224" t="s">
        <v>20</v>
      </c>
    </row>
    <row r="101" spans="2:5" s="19" customFormat="1" ht="20.05" customHeight="1" x14ac:dyDescent="0.35">
      <c r="B101" s="226" t="s">
        <v>3444</v>
      </c>
      <c r="C101" s="227" t="s">
        <v>3445</v>
      </c>
      <c r="D101" s="112" t="str">
        <f>C101</f>
        <v>console.cloud.vmware.com</v>
      </c>
      <c r="E101" s="228"/>
    </row>
    <row r="102" spans="2:5" s="19" customFormat="1" ht="20.05" customHeight="1" x14ac:dyDescent="0.35">
      <c r="B102" s="233" t="s">
        <v>2272</v>
      </c>
      <c r="C102" s="234" t="str">
        <f>sample_ccm_aws_sddc_name</f>
        <v>mobility-sddc</v>
      </c>
      <c r="D102" s="235" t="str">
        <f>ccm_aws_sddc_name</f>
        <v>Value Missing</v>
      </c>
      <c r="E102" s="228"/>
    </row>
    <row r="103" spans="2:5" s="19" customFormat="1" ht="20.05" customHeight="1" x14ac:dyDescent="0.35">
      <c r="B103" s="680" t="s">
        <v>3526</v>
      </c>
      <c r="C103" s="680"/>
      <c r="D103" s="680"/>
      <c r="E103" s="681"/>
    </row>
    <row r="104" spans="2:5" s="19" customFormat="1" ht="20.05" customHeight="1" x14ac:dyDescent="0.35">
      <c r="B104" s="226" t="s">
        <v>2910</v>
      </c>
      <c r="C104" s="227" t="str">
        <f>sample_mgmt_vc_fqdn</f>
        <v>sfo-m01-vc01.sfo.rainpole.io</v>
      </c>
      <c r="D104" s="112" t="str">
        <f>mgmt_vc_fqdn</f>
        <v>Value Missing</v>
      </c>
      <c r="E104" s="228"/>
    </row>
    <row r="105" spans="2:5" s="19" customFormat="1" ht="20.05" customHeight="1" x14ac:dyDescent="0.35">
      <c r="B105" s="226" t="s">
        <v>3527</v>
      </c>
      <c r="C105" s="227" t="str">
        <f>sample_ccm_vm_folder</f>
        <v>sfo-m01-fd-ccm</v>
      </c>
      <c r="D105" s="112" t="str">
        <f>ccm_vm_folder</f>
        <v>Value Missing</v>
      </c>
      <c r="E105" s="228"/>
    </row>
    <row r="106" spans="2:5" s="19" customFormat="1" ht="20.05" customHeight="1" x14ac:dyDescent="0.35">
      <c r="B106" s="226" t="s">
        <v>2845</v>
      </c>
      <c r="C106" s="227" t="str">
        <f>sample_ccm_hcx_cdp_hostname</f>
        <v>sfo-ccm-hcx01</v>
      </c>
      <c r="D106" s="112" t="str">
        <f>ccm_hcx_cdp_hostname</f>
        <v>Value Missing</v>
      </c>
      <c r="E106" s="228"/>
    </row>
    <row r="107" spans="2:5" s="19" customFormat="1" ht="20.05" customHeight="1" x14ac:dyDescent="0.35">
      <c r="B107" s="226" t="s">
        <v>2847</v>
      </c>
      <c r="C107" s="227" t="str">
        <f>sample_mgmt_cl01_cluster</f>
        <v>sfo-m01-cl01</v>
      </c>
      <c r="D107" s="112" t="str">
        <f>mgmt_cl01_cluster</f>
        <v>Value Missing</v>
      </c>
      <c r="E107" s="228"/>
    </row>
    <row r="108" spans="2:5" s="19" customFormat="1" ht="20.05" customHeight="1" x14ac:dyDescent="0.35">
      <c r="B108" s="226" t="s">
        <v>3466</v>
      </c>
      <c r="C108" s="227" t="str">
        <f>sample_mgmt_cl01_vsan_datastore</f>
        <v>sfo-m01-cl01-ds-vsan01</v>
      </c>
      <c r="D108" s="112" t="str">
        <f>mgmt_cl01_vsan_datastore</f>
        <v>Value Missing</v>
      </c>
      <c r="E108" s="228"/>
    </row>
    <row r="109" spans="2:5" s="19" customFormat="1" ht="20.05" customHeight="1" x14ac:dyDescent="0.35">
      <c r="B109" s="226" t="s">
        <v>252</v>
      </c>
      <c r="C109" s="227" t="str">
        <f>sample_mgmt_cl01_az1_mgmt_pg</f>
        <v>sfo-m01-cl01-vds01-pg-mgmt</v>
      </c>
      <c r="D109" s="112" t="str">
        <f>mgmt_cl01_az1_mgmt_pg</f>
        <v>Value Missing</v>
      </c>
      <c r="E109" s="228"/>
    </row>
    <row r="110" spans="2:5" s="19" customFormat="1" ht="20.05" customHeight="1" x14ac:dyDescent="0.35">
      <c r="B110" s="226" t="s">
        <v>3528</v>
      </c>
      <c r="C110" s="227" t="str">
        <f>sample_ccm_hcx_admin_password</f>
        <v>VMw@re1!</v>
      </c>
      <c r="D110" s="112" t="str">
        <f>ccm_hcx_admin_password</f>
        <v>Value Missing</v>
      </c>
      <c r="E110" s="228"/>
    </row>
    <row r="111" spans="2:5" s="19" customFormat="1" ht="20.05" customHeight="1" x14ac:dyDescent="0.35">
      <c r="B111" s="226" t="s">
        <v>3529</v>
      </c>
      <c r="C111" s="227" t="str">
        <f>sample_ccm_hcx_root_password</f>
        <v>VMw@re1!</v>
      </c>
      <c r="D111" s="112" t="str">
        <f>ccm_hcx_root_password</f>
        <v>Value Missing</v>
      </c>
      <c r="E111" s="228"/>
    </row>
    <row r="112" spans="2:5" s="19" customFormat="1" ht="20.05" customHeight="1" x14ac:dyDescent="0.35">
      <c r="B112" s="226" t="s">
        <v>302</v>
      </c>
      <c r="C112" s="227"/>
      <c r="D112" s="112" t="str">
        <f>ccm_hcx_cdp_hostname&amp;"."&amp;child_dns_zone</f>
        <v>Value Missing.Value Missing</v>
      </c>
      <c r="E112" s="228"/>
    </row>
    <row r="113" spans="2:5" s="19" customFormat="1" ht="20.05" customHeight="1" x14ac:dyDescent="0.35">
      <c r="B113" s="226" t="s">
        <v>3530</v>
      </c>
      <c r="C113" s="227" t="str">
        <f>sample_ccm_hcx_cdp_ip</f>
        <v>10.11.10.46</v>
      </c>
      <c r="D113" s="112" t="str">
        <f>ccm_hcx_cdp_ip</f>
        <v>Value Missing</v>
      </c>
      <c r="E113" s="228"/>
    </row>
    <row r="114" spans="2:5" s="19" customFormat="1" ht="20.05" customHeight="1" x14ac:dyDescent="0.35">
      <c r="B114" s="226" t="s">
        <v>3531</v>
      </c>
      <c r="C114" s="227">
        <f>INT(RIGHT(sample_mgmt_az1_mgmt_cidr,LEN(sample_mgmt_az1_mgmt_cidr)-FIND("/",sample_mgmt_az1_mgmt_cidr)))</f>
        <v>24</v>
      </c>
      <c r="D114" s="112"/>
      <c r="E114" s="228"/>
    </row>
    <row r="115" spans="2:5" s="19" customFormat="1" ht="20.05" customHeight="1" x14ac:dyDescent="0.35">
      <c r="B115" s="226" t="s">
        <v>611</v>
      </c>
      <c r="C115" s="227" t="str">
        <f>sample_mgmt_az1_mgmt_gateway_ip</f>
        <v>10.11.11.1</v>
      </c>
      <c r="D115" s="112" t="str">
        <f>mgmt_az1_mgmt_gateway_ip</f>
        <v>Value Missing</v>
      </c>
      <c r="E115" s="228"/>
    </row>
    <row r="116" spans="2:5" s="19" customFormat="1" ht="20.05" customHeight="1" x14ac:dyDescent="0.35">
      <c r="B116" s="226" t="s">
        <v>3532</v>
      </c>
      <c r="C116" s="227" t="str">
        <f>CONCATENATE(sample_region_dns1_ip," ",sample_region_dns2_ip)</f>
        <v>10.11.10.4 10.11.10.5</v>
      </c>
      <c r="D116" s="112" t="str">
        <f>CONCATENATE(region_dns1_ip," ",region_dns2_ip)</f>
        <v>Value Missing Value Missing</v>
      </c>
      <c r="E116" s="228"/>
    </row>
    <row r="117" spans="2:5" s="19" customFormat="1" ht="20.05" customHeight="1" x14ac:dyDescent="0.35">
      <c r="B117" s="226" t="s">
        <v>3533</v>
      </c>
      <c r="C117" s="227" t="str">
        <f>sample_child_dns_zone</f>
        <v>sfo.rainpole.io</v>
      </c>
      <c r="D117" s="112" t="str">
        <f>child_dns_zone</f>
        <v>Value Missing</v>
      </c>
      <c r="E117" s="228"/>
    </row>
    <row r="118" spans="2:5" s="19" customFormat="1" ht="20.05" customHeight="1" x14ac:dyDescent="0.35">
      <c r="B118" s="226" t="s">
        <v>3534</v>
      </c>
      <c r="C118" s="227" t="str">
        <f>sample_region_ntp1_server</f>
        <v>ntp0.sfo.rainpole.io</v>
      </c>
      <c r="D118" s="112" t="str">
        <f>region_ntp1_server</f>
        <v>Value Missing</v>
      </c>
      <c r="E118" s="228"/>
    </row>
    <row r="119" spans="2:5" s="19" customFormat="1" ht="20.05" customHeight="1" x14ac:dyDescent="0.35">
      <c r="B119" s="680" t="s">
        <v>3535</v>
      </c>
      <c r="C119" s="680"/>
      <c r="D119" s="680"/>
      <c r="E119" s="681"/>
    </row>
    <row r="120" spans="2:5" s="19" customFormat="1" ht="20.05" customHeight="1" x14ac:dyDescent="0.35">
      <c r="B120" s="226" t="s">
        <v>2306</v>
      </c>
      <c r="C120" s="227" t="str">
        <f>sample_ccm_hcx_license</f>
        <v>xxxxx-xxxxx-xxxxx-xxxxx-xxxxx</v>
      </c>
      <c r="D120" s="112" t="str">
        <f>ccm_hcx_license</f>
        <v>Value Missing</v>
      </c>
      <c r="E120" s="228"/>
    </row>
    <row r="121" spans="2:5" s="19" customFormat="1" ht="20.05" customHeight="1" x14ac:dyDescent="0.35">
      <c r="B121" s="226" t="s">
        <v>3536</v>
      </c>
      <c r="C121" s="227" t="str">
        <f>sample_ccm_hcx_dc_location</f>
        <v>San Francisco, United States of America</v>
      </c>
      <c r="D121" s="112" t="str">
        <f>ccm_hcx_dc_location</f>
        <v>Value Missing</v>
      </c>
      <c r="E121" s="228"/>
    </row>
    <row r="122" spans="2:5" s="19" customFormat="1" ht="20.05" customHeight="1" x14ac:dyDescent="0.35">
      <c r="B122" s="226" t="s">
        <v>3537</v>
      </c>
      <c r="C122" s="227" t="str">
        <f>CONCATENATE(sample_ccm_hcx_cdp_hostname,".",sample_child_dns_zone)</f>
        <v>sfo-ccm-hcx01.sfo.rainpole.io</v>
      </c>
      <c r="D122" s="112" t="str">
        <f>CONCATENATE(ccm_hcx_cdp_hostname,".",child_dns_zone)</f>
        <v>Value Missing.Value Missing</v>
      </c>
      <c r="E122" s="228"/>
    </row>
    <row r="123" spans="2:5" s="19" customFormat="1" ht="20.05" customHeight="1" x14ac:dyDescent="0.35">
      <c r="B123" s="226" t="s">
        <v>1657</v>
      </c>
      <c r="C123" s="227" t="str">
        <f>sample_wld_vc_fqdn</f>
        <v>sfo-w01-vc01.sfo.rainpole.io</v>
      </c>
      <c r="D123" s="112" t="str">
        <f>wld_vc_fqdn</f>
        <v>Value Missing</v>
      </c>
      <c r="E123" s="228"/>
    </row>
    <row r="124" spans="2:5" s="19" customFormat="1" ht="20.05" customHeight="1" x14ac:dyDescent="0.35">
      <c r="B124" s="226" t="s">
        <v>27</v>
      </c>
      <c r="C124" s="227" t="str">
        <f>sample_svc_ccm_hcx_vsphere_user&amp;"@"&amp;sample_child_dns_zone</f>
        <v>svc-hcx-vsphere@sfo.rainpole.io</v>
      </c>
      <c r="D124" s="112" t="str">
        <f>ccm_hcx_vsphere_svc_user&amp;"@"&amp;child_dns_zone</f>
        <v>Value Missing@Value Missing</v>
      </c>
      <c r="E124" s="228"/>
    </row>
    <row r="125" spans="2:5" s="19" customFormat="1" ht="20.05" customHeight="1" x14ac:dyDescent="0.35">
      <c r="B125" s="226" t="s">
        <v>29</v>
      </c>
      <c r="C125" s="227" t="str">
        <f>sample_svc_ccm_hcx_vsphere_password</f>
        <v>VMw@re1!</v>
      </c>
      <c r="D125" s="112" t="str">
        <f>ccm_hcx_vsphere_svc_password</f>
        <v>Value Missing</v>
      </c>
      <c r="E125" s="228"/>
    </row>
    <row r="126" spans="2:5" s="19" customFormat="1" ht="20.05" customHeight="1" x14ac:dyDescent="0.35">
      <c r="B126" s="226" t="s">
        <v>778</v>
      </c>
      <c r="C126" s="227" t="str">
        <f>sample_wld_nsxt_vip_fqdn</f>
        <v>sfo-w01-nsx01.sfo.rainpole.io</v>
      </c>
      <c r="D126" s="112" t="str">
        <f>wld_nsxt_mgra_fqdn</f>
        <v>Value Missing</v>
      </c>
      <c r="E126" s="228"/>
    </row>
    <row r="127" spans="2:5" s="19" customFormat="1" ht="20.05" customHeight="1" x14ac:dyDescent="0.35">
      <c r="B127" s="226" t="s">
        <v>27</v>
      </c>
      <c r="C127" s="227" t="str">
        <f>sample_svc_ccm_hcx_nsx_user&amp;"@"&amp;sample_child_dns_zone</f>
        <v>svc-hcx-nsx@sfo.rainpole.io</v>
      </c>
      <c r="D127" s="112" t="str">
        <f>ccm_hcx_nsx_svc_user&amp;"@"&amp;child_dns_zone</f>
        <v>Value Missing@Value Missing</v>
      </c>
      <c r="E127" s="228"/>
    </row>
    <row r="128" spans="2:5" s="19" customFormat="1" ht="20.05" customHeight="1" x14ac:dyDescent="0.35">
      <c r="B128" s="226" t="s">
        <v>29</v>
      </c>
      <c r="C128" s="227" t="str">
        <f>sample_svc_ccm_hcx_nsx_password</f>
        <v>VMw@re1!</v>
      </c>
      <c r="D128" s="112" t="str">
        <f>ccm_hcx_nsx_svc_password</f>
        <v>Value Missing</v>
      </c>
      <c r="E128" s="228"/>
    </row>
    <row r="129" spans="2:5" s="19" customFormat="1" ht="20.05" customHeight="1" x14ac:dyDescent="0.35">
      <c r="B129" s="226" t="s">
        <v>3538</v>
      </c>
      <c r="C129" s="227" t="str">
        <f>sample_wld_vc_fqdn</f>
        <v>sfo-w01-vc01.sfo.rainpole.io</v>
      </c>
      <c r="D129" s="112" t="str">
        <f>wld_vc_fqdn</f>
        <v>Value Missing</v>
      </c>
      <c r="E129" s="228"/>
    </row>
    <row r="130" spans="2:5" s="19" customFormat="1" ht="20.05" customHeight="1" x14ac:dyDescent="0.35"/>
    <row r="131" spans="2:5" s="19" customFormat="1" ht="34" customHeight="1" x14ac:dyDescent="0.35">
      <c r="B131" s="656" t="s">
        <v>3539</v>
      </c>
      <c r="C131" s="656"/>
      <c r="D131" s="656"/>
      <c r="E131" s="656"/>
    </row>
    <row r="132" spans="2:5" s="19" customFormat="1" ht="20.05" customHeight="1" x14ac:dyDescent="0.35">
      <c r="B132" s="224" t="s">
        <v>261</v>
      </c>
      <c r="C132" s="224" t="s">
        <v>262</v>
      </c>
      <c r="D132" s="225" t="s">
        <v>19</v>
      </c>
      <c r="E132" s="224" t="s">
        <v>20</v>
      </c>
    </row>
    <row r="133" spans="2:5" s="19" customFormat="1" ht="20.05" customHeight="1" x14ac:dyDescent="0.35">
      <c r="B133" s="226" t="s">
        <v>3540</v>
      </c>
      <c r="C133" s="227" t="str">
        <f>CONCATENATE(sample_ccm_hcx_cdp_hostname,".",sample_child_dns_zone)</f>
        <v>sfo-ccm-hcx01.sfo.rainpole.io</v>
      </c>
      <c r="D133" s="112" t="str">
        <f>CONCATENATE(ccm_hcx_cdp_hostname,".",child_dns_zone)</f>
        <v>Value Missing.Value Missing</v>
      </c>
      <c r="E133" s="228"/>
    </row>
    <row r="134" spans="2:5" s="19" customFormat="1" ht="20.05" customHeight="1" x14ac:dyDescent="0.35">
      <c r="B134" s="226" t="s">
        <v>3528</v>
      </c>
      <c r="C134" s="227" t="str">
        <f>sample_ccm_hcx_admin_password</f>
        <v>VMw@re1!</v>
      </c>
      <c r="D134" s="112" t="str">
        <f>ccm_hcx_admin_password</f>
        <v>Value Missing</v>
      </c>
      <c r="E134" s="228"/>
    </row>
    <row r="135" spans="2:5" s="19" customFormat="1" ht="20.05" customHeight="1" x14ac:dyDescent="0.35"/>
    <row r="136" spans="2:5" s="19" customFormat="1" ht="34" customHeight="1" x14ac:dyDescent="0.35">
      <c r="B136" s="656" t="s">
        <v>3541</v>
      </c>
      <c r="C136" s="656"/>
      <c r="D136" s="656"/>
      <c r="E136" s="656"/>
    </row>
    <row r="137" spans="2:5" s="19" customFormat="1" ht="20.05" customHeight="1" x14ac:dyDescent="0.35">
      <c r="B137" s="224" t="s">
        <v>261</v>
      </c>
      <c r="C137" s="224" t="s">
        <v>262</v>
      </c>
      <c r="D137" s="225" t="s">
        <v>19</v>
      </c>
      <c r="E137" s="224" t="s">
        <v>20</v>
      </c>
    </row>
    <row r="138" spans="2:5" s="19" customFormat="1" ht="20.05" customHeight="1" x14ac:dyDescent="0.35">
      <c r="B138" s="226" t="s">
        <v>2910</v>
      </c>
      <c r="C138" s="227" t="str">
        <f>sample_mgmt_vc_fqdn</f>
        <v>sfo-m01-vc01.sfo.rainpole.io</v>
      </c>
      <c r="D138" s="112" t="str">
        <f>mgmt_vc_fqdn</f>
        <v>Value Missing</v>
      </c>
      <c r="E138" s="228"/>
    </row>
    <row r="139" spans="2:5" s="19" customFormat="1" ht="20.05" customHeight="1" x14ac:dyDescent="0.35">
      <c r="B139" s="226" t="s">
        <v>261</v>
      </c>
      <c r="C139" s="227" t="str">
        <f>CONCATENATE(sample_mgmt_cl01_cluster,"_primary-az-vmgroup")</f>
        <v>sfo-m01-cl01_primary-az-vmgroup</v>
      </c>
      <c r="D139" s="112" t="str">
        <f>CONCATENATE(mgmt_cl01_cluster,"_primary-az-vmgroup")</f>
        <v>Value Missing_primary-az-vmgroup</v>
      </c>
      <c r="E139" s="228"/>
    </row>
    <row r="140" spans="2:5" s="19" customFormat="1" ht="20.05" customHeight="1" x14ac:dyDescent="0.35">
      <c r="B140" s="233" t="s">
        <v>3542</v>
      </c>
      <c r="C140" s="234" t="str">
        <f>sample_ccm_hcx_cdp_hostname</f>
        <v>sfo-ccm-hcx01</v>
      </c>
      <c r="D140" s="235" t="str">
        <f>ccm_hcx_cdp_hostname</f>
        <v>Value Missing</v>
      </c>
      <c r="E140" s="228"/>
    </row>
    <row r="141" spans="2:5" s="19" customFormat="1" ht="20.05" customHeight="1" x14ac:dyDescent="0.35"/>
    <row r="142" spans="2:5" s="19" customFormat="1" ht="34" customHeight="1" x14ac:dyDescent="0.35">
      <c r="B142" s="656" t="s">
        <v>3543</v>
      </c>
      <c r="C142" s="656"/>
      <c r="D142" s="656"/>
      <c r="E142" s="656"/>
    </row>
    <row r="143" spans="2:5" s="19" customFormat="1" ht="20.05" customHeight="1" x14ac:dyDescent="0.35">
      <c r="B143" s="224" t="s">
        <v>261</v>
      </c>
      <c r="C143" s="224" t="s">
        <v>262</v>
      </c>
      <c r="D143" s="225" t="s">
        <v>19</v>
      </c>
      <c r="E143" s="224" t="s">
        <v>20</v>
      </c>
    </row>
    <row r="144" spans="2:5" s="19" customFormat="1" ht="20.05" customHeight="1" x14ac:dyDescent="0.35">
      <c r="B144" s="226" t="s">
        <v>3444</v>
      </c>
      <c r="C144" s="227" t="s">
        <v>3445</v>
      </c>
      <c r="D144" s="112" t="s">
        <v>3445</v>
      </c>
      <c r="E144" s="228"/>
    </row>
    <row r="145" spans="2:5" s="19" customFormat="1" ht="20.05" customHeight="1" x14ac:dyDescent="0.35">
      <c r="B145" s="226" t="s">
        <v>3448</v>
      </c>
      <c r="C145" s="227" t="str">
        <f>sample_ccm_firewall_rule_hcx</f>
        <v>HCX Inbound Rule</v>
      </c>
      <c r="D145" s="112" t="str">
        <f>ccm_firewall_rule_hcx</f>
        <v>Value Missing</v>
      </c>
      <c r="E145" s="228"/>
    </row>
    <row r="146" spans="2:5" s="19" customFormat="1" ht="20.05" customHeight="1" x14ac:dyDescent="0.35">
      <c r="B146" s="226" t="s">
        <v>3449</v>
      </c>
      <c r="C146" s="227" t="str">
        <f>sample_ccm_firewall_group</f>
        <v>External-Access</v>
      </c>
      <c r="D146" s="112" t="str">
        <f>ccm_firewall_group</f>
        <v>Value Missing</v>
      </c>
      <c r="E146" s="228"/>
    </row>
    <row r="147" spans="2:5" s="19" customFormat="1" ht="20.05" customHeight="1" x14ac:dyDescent="0.35">
      <c r="B147" s="226" t="s">
        <v>3450</v>
      </c>
      <c r="C147" s="227" t="s">
        <v>3544</v>
      </c>
      <c r="D147" s="112" t="str">
        <f>C147</f>
        <v>HCX</v>
      </c>
      <c r="E147" s="228"/>
    </row>
    <row r="148" spans="2:5" s="19" customFormat="1" ht="20.05" customHeight="1" x14ac:dyDescent="0.35">
      <c r="B148" s="226" t="s">
        <v>3451</v>
      </c>
      <c r="C148" s="227" t="s">
        <v>3545</v>
      </c>
      <c r="D148" s="112" t="str">
        <f>C148</f>
        <v>Appliance Management (TCP 9443)</v>
      </c>
      <c r="E148" s="228"/>
    </row>
    <row r="149" spans="2:5" s="19" customFormat="1" ht="20.05" customHeight="1" x14ac:dyDescent="0.35">
      <c r="B149" s="226" t="s">
        <v>3451</v>
      </c>
      <c r="C149" s="227" t="s">
        <v>3452</v>
      </c>
      <c r="D149" s="112" t="str">
        <f>C149</f>
        <v>HTTPS (TCP 443)</v>
      </c>
      <c r="E149" s="228"/>
    </row>
    <row r="150" spans="2:5" s="19" customFormat="1" ht="20.05" customHeight="1" x14ac:dyDescent="0.35">
      <c r="B150" s="226" t="s">
        <v>3454</v>
      </c>
      <c r="C150" s="227" t="str">
        <f>sample_ccm_firewall_ip_addresses</f>
        <v>69.34.34.11</v>
      </c>
      <c r="D150" s="112" t="str">
        <f>ccm_firewall_ip_addresses</f>
        <v>Value Missing</v>
      </c>
      <c r="E150" s="228"/>
    </row>
    <row r="151" spans="2:5" s="19" customFormat="1" ht="20.05" customHeight="1" x14ac:dyDescent="0.35"/>
    <row r="152" spans="2:5" s="19" customFormat="1" ht="34" customHeight="1" x14ac:dyDescent="0.35">
      <c r="B152" s="656" t="s">
        <v>3546</v>
      </c>
      <c r="C152" s="656"/>
      <c r="D152" s="656"/>
      <c r="E152" s="656"/>
    </row>
    <row r="153" spans="2:5" s="19" customFormat="1" ht="20.05" customHeight="1" x14ac:dyDescent="0.35">
      <c r="B153" s="224" t="s">
        <v>261</v>
      </c>
      <c r="C153" s="224" t="s">
        <v>262</v>
      </c>
      <c r="D153" s="225" t="s">
        <v>19</v>
      </c>
      <c r="E153" s="224" t="s">
        <v>20</v>
      </c>
    </row>
    <row r="154" spans="2:5" s="19" customFormat="1" ht="20.05" customHeight="1" x14ac:dyDescent="0.35">
      <c r="B154" s="226" t="s">
        <v>3518</v>
      </c>
      <c r="C154" s="227" t="str">
        <f>sample_wld_vc_fqdn</f>
        <v>sfo-w01-vc01.sfo.rainpole.io</v>
      </c>
      <c r="D154" s="112" t="str">
        <f>wld_vc_fqdn</f>
        <v>Value Missing</v>
      </c>
      <c r="E154" s="228"/>
    </row>
    <row r="155" spans="2:5" s="19" customFormat="1" ht="20.05" customHeight="1" x14ac:dyDescent="0.35">
      <c r="B155" s="226" t="s">
        <v>2324</v>
      </c>
      <c r="C155" s="227" t="str">
        <f>sample_ccm_hcx_remote_url</f>
        <v>https://hcx.sddc-44-231-98-23.vmwarevmc.com/</v>
      </c>
      <c r="D155" s="112" t="str">
        <f>ccm_hcx_remote_url</f>
        <v>Value Missing</v>
      </c>
      <c r="E155" s="228"/>
    </row>
    <row r="156" spans="2:5" s="19" customFormat="1" ht="20.05" customHeight="1" x14ac:dyDescent="0.35">
      <c r="B156" s="226" t="s">
        <v>27</v>
      </c>
      <c r="C156" s="227" t="str">
        <f>sample_ccm_aws_admin_ssouser</f>
        <v>cloudadmin@vmc.local</v>
      </c>
      <c r="D156" s="112" t="str">
        <f>ccm_aws_admin_ssouser</f>
        <v>Value Missing</v>
      </c>
      <c r="E156" s="228"/>
    </row>
    <row r="157" spans="2:5" s="19" customFormat="1" ht="20.05" customHeight="1" x14ac:dyDescent="0.35">
      <c r="B157" s="226" t="s">
        <v>29</v>
      </c>
      <c r="C157" s="227" t="str">
        <f>sample_ccm_aws_admin_password</f>
        <v>TBvAZf-Aj*1ap6T</v>
      </c>
      <c r="D157" s="112" t="str">
        <f>ccm_aws_admin_password</f>
        <v>Value Missing</v>
      </c>
      <c r="E157" s="228"/>
    </row>
    <row r="158" spans="2:5" s="19" customFormat="1" ht="20.05" customHeight="1" x14ac:dyDescent="0.35"/>
    <row r="159" spans="2:5" s="19" customFormat="1" ht="34" customHeight="1" x14ac:dyDescent="0.35">
      <c r="B159" s="656" t="s">
        <v>3547</v>
      </c>
      <c r="C159" s="656"/>
      <c r="D159" s="656"/>
      <c r="E159" s="656"/>
    </row>
    <row r="160" spans="2:5" s="19" customFormat="1" ht="20.05" customHeight="1" x14ac:dyDescent="0.35">
      <c r="B160" s="224" t="s">
        <v>261</v>
      </c>
      <c r="C160" s="224" t="s">
        <v>262</v>
      </c>
      <c r="D160" s="225" t="s">
        <v>19</v>
      </c>
      <c r="E160" s="224" t="s">
        <v>20</v>
      </c>
    </row>
    <row r="161" spans="2:5" s="19" customFormat="1" ht="20.05" customHeight="1" x14ac:dyDescent="0.35">
      <c r="B161" s="226" t="s">
        <v>3518</v>
      </c>
      <c r="C161" s="227" t="str">
        <f>sample_wld_vc_fqdn</f>
        <v>sfo-w01-vc01.sfo.rainpole.io</v>
      </c>
      <c r="D161" s="112" t="str">
        <f>wld_vc_fqdn</f>
        <v>Value Missing</v>
      </c>
      <c r="E161" s="228"/>
    </row>
    <row r="162" spans="2:5" s="19" customFormat="1" ht="20.05" customHeight="1" x14ac:dyDescent="0.35">
      <c r="B162" s="680" t="s">
        <v>3548</v>
      </c>
      <c r="C162" s="680"/>
      <c r="D162" s="680"/>
      <c r="E162" s="681"/>
    </row>
    <row r="163" spans="2:5" s="19" customFormat="1" ht="20.05" customHeight="1" x14ac:dyDescent="0.35">
      <c r="B163" s="226" t="s">
        <v>814</v>
      </c>
      <c r="C163" s="227" t="str">
        <f>sample_wld_vc_fqdn</f>
        <v>sfo-w01-vc01.sfo.rainpole.io</v>
      </c>
      <c r="D163" s="112" t="str">
        <f>wld_vc_fqdn</f>
        <v>Value Missing</v>
      </c>
      <c r="E163" s="228"/>
    </row>
    <row r="164" spans="2:5" s="19" customFormat="1" ht="20.05" customHeight="1" x14ac:dyDescent="0.35">
      <c r="B164" s="226" t="s">
        <v>252</v>
      </c>
      <c r="C164" s="227" t="str">
        <f>sample_wld_cl01_az1_mgmt_pg</f>
        <v>sfo-w01-cl01-vds01-pg-esxi-mgmt</v>
      </c>
      <c r="D164" s="112" t="str">
        <f>wld_cl01_az1_mgmt_pg</f>
        <v>Value Missing</v>
      </c>
      <c r="E164" s="228"/>
    </row>
    <row r="165" spans="2:5" s="19" customFormat="1" ht="20.05" customHeight="1" x14ac:dyDescent="0.35">
      <c r="B165" s="226" t="s">
        <v>261</v>
      </c>
      <c r="C165" s="227" t="str">
        <f>sample_wld_cl01_az1_mgmt_pg</f>
        <v>sfo-w01-cl01-vds01-pg-esxi-mgmt</v>
      </c>
      <c r="D165" s="112" t="str">
        <f>wld_cl01_az1_mgmt_pg</f>
        <v>Value Missing</v>
      </c>
      <c r="E165" s="228"/>
    </row>
    <row r="166" spans="2:5" s="19" customFormat="1" ht="20.05" customHeight="1" x14ac:dyDescent="0.35">
      <c r="B166" s="226" t="s">
        <v>3549</v>
      </c>
      <c r="C166" s="227" t="str">
        <f>sample_ccm_hcx_mgmt_network_ip_range</f>
        <v>10.13.10.221-10.13.10.225</v>
      </c>
      <c r="D166" s="112" t="str">
        <f>ccm_hcx_mgmt_network_ip_range</f>
        <v>Value Missing</v>
      </c>
      <c r="E166" s="228"/>
    </row>
    <row r="167" spans="2:5" s="19" customFormat="1" ht="20.05" customHeight="1" x14ac:dyDescent="0.35">
      <c r="B167" s="226" t="s">
        <v>3550</v>
      </c>
      <c r="C167" s="227">
        <f>INT(RIGHT(sample_mgmt_az1_mgmt_cidr,LEN(sample_mgmt_az1_mgmt_cidr)-FIND("/",sample_mgmt_az1_mgmt_cidr)))</f>
        <v>24</v>
      </c>
      <c r="D167" s="112" t="str">
        <f>IF(ISBLANK(input_mgmt_az1_mgmt_cidr),"Value Missing",INT(RIGHT(mgmt_az1_mgmt_cidr,LEN(mgmt_az1_mgmt_cidr)-FIND("/",mgmt_az1_mgmt_cidr))))</f>
        <v>Value Missing</v>
      </c>
      <c r="E167" s="228"/>
    </row>
    <row r="168" spans="2:5" s="19" customFormat="1" ht="20.05" customHeight="1" x14ac:dyDescent="0.35">
      <c r="B168" s="226" t="s">
        <v>187</v>
      </c>
      <c r="C168" s="227" t="str">
        <f>sample_wld_az1_mgmt_gateway_ip</f>
        <v>10.13.11.1</v>
      </c>
      <c r="D168" s="112" t="str">
        <f>wld_az1_mgmt_gateway_ip</f>
        <v>Value Missing</v>
      </c>
      <c r="E168" s="228"/>
    </row>
    <row r="169" spans="2:5" s="19" customFormat="1" ht="20.05" customHeight="1" x14ac:dyDescent="0.35">
      <c r="B169" s="226" t="s">
        <v>3551</v>
      </c>
      <c r="C169" s="227" t="str">
        <f>sample_region_dns1_ip</f>
        <v>10.11.10.4</v>
      </c>
      <c r="D169" s="112" t="str">
        <f>region_dns1_ip</f>
        <v>Value Missing</v>
      </c>
      <c r="E169" s="228"/>
    </row>
    <row r="170" spans="2:5" s="19" customFormat="1" ht="20.05" customHeight="1" x14ac:dyDescent="0.35">
      <c r="B170" s="226" t="s">
        <v>3552</v>
      </c>
      <c r="C170" s="227" t="str">
        <f>sample_region_dns2_ip</f>
        <v>10.11.10.5</v>
      </c>
      <c r="D170" s="112" t="str">
        <f>region_dns2_ip</f>
        <v>Value Missing</v>
      </c>
      <c r="E170" s="228"/>
    </row>
    <row r="171" spans="2:5" s="19" customFormat="1" ht="20.05" customHeight="1" x14ac:dyDescent="0.35">
      <c r="B171" s="226" t="s">
        <v>3553</v>
      </c>
      <c r="C171" s="227" t="str">
        <f>sample_child_dns_zone</f>
        <v>sfo.rainpole.io</v>
      </c>
      <c r="D171" s="112" t="str">
        <f>child_dns_zone</f>
        <v>Value Missing</v>
      </c>
      <c r="E171" s="228"/>
    </row>
    <row r="172" spans="2:5" s="19" customFormat="1" ht="20.05" customHeight="1" x14ac:dyDescent="0.35">
      <c r="B172" s="680" t="s">
        <v>3554</v>
      </c>
      <c r="C172" s="680"/>
      <c r="D172" s="680"/>
      <c r="E172" s="681"/>
    </row>
    <row r="173" spans="2:5" s="19" customFormat="1" ht="20.05" customHeight="1" x14ac:dyDescent="0.35">
      <c r="B173" s="226" t="s">
        <v>814</v>
      </c>
      <c r="C173" s="227" t="str">
        <f>sample_wld_vc_fqdn</f>
        <v>sfo-w01-vc01.sfo.rainpole.io</v>
      </c>
      <c r="D173" s="112" t="str">
        <f>wld_vc_fqdn</f>
        <v>Value Missing</v>
      </c>
      <c r="E173" s="228"/>
    </row>
    <row r="174" spans="2:5" s="19" customFormat="1" ht="20.05" customHeight="1" x14ac:dyDescent="0.35">
      <c r="B174" s="226" t="s">
        <v>252</v>
      </c>
      <c r="C174" s="227" t="str">
        <f>sample_wld_cl01_az1_vmotion_pg</f>
        <v>sfo-w01-cl01-vds01-pg-vmotion</v>
      </c>
      <c r="D174" s="112" t="str">
        <f>wld_cl01_az1_vmotion_pg</f>
        <v>Value Missing</v>
      </c>
      <c r="E174" s="228"/>
    </row>
    <row r="175" spans="2:5" s="19" customFormat="1" ht="20.05" customHeight="1" x14ac:dyDescent="0.35">
      <c r="B175" s="226" t="s">
        <v>261</v>
      </c>
      <c r="C175" s="227" t="str">
        <f>sample_wld_cl01_az1_vmotion_pg</f>
        <v>sfo-w01-cl01-vds01-pg-vmotion</v>
      </c>
      <c r="D175" s="112" t="str">
        <f>wld_cl01_az1_vmotion_pg</f>
        <v>Value Missing</v>
      </c>
      <c r="E175" s="228"/>
    </row>
    <row r="176" spans="2:5" s="19" customFormat="1" ht="20.05" customHeight="1" x14ac:dyDescent="0.35">
      <c r="B176" s="226" t="s">
        <v>3549</v>
      </c>
      <c r="C176" s="227" t="str">
        <f>sample_ccm_hcx_vmotion_network_ip_range</f>
        <v>10.13.12.221-10.13.12.225</v>
      </c>
      <c r="D176" s="112" t="str">
        <f>ccm_hcx_vmotion_network_ip_range</f>
        <v>Value Missing</v>
      </c>
      <c r="E176" s="228"/>
    </row>
    <row r="177" spans="2:5" s="19" customFormat="1" ht="20.05" customHeight="1" x14ac:dyDescent="0.35">
      <c r="B177" s="226" t="s">
        <v>3550</v>
      </c>
      <c r="C177" s="227">
        <f>INT(RIGHT(sample_wld_az1_vmotion_cidr,LEN(sample_wld_az1_vmotion_cidr)-FIND("/",sample_wld_az1_vmotion_cidr)))</f>
        <v>24</v>
      </c>
      <c r="D177" s="112" t="str">
        <f>IF(ISBLANK(input_mgmt_az1_mgmt_cidr),"Value Missing",INT(RIGHT(mgmt_az1_mgmt_cidr,LEN(mgmt_az1_mgmt_cidr)-FIND("/",mgmt_az1_mgmt_cidr))))</f>
        <v>Value Missing</v>
      </c>
      <c r="E177" s="228"/>
    </row>
    <row r="178" spans="2:5" s="19" customFormat="1" ht="20.05" customHeight="1" x14ac:dyDescent="0.35">
      <c r="B178" s="226" t="s">
        <v>187</v>
      </c>
      <c r="C178" s="227" t="str">
        <f>sample_wld_az1_vmotion_gateway_ip</f>
        <v>10.13.12.1</v>
      </c>
      <c r="D178" s="112" t="str">
        <f>wld_az1_vmotion_gateway_ip</f>
        <v>Value Missing</v>
      </c>
      <c r="E178" s="228"/>
    </row>
    <row r="179" spans="2:5" s="19" customFormat="1" ht="20.05" customHeight="1" x14ac:dyDescent="0.35">
      <c r="B179" s="226" t="s">
        <v>160</v>
      </c>
      <c r="C179" s="227">
        <f>sample_wld_az1_vmotion_mtu</f>
        <v>9000</v>
      </c>
      <c r="D179" s="112" t="str">
        <f>wld_az1_vmotion_mtu</f>
        <v>Value Missing</v>
      </c>
      <c r="E179" s="228"/>
    </row>
    <row r="180" spans="2:5" s="19" customFormat="1" ht="20.05" customHeight="1" x14ac:dyDescent="0.35"/>
    <row r="181" spans="2:5" s="19" customFormat="1" ht="34" customHeight="1" x14ac:dyDescent="0.35">
      <c r="B181" s="656" t="s">
        <v>3555</v>
      </c>
      <c r="C181" s="656"/>
      <c r="D181" s="656"/>
      <c r="E181" s="656"/>
    </row>
    <row r="182" spans="2:5" s="19" customFormat="1" ht="20.05" customHeight="1" x14ac:dyDescent="0.35">
      <c r="B182" s="224" t="s">
        <v>261</v>
      </c>
      <c r="C182" s="224" t="s">
        <v>262</v>
      </c>
      <c r="D182" s="225" t="s">
        <v>19</v>
      </c>
      <c r="E182" s="224" t="s">
        <v>20</v>
      </c>
    </row>
    <row r="183" spans="2:5" s="19" customFormat="1" ht="20.05" customHeight="1" x14ac:dyDescent="0.35">
      <c r="B183" s="226" t="s">
        <v>3518</v>
      </c>
      <c r="C183" s="227" t="str">
        <f>sample_wld_vc_fqdn</f>
        <v>sfo-w01-vc01.sfo.rainpole.io</v>
      </c>
      <c r="D183" s="112" t="str">
        <f>wld_vc_fqdn</f>
        <v>Value Missing</v>
      </c>
      <c r="E183" s="228"/>
    </row>
    <row r="184" spans="2:5" s="19" customFormat="1" ht="20.05" customHeight="1" x14ac:dyDescent="0.35">
      <c r="B184" s="226" t="s">
        <v>3556</v>
      </c>
      <c r="C184" s="227" t="str">
        <f>sample_ccm_hcx_compute_profile</f>
        <v>sfo-w01-compute-profile</v>
      </c>
      <c r="D184" s="112" t="str">
        <f>ccm_hcx_compute_profile</f>
        <v>Value Missing</v>
      </c>
      <c r="E184" s="228"/>
    </row>
    <row r="185" spans="2:5" s="19" customFormat="1" ht="20.05" customHeight="1" x14ac:dyDescent="0.35">
      <c r="B185" s="226" t="s">
        <v>3557</v>
      </c>
      <c r="C185" s="227" t="str">
        <f>sample_wld_datacenter</f>
        <v>sfo-w01-dc</v>
      </c>
      <c r="D185" s="112" t="str">
        <f>wld_datacenter</f>
        <v>Value Missing</v>
      </c>
      <c r="E185" s="228"/>
    </row>
    <row r="186" spans="2:5" s="19" customFormat="1" ht="20.05" customHeight="1" x14ac:dyDescent="0.35">
      <c r="B186" s="226" t="s">
        <v>3558</v>
      </c>
      <c r="C186" s="227" t="str">
        <f>sample_ccm_hcx_resource_pool</f>
        <v>sfo-w01-cl01-rp-hcx</v>
      </c>
      <c r="D186" s="112" t="str">
        <f>ccm_hcx_resource_pool</f>
        <v>Value Missing</v>
      </c>
      <c r="E186" s="228"/>
    </row>
    <row r="187" spans="2:5" s="19" customFormat="1" ht="20.05" customHeight="1" x14ac:dyDescent="0.35">
      <c r="B187" s="226" t="s">
        <v>605</v>
      </c>
      <c r="C187" s="227" t="str">
        <f>sample_wld_cl01_vsan_datastore</f>
        <v>sfo-w01-sfo-w01-cl01-vsan01</v>
      </c>
      <c r="D187" s="112" t="str">
        <f>wld_cl01_vsan_datastore</f>
        <v>Value Missing</v>
      </c>
      <c r="E187" s="228"/>
    </row>
    <row r="188" spans="2:5" s="19" customFormat="1" ht="20.05" customHeight="1" x14ac:dyDescent="0.35">
      <c r="B188" s="226" t="s">
        <v>601</v>
      </c>
      <c r="C188" s="227" t="str">
        <f>sample_ccm_hcx_vm_folder</f>
        <v>sfo-w01-fd-hcx</v>
      </c>
      <c r="D188" s="112" t="str">
        <f>ccm_hcx_vm_folder</f>
        <v>Value Missing</v>
      </c>
      <c r="E188" s="228"/>
    </row>
    <row r="189" spans="2:5" s="19" customFormat="1" ht="20.05" customHeight="1" x14ac:dyDescent="0.35">
      <c r="B189" s="226" t="s">
        <v>3559</v>
      </c>
      <c r="C189" s="227" t="str">
        <f>sample_wld_cl01_az1_mgmt_pg</f>
        <v>sfo-w01-cl01-vds01-pg-esxi-mgmt</v>
      </c>
      <c r="D189" s="112" t="str">
        <f>wld_cl01_az1_mgmt_pg</f>
        <v>Value Missing</v>
      </c>
      <c r="E189" s="228"/>
    </row>
    <row r="190" spans="2:5" s="19" customFormat="1" ht="20.05" customHeight="1" x14ac:dyDescent="0.35">
      <c r="B190" s="226" t="s">
        <v>3560</v>
      </c>
      <c r="C190" s="227" t="str">
        <f>sample_wld_cl01_az1_mgmt_pg</f>
        <v>sfo-w01-cl01-vds01-pg-esxi-mgmt</v>
      </c>
      <c r="D190" s="112" t="str">
        <f>wld_cl01_az1_mgmt_pg</f>
        <v>Value Missing</v>
      </c>
      <c r="E190" s="228"/>
    </row>
    <row r="191" spans="2:5" s="19" customFormat="1" ht="20.05" customHeight="1" x14ac:dyDescent="0.35">
      <c r="B191" s="226" t="s">
        <v>3561</v>
      </c>
      <c r="C191" s="227" t="str">
        <f>sample_wld_cl01_az1_vmotion_pg</f>
        <v>sfo-w01-cl01-vds01-pg-vmotion</v>
      </c>
      <c r="D191" s="112" t="str">
        <f>wld_cl01_az1_vmotion_pg</f>
        <v>Value Missing</v>
      </c>
      <c r="E191" s="228"/>
    </row>
    <row r="192" spans="2:5" s="19" customFormat="1" ht="20.05" customHeight="1" x14ac:dyDescent="0.35">
      <c r="B192" s="226" t="s">
        <v>3562</v>
      </c>
      <c r="C192" s="227" t="str">
        <f>sample_wld_cl01_az1_mgmt_pg</f>
        <v>sfo-w01-cl01-vds01-pg-esxi-mgmt</v>
      </c>
      <c r="D192" s="112" t="str">
        <f>wld_cl01_az1_mgmt_pg</f>
        <v>Value Missing</v>
      </c>
      <c r="E192" s="228"/>
    </row>
    <row r="193" spans="1:6" s="19" customFormat="1" ht="20.05" customHeight="1" x14ac:dyDescent="0.35">
      <c r="B193" s="226" t="s">
        <v>3563</v>
      </c>
      <c r="C193" s="227" t="str">
        <f>IF(mgmt_consolidated_result="Included",CONCATENATE("overlay-tz-",sample_mgmt_nsxt_vip_fqdn),CONCATENATE("overlay-tz-",sample_wld_nsxt_vip_fqdn))</f>
        <v>overlay-tz-sfo-w01-nsx01.sfo.rainpole.io</v>
      </c>
      <c r="D193" s="112" t="str">
        <f>IF(mgmt_consolidated_result="Included","overlay-tz-"&amp;mgmt_nsxt_vip_fqdn,"overlay-tz-"&amp;wld_nsxt_vip_fqdn)</f>
        <v>overlay-tz-Value Missing</v>
      </c>
      <c r="E193" s="228"/>
    </row>
    <row r="194" spans="1:6" s="19" customFormat="1" ht="20.05" customHeight="1" x14ac:dyDescent="0.35"/>
    <row r="195" spans="1:6" s="19" customFormat="1" ht="34" customHeight="1" x14ac:dyDescent="0.35">
      <c r="B195" s="656" t="s">
        <v>3564</v>
      </c>
      <c r="C195" s="656"/>
      <c r="D195" s="656"/>
      <c r="E195" s="656"/>
    </row>
    <row r="196" spans="1:6" s="19" customFormat="1" ht="20.05" customHeight="1" x14ac:dyDescent="0.35">
      <c r="B196" s="224" t="s">
        <v>261</v>
      </c>
      <c r="C196" s="224" t="s">
        <v>262</v>
      </c>
      <c r="D196" s="225" t="s">
        <v>19</v>
      </c>
      <c r="E196" s="224" t="s">
        <v>20</v>
      </c>
    </row>
    <row r="197" spans="1:6" s="19" customFormat="1" ht="20.05" customHeight="1" x14ac:dyDescent="0.35">
      <c r="B197" s="226" t="s">
        <v>3518</v>
      </c>
      <c r="C197" s="227" t="str">
        <f>sample_wld_vc_fqdn</f>
        <v>sfo-w01-vc01.sfo.rainpole.io</v>
      </c>
      <c r="D197" s="112" t="str">
        <f>wld_vc_fqdn</f>
        <v>Value Missing</v>
      </c>
      <c r="E197" s="228"/>
    </row>
    <row r="198" spans="1:6" s="19" customFormat="1" ht="20.05" customHeight="1" x14ac:dyDescent="0.35">
      <c r="B198" s="226" t="s">
        <v>3565</v>
      </c>
      <c r="C198" s="227" t="str">
        <f>sample_ccm_hcx_compute_profile</f>
        <v>sfo-w01-compute-profile</v>
      </c>
      <c r="D198" s="112" t="str">
        <f>ccm_hcx_compute_profile</f>
        <v>Value Missing</v>
      </c>
      <c r="E198" s="228"/>
    </row>
    <row r="199" spans="1:6" s="19" customFormat="1" ht="20.05" customHeight="1" x14ac:dyDescent="0.35">
      <c r="B199" s="226" t="s">
        <v>3566</v>
      </c>
      <c r="C199" s="227" t="s">
        <v>3567</v>
      </c>
      <c r="D199" s="112" t="str">
        <f>C199</f>
        <v>ComputeProfile(vcenter)</v>
      </c>
      <c r="E199" s="228"/>
    </row>
    <row r="200" spans="1:6" s="19" customFormat="1" ht="20.05" customHeight="1" x14ac:dyDescent="0.35">
      <c r="B200" s="226" t="s">
        <v>3568</v>
      </c>
      <c r="C200" s="227" t="str">
        <f>sample_ccm_hcx_service_mesh</f>
        <v>sfo-w01-service-mesh</v>
      </c>
      <c r="D200" s="112" t="str">
        <f>ccm_hcx_service_mesh</f>
        <v>Value Missing</v>
      </c>
      <c r="E200" s="228"/>
    </row>
    <row r="201" spans="1:6" s="19" customFormat="1" ht="20.05" customHeight="1" x14ac:dyDescent="0.35"/>
    <row r="202" spans="1:6" s="19" customFormat="1" ht="34" customHeight="1" x14ac:dyDescent="0.35">
      <c r="A202" s="216"/>
      <c r="B202" s="657" t="s">
        <v>2981</v>
      </c>
      <c r="C202" s="657"/>
      <c r="D202" s="657"/>
      <c r="E202" s="657"/>
      <c r="F202" s="216"/>
    </row>
    <row r="203" spans="1:6" s="19" customFormat="1" ht="20.05" customHeight="1" x14ac:dyDescent="0.35"/>
    <row r="204" spans="1:6" s="19" customFormat="1" ht="34" customHeight="1" x14ac:dyDescent="0.35">
      <c r="B204" s="660" t="s">
        <v>3488</v>
      </c>
      <c r="C204" s="661"/>
      <c r="D204" s="661"/>
      <c r="E204" s="661"/>
    </row>
    <row r="205" spans="1:6" s="19" customFormat="1" ht="20.05" customHeight="1" x14ac:dyDescent="0.35"/>
    <row r="206" spans="1:6" s="19" customFormat="1" ht="34" customHeight="1" x14ac:dyDescent="0.35">
      <c r="B206" s="656" t="s">
        <v>3569</v>
      </c>
      <c r="C206" s="656"/>
      <c r="D206" s="656"/>
      <c r="E206" s="656"/>
    </row>
    <row r="207" spans="1:6" s="19" customFormat="1" ht="20.05" customHeight="1" x14ac:dyDescent="0.35">
      <c r="B207" s="224" t="s">
        <v>261</v>
      </c>
      <c r="C207" s="224" t="s">
        <v>262</v>
      </c>
      <c r="D207" s="225" t="s">
        <v>19</v>
      </c>
      <c r="E207" s="224" t="s">
        <v>20</v>
      </c>
    </row>
    <row r="208" spans="1:6" s="19" customFormat="1" ht="20.05" customHeight="1" x14ac:dyDescent="0.35">
      <c r="B208" s="226" t="s">
        <v>3149</v>
      </c>
      <c r="C208" s="227" t="str">
        <f>sample_xreg_vrops_virtual_fqdn</f>
        <v>flt-ops01.rainpole.io</v>
      </c>
      <c r="D208" s="112" t="str">
        <f>xreg_vrops_virtual_fqdn</f>
        <v>Value Missing</v>
      </c>
      <c r="E208" s="228"/>
    </row>
    <row r="209" spans="2:5" s="19" customFormat="1" ht="20.05" customHeight="1" x14ac:dyDescent="0.35">
      <c r="B209" s="226" t="s">
        <v>261</v>
      </c>
      <c r="C209" s="227" t="str">
        <f>"cross-cloud-proxies"</f>
        <v>cross-cloud-proxies</v>
      </c>
      <c r="D209" s="112" t="str">
        <f>C209</f>
        <v>cross-cloud-proxies</v>
      </c>
      <c r="E209" s="228"/>
    </row>
    <row r="210" spans="2:5" s="19" customFormat="1" ht="20.05" customHeight="1" x14ac:dyDescent="0.35">
      <c r="B210" s="226" t="s">
        <v>3490</v>
      </c>
      <c r="C210" s="227" t="str">
        <f>C209</f>
        <v>cross-cloud-proxies</v>
      </c>
      <c r="D210" s="112" t="str">
        <f>C210</f>
        <v>cross-cloud-proxies</v>
      </c>
      <c r="E210" s="228"/>
    </row>
    <row r="211" spans="2:5" s="19" customFormat="1" ht="20.05" customHeight="1" x14ac:dyDescent="0.35">
      <c r="B211" s="226" t="s">
        <v>3491</v>
      </c>
      <c r="C211" s="227" t="str">
        <f>sample_ccm_hcx_cdp_ip</f>
        <v>10.11.10.46</v>
      </c>
      <c r="D211" s="112" t="str">
        <f>ccm_hcx_cdp_ip</f>
        <v>Value Missing</v>
      </c>
      <c r="E211" s="228"/>
    </row>
    <row r="212" spans="2:5" s="19" customFormat="1" ht="20.05" customHeight="1" x14ac:dyDescent="0.35">
      <c r="B212" s="226" t="s">
        <v>3492</v>
      </c>
      <c r="C212" s="227" t="str">
        <f>CONCATENATE(sample_mgmt_sddc_domain,"-collector-group")</f>
        <v>sfo-m01-collector-group</v>
      </c>
      <c r="D212" s="112" t="str">
        <f>CONCATENATE(mgmt_sddc_domain,"-collector-group")</f>
        <v>Value Missing-collector-group</v>
      </c>
      <c r="E212" s="228"/>
    </row>
    <row r="213" spans="2:5" s="19" customFormat="1" ht="20.05" customHeight="1" x14ac:dyDescent="0.35"/>
    <row r="214" spans="2:5" s="19" customFormat="1" ht="34" customHeight="1" x14ac:dyDescent="0.35">
      <c r="B214" s="660" t="s">
        <v>3570</v>
      </c>
      <c r="C214" s="661"/>
      <c r="D214" s="661"/>
      <c r="E214" s="661"/>
    </row>
    <row r="215" spans="2:5" s="19" customFormat="1" ht="20.05" customHeight="1" x14ac:dyDescent="0.35"/>
    <row r="216" spans="2:5" s="19" customFormat="1" ht="34" customHeight="1" x14ac:dyDescent="0.35">
      <c r="B216" s="656" t="s">
        <v>3571</v>
      </c>
      <c r="C216" s="656"/>
      <c r="D216" s="656"/>
      <c r="E216" s="656"/>
    </row>
    <row r="217" spans="2:5" s="19" customFormat="1" ht="20.05" customHeight="1" x14ac:dyDescent="0.35">
      <c r="B217" s="224" t="s">
        <v>261</v>
      </c>
      <c r="C217" s="224" t="s">
        <v>262</v>
      </c>
      <c r="D217" s="225" t="s">
        <v>19</v>
      </c>
      <c r="E217" s="224" t="s">
        <v>20</v>
      </c>
    </row>
    <row r="218" spans="2:5" s="19" customFormat="1" ht="20.05" customHeight="1" x14ac:dyDescent="0.35">
      <c r="B218" s="226" t="s">
        <v>3572</v>
      </c>
      <c r="C218" s="227" t="str">
        <f>sample_sftp_server</f>
        <v>20.10.5.10</v>
      </c>
      <c r="D218" s="112" t="str">
        <f>sftp_server_ip</f>
        <v>Value Missing</v>
      </c>
      <c r="E218" s="228"/>
    </row>
    <row r="219" spans="2:5" s="19" customFormat="1" ht="20.05" customHeight="1" x14ac:dyDescent="0.35">
      <c r="B219" s="226" t="s">
        <v>3573</v>
      </c>
      <c r="C219" s="227">
        <f>sample_sftp_server_port</f>
        <v>22</v>
      </c>
      <c r="D219" s="112" t="str">
        <f>sftp_server_port</f>
        <v>Value Missing</v>
      </c>
      <c r="E219" s="228"/>
    </row>
    <row r="220" spans="2:5" s="19" customFormat="1" ht="20.05" customHeight="1" x14ac:dyDescent="0.35">
      <c r="B220" s="226" t="s">
        <v>24</v>
      </c>
      <c r="C220" s="227" t="str">
        <f>sample_sftp_server_protocol</f>
        <v>SFTP</v>
      </c>
      <c r="D220" s="112" t="str">
        <f>sftp_server_protocol</f>
        <v>Value Missing</v>
      </c>
      <c r="E220" s="228"/>
    </row>
    <row r="221" spans="2:5" s="19" customFormat="1" ht="20.05" customHeight="1" x14ac:dyDescent="0.35">
      <c r="B221" s="226" t="s">
        <v>27</v>
      </c>
      <c r="C221" s="227" t="str">
        <f>sample_svc_vcf_bck_user</f>
        <v>svc-vcf-bck</v>
      </c>
      <c r="D221" s="112" t="str">
        <f>user_svc_vcf_bck</f>
        <v>Value Missing</v>
      </c>
      <c r="E221" s="228"/>
    </row>
    <row r="222" spans="2:5" s="19" customFormat="1" ht="20.05" customHeight="1" x14ac:dyDescent="0.35">
      <c r="B222" s="226" t="s">
        <v>29</v>
      </c>
      <c r="C222" s="227" t="str">
        <f>sample_svc_vcf_bck_password</f>
        <v>VMw@re1!</v>
      </c>
      <c r="D222" s="112" t="str">
        <f>svc_vcf_bck_password</f>
        <v>Value Missing</v>
      </c>
      <c r="E222" s="228"/>
    </row>
    <row r="223" spans="2:5" s="19" customFormat="1" ht="20.05" customHeight="1" x14ac:dyDescent="0.35">
      <c r="B223" s="226" t="s">
        <v>3574</v>
      </c>
      <c r="C223" s="227" t="str">
        <f>sample_sftp_server_backup_dir</f>
        <v>/backups/</v>
      </c>
      <c r="D223" s="112" t="str">
        <f>sftp_server_backup_dir</f>
        <v>Value Missing</v>
      </c>
      <c r="E223" s="228"/>
    </row>
    <row r="224" spans="2:5" s="19" customFormat="1" ht="20.05" customHeight="1" x14ac:dyDescent="0.35"/>
    <row r="225" spans="2:5" s="19" customFormat="1" ht="34" customHeight="1" x14ac:dyDescent="0.35">
      <c r="B225" s="656" t="s">
        <v>3575</v>
      </c>
      <c r="C225" s="656"/>
      <c r="D225" s="656"/>
      <c r="E225" s="656"/>
    </row>
    <row r="226" spans="2:5" s="19" customFormat="1" ht="20.05" customHeight="1" x14ac:dyDescent="0.35">
      <c r="B226" s="224" t="s">
        <v>261</v>
      </c>
      <c r="C226" s="224" t="s">
        <v>262</v>
      </c>
      <c r="D226" s="225" t="s">
        <v>19</v>
      </c>
      <c r="E226" s="224" t="s">
        <v>20</v>
      </c>
    </row>
    <row r="227" spans="2:5" s="19" customFormat="1" ht="20.05" customHeight="1" x14ac:dyDescent="0.35">
      <c r="B227" s="226" t="s">
        <v>3576</v>
      </c>
      <c r="C227" s="227" t="s">
        <v>3577</v>
      </c>
      <c r="D227" s="112" t="str">
        <f>C227</f>
        <v>DAILY</v>
      </c>
      <c r="E227" s="228"/>
    </row>
    <row r="228" spans="2:5" s="19" customFormat="1" ht="20.05" customHeight="1" x14ac:dyDescent="0.35">
      <c r="B228" s="226" t="s">
        <v>3578</v>
      </c>
      <c r="C228" s="227">
        <v>3</v>
      </c>
      <c r="D228" s="112">
        <f>C228</f>
        <v>3</v>
      </c>
      <c r="E228" s="228"/>
    </row>
    <row r="229" spans="2:5" s="19" customFormat="1" ht="20.05" customHeight="1" x14ac:dyDescent="0.35">
      <c r="B229" s="226" t="s">
        <v>3579</v>
      </c>
      <c r="C229" s="227">
        <v>30</v>
      </c>
      <c r="D229" s="112">
        <f>C229</f>
        <v>30</v>
      </c>
      <c r="E229" s="228"/>
    </row>
    <row r="230" spans="2:5" s="19" customFormat="1" x14ac:dyDescent="0.35"/>
    <row r="231" spans="2:5" s="19" customFormat="1" x14ac:dyDescent="0.35"/>
    <row r="232" spans="2:5" s="19" customFormat="1" x14ac:dyDescent="0.35"/>
    <row r="233" spans="2:5" s="19" customFormat="1" x14ac:dyDescent="0.35"/>
    <row r="234" spans="2:5" s="19" customFormat="1" x14ac:dyDescent="0.35"/>
    <row r="235" spans="2:5" s="19" customFormat="1" x14ac:dyDescent="0.35"/>
    <row r="236" spans="2:5" s="19" customFormat="1" x14ac:dyDescent="0.35"/>
    <row r="237" spans="2:5" s="19" customFormat="1" x14ac:dyDescent="0.35"/>
    <row r="238" spans="2:5" s="19" customFormat="1" x14ac:dyDescent="0.35"/>
    <row r="239" spans="2:5" s="19" customFormat="1" x14ac:dyDescent="0.35"/>
    <row r="240" spans="2:5" s="19" customFormat="1" x14ac:dyDescent="0.35"/>
    <row r="241" s="19" customFormat="1" x14ac:dyDescent="0.35"/>
    <row r="242" s="19" customFormat="1" x14ac:dyDescent="0.35"/>
    <row r="243" s="19" customFormat="1" x14ac:dyDescent="0.35"/>
    <row r="244" s="19" customFormat="1" x14ac:dyDescent="0.35"/>
    <row r="245" s="19" customFormat="1" x14ac:dyDescent="0.35"/>
    <row r="246" s="19" customFormat="1" x14ac:dyDescent="0.35"/>
    <row r="247" s="19" customFormat="1" x14ac:dyDescent="0.35"/>
    <row r="248" s="19" customFormat="1" x14ac:dyDescent="0.35"/>
    <row r="249" s="19" customFormat="1" x14ac:dyDescent="0.35"/>
    <row r="250" s="19" customFormat="1" x14ac:dyDescent="0.35"/>
    <row r="251" s="19" customFormat="1" x14ac:dyDescent="0.35"/>
    <row r="252" s="19" customFormat="1" x14ac:dyDescent="0.35"/>
    <row r="253" s="19" customFormat="1" x14ac:dyDescent="0.35"/>
    <row r="254" s="19" customFormat="1" x14ac:dyDescent="0.35"/>
    <row r="255" s="19" customFormat="1" x14ac:dyDescent="0.35"/>
    <row r="256" s="19" customFormat="1" x14ac:dyDescent="0.35"/>
    <row r="257" s="19" customFormat="1" x14ac:dyDescent="0.35"/>
    <row r="258" s="19" customFormat="1" x14ac:dyDescent="0.35"/>
    <row r="259" s="19" customFormat="1" x14ac:dyDescent="0.35"/>
    <row r="260" s="19" customFormat="1" x14ac:dyDescent="0.35"/>
    <row r="261" s="19" customFormat="1" x14ac:dyDescent="0.35"/>
    <row r="262" s="19" customFormat="1" x14ac:dyDescent="0.35"/>
    <row r="263" s="19" customFormat="1" x14ac:dyDescent="0.35"/>
    <row r="264" s="19" customFormat="1" x14ac:dyDescent="0.35"/>
    <row r="265" s="19" customFormat="1" x14ac:dyDescent="0.35"/>
    <row r="266" s="19" customFormat="1" x14ac:dyDescent="0.35"/>
    <row r="267" s="19" customFormat="1" x14ac:dyDescent="0.35"/>
    <row r="268" s="19" customFormat="1" x14ac:dyDescent="0.35"/>
    <row r="269" s="19" customFormat="1" x14ac:dyDescent="0.35"/>
    <row r="270" s="19" customFormat="1" x14ac:dyDescent="0.35"/>
    <row r="271" s="19" customFormat="1" x14ac:dyDescent="0.35"/>
    <row r="272" s="19" customFormat="1" x14ac:dyDescent="0.35"/>
    <row r="273" s="19" customFormat="1" x14ac:dyDescent="0.35"/>
    <row r="274" s="19" customFormat="1" x14ac:dyDescent="0.35"/>
    <row r="275" s="19" customFormat="1" x14ac:dyDescent="0.35"/>
    <row r="276" s="19" customFormat="1" x14ac:dyDescent="0.35"/>
    <row r="277" s="19" customFormat="1" x14ac:dyDescent="0.35"/>
    <row r="278" s="19" customFormat="1" x14ac:dyDescent="0.35"/>
    <row r="279" s="19" customFormat="1" x14ac:dyDescent="0.35"/>
    <row r="280" s="19" customFormat="1" x14ac:dyDescent="0.35"/>
    <row r="281" s="19" customFormat="1" x14ac:dyDescent="0.35"/>
    <row r="282" s="19" customFormat="1" x14ac:dyDescent="0.35"/>
    <row r="283" s="19" customFormat="1" x14ac:dyDescent="0.35"/>
    <row r="284" s="19" customFormat="1" x14ac:dyDescent="0.35"/>
    <row r="285" s="19" customFormat="1" x14ac:dyDescent="0.35"/>
    <row r="286" s="19" customFormat="1" x14ac:dyDescent="0.35"/>
    <row r="287" s="19" customFormat="1" x14ac:dyDescent="0.35"/>
    <row r="288" s="19" customFormat="1" x14ac:dyDescent="0.35"/>
    <row r="289" s="19" customFormat="1" x14ac:dyDescent="0.35"/>
    <row r="290" s="19" customFormat="1" x14ac:dyDescent="0.35"/>
    <row r="291" s="19" customFormat="1" x14ac:dyDescent="0.35"/>
    <row r="292" s="19" customFormat="1" x14ac:dyDescent="0.35"/>
    <row r="293" s="19" customFormat="1" x14ac:dyDescent="0.35"/>
    <row r="294" s="19" customFormat="1" x14ac:dyDescent="0.35"/>
    <row r="295" s="19" customFormat="1" x14ac:dyDescent="0.35"/>
    <row r="296" s="19" customFormat="1" x14ac:dyDescent="0.35"/>
    <row r="297" s="19" customFormat="1" x14ac:dyDescent="0.35"/>
    <row r="298" s="19" customFormat="1" x14ac:dyDescent="0.35"/>
    <row r="299" s="19" customFormat="1" x14ac:dyDescent="0.35"/>
    <row r="300" s="19" customFormat="1" x14ac:dyDescent="0.35"/>
    <row r="301" s="19" customFormat="1" x14ac:dyDescent="0.35"/>
    <row r="302" s="19" customFormat="1" x14ac:dyDescent="0.35"/>
    <row r="303" s="19" customFormat="1" x14ac:dyDescent="0.35"/>
    <row r="304" s="19" customFormat="1" x14ac:dyDescent="0.35"/>
    <row r="305" s="19" customFormat="1" x14ac:dyDescent="0.35"/>
    <row r="306" s="19" customFormat="1" x14ac:dyDescent="0.35"/>
    <row r="307" s="19" customFormat="1" x14ac:dyDescent="0.35"/>
    <row r="308" s="19" customFormat="1" x14ac:dyDescent="0.35"/>
    <row r="309" s="19" customFormat="1" x14ac:dyDescent="0.35"/>
    <row r="310" s="19" customFormat="1" x14ac:dyDescent="0.35"/>
    <row r="311" s="19" customFormat="1" x14ac:dyDescent="0.35"/>
    <row r="312" s="19" customFormat="1" x14ac:dyDescent="0.35"/>
    <row r="313" s="19" customFormat="1" x14ac:dyDescent="0.35"/>
    <row r="314" s="19" customFormat="1" x14ac:dyDescent="0.35"/>
    <row r="315" s="19" customFormat="1" x14ac:dyDescent="0.35"/>
    <row r="316" s="19" customFormat="1" x14ac:dyDescent="0.35"/>
    <row r="317" s="19" customFormat="1" x14ac:dyDescent="0.35"/>
    <row r="318" s="19" customFormat="1" x14ac:dyDescent="0.35"/>
    <row r="319" s="19" customFormat="1" x14ac:dyDescent="0.35"/>
    <row r="320" s="19" customFormat="1" x14ac:dyDescent="0.35"/>
    <row r="321" s="19" customFormat="1" x14ac:dyDescent="0.35"/>
    <row r="322" s="19" customFormat="1" x14ac:dyDescent="0.35"/>
    <row r="323" s="19" customFormat="1" x14ac:dyDescent="0.35"/>
    <row r="324" s="19" customFormat="1" x14ac:dyDescent="0.35"/>
    <row r="325" s="19" customFormat="1" x14ac:dyDescent="0.35"/>
    <row r="326" s="19" customFormat="1" x14ac:dyDescent="0.35"/>
    <row r="327" s="19" customFormat="1" x14ac:dyDescent="0.35"/>
    <row r="328" s="19" customFormat="1" x14ac:dyDescent="0.35"/>
    <row r="329" s="19" customFormat="1" x14ac:dyDescent="0.35"/>
    <row r="330" s="19" customFormat="1" x14ac:dyDescent="0.35"/>
    <row r="331" s="19" customFormat="1" x14ac:dyDescent="0.35"/>
    <row r="332" s="19" customFormat="1" x14ac:dyDescent="0.35"/>
    <row r="333" s="19" customFormat="1" x14ac:dyDescent="0.35"/>
    <row r="334" s="19" customFormat="1" x14ac:dyDescent="0.35"/>
    <row r="335" s="19" customFormat="1" x14ac:dyDescent="0.35"/>
    <row r="336" s="19" customFormat="1" x14ac:dyDescent="0.35"/>
    <row r="337" s="19" customFormat="1" x14ac:dyDescent="0.35"/>
    <row r="338" s="19" customFormat="1" x14ac:dyDescent="0.35"/>
    <row r="339" s="19" customFormat="1" x14ac:dyDescent="0.35"/>
    <row r="340" s="19" customFormat="1" x14ac:dyDescent="0.35"/>
    <row r="341" s="19" customFormat="1" x14ac:dyDescent="0.35"/>
    <row r="342" s="19" customFormat="1" x14ac:dyDescent="0.35"/>
    <row r="343" s="19" customFormat="1" x14ac:dyDescent="0.35"/>
    <row r="344" s="19" customFormat="1" x14ac:dyDescent="0.35"/>
    <row r="345" s="19" customFormat="1" x14ac:dyDescent="0.35"/>
    <row r="346" s="19" customFormat="1" x14ac:dyDescent="0.35"/>
    <row r="347" s="19" customFormat="1" x14ac:dyDescent="0.35"/>
    <row r="348" s="19" customFormat="1" x14ac:dyDescent="0.35"/>
    <row r="349" s="19" customFormat="1" x14ac:dyDescent="0.35"/>
    <row r="350" s="19" customFormat="1" x14ac:dyDescent="0.35"/>
    <row r="351" s="19" customFormat="1" x14ac:dyDescent="0.35"/>
    <row r="352" s="19" customFormat="1" x14ac:dyDescent="0.35"/>
    <row r="353" s="19" customFormat="1" x14ac:dyDescent="0.35"/>
    <row r="354" s="19" customFormat="1" x14ac:dyDescent="0.35"/>
    <row r="355" s="19" customFormat="1" x14ac:dyDescent="0.35"/>
    <row r="356" s="19" customFormat="1" x14ac:dyDescent="0.35"/>
    <row r="357" s="19" customFormat="1" x14ac:dyDescent="0.35"/>
    <row r="358" s="19" customFormat="1" x14ac:dyDescent="0.35"/>
    <row r="359" s="19" customFormat="1" x14ac:dyDescent="0.35"/>
    <row r="360" s="19" customFormat="1" x14ac:dyDescent="0.35"/>
    <row r="361" s="19" customFormat="1" x14ac:dyDescent="0.35"/>
    <row r="362" s="19" customFormat="1" x14ac:dyDescent="0.35"/>
    <row r="363" s="19" customFormat="1" x14ac:dyDescent="0.35"/>
    <row r="364" s="19" customFormat="1" x14ac:dyDescent="0.35"/>
    <row r="365" s="19" customFormat="1" x14ac:dyDescent="0.35"/>
    <row r="366" s="19" customFormat="1" x14ac:dyDescent="0.35"/>
    <row r="367" s="19" customFormat="1" x14ac:dyDescent="0.35"/>
    <row r="368" s="19" customFormat="1" x14ac:dyDescent="0.35"/>
    <row r="369" s="19" customFormat="1" x14ac:dyDescent="0.35"/>
    <row r="370" s="19" customFormat="1" x14ac:dyDescent="0.35"/>
    <row r="371" s="19" customFormat="1" x14ac:dyDescent="0.35"/>
    <row r="372" s="19" customFormat="1" x14ac:dyDescent="0.35"/>
    <row r="373" s="19" customFormat="1" x14ac:dyDescent="0.35"/>
    <row r="374" s="19" customFormat="1" x14ac:dyDescent="0.35"/>
    <row r="375" s="19" customFormat="1" x14ac:dyDescent="0.35"/>
    <row r="376" s="19" customFormat="1" x14ac:dyDescent="0.35"/>
    <row r="377" s="19" customFormat="1" x14ac:dyDescent="0.35"/>
    <row r="378" s="19" customFormat="1" x14ac:dyDescent="0.35"/>
    <row r="379" s="19" customFormat="1" x14ac:dyDescent="0.35"/>
    <row r="380" s="19" customFormat="1" x14ac:dyDescent="0.35"/>
    <row r="381" s="19" customFormat="1" x14ac:dyDescent="0.35"/>
    <row r="382" s="19" customFormat="1" x14ac:dyDescent="0.35"/>
    <row r="383" s="19" customFormat="1" x14ac:dyDescent="0.35"/>
    <row r="384" s="19" customFormat="1" x14ac:dyDescent="0.35"/>
    <row r="385" s="19" customFormat="1" x14ac:dyDescent="0.35"/>
    <row r="386" s="19" customFormat="1" x14ac:dyDescent="0.35"/>
    <row r="387" s="19" customFormat="1" x14ac:dyDescent="0.35"/>
    <row r="388" s="19" customFormat="1" x14ac:dyDescent="0.35"/>
    <row r="389" s="19" customFormat="1" x14ac:dyDescent="0.35"/>
    <row r="390" s="19" customFormat="1" x14ac:dyDescent="0.35"/>
    <row r="391" s="19" customFormat="1" x14ac:dyDescent="0.35"/>
    <row r="392" s="19" customFormat="1" x14ac:dyDescent="0.35"/>
    <row r="393" s="19" customFormat="1" x14ac:dyDescent="0.35"/>
    <row r="394" s="19" customFormat="1" x14ac:dyDescent="0.35"/>
    <row r="395" s="19" customFormat="1" x14ac:dyDescent="0.35"/>
    <row r="396" s="19" customFormat="1" x14ac:dyDescent="0.35"/>
    <row r="397" s="19" customFormat="1" x14ac:dyDescent="0.35"/>
    <row r="398" s="19" customFormat="1" x14ac:dyDescent="0.35"/>
    <row r="399" s="19" customFormat="1" x14ac:dyDescent="0.35"/>
    <row r="400" s="19" customFormat="1" x14ac:dyDescent="0.35"/>
    <row r="401" s="19" customFormat="1" x14ac:dyDescent="0.35"/>
    <row r="402" s="19" customFormat="1" x14ac:dyDescent="0.35"/>
    <row r="403" s="19" customFormat="1" x14ac:dyDescent="0.35"/>
    <row r="404" s="19" customFormat="1" x14ac:dyDescent="0.35"/>
    <row r="405" s="19" customFormat="1" x14ac:dyDescent="0.35"/>
    <row r="406" s="19" customFormat="1" x14ac:dyDescent="0.35"/>
    <row r="407" s="19" customFormat="1" x14ac:dyDescent="0.35"/>
    <row r="408" s="19" customFormat="1" x14ac:dyDescent="0.35"/>
    <row r="409" s="19" customFormat="1" x14ac:dyDescent="0.35"/>
    <row r="410" s="19" customFormat="1" x14ac:dyDescent="0.35"/>
    <row r="411" s="19" customFormat="1" x14ac:dyDescent="0.35"/>
    <row r="412" s="19" customFormat="1" x14ac:dyDescent="0.35"/>
    <row r="413" s="19" customFormat="1" x14ac:dyDescent="0.35"/>
    <row r="414" s="19" customFormat="1" x14ac:dyDescent="0.35"/>
    <row r="415" s="19" customFormat="1" x14ac:dyDescent="0.35"/>
    <row r="416" s="19" customFormat="1" x14ac:dyDescent="0.35"/>
    <row r="417" s="19" customFormat="1" x14ac:dyDescent="0.35"/>
    <row r="418" s="19" customFormat="1" x14ac:dyDescent="0.35"/>
    <row r="419" s="19" customFormat="1" x14ac:dyDescent="0.35"/>
    <row r="420" s="19" customFormat="1" x14ac:dyDescent="0.35"/>
    <row r="421" s="19" customFormat="1" x14ac:dyDescent="0.35"/>
    <row r="422" s="19" customFormat="1" x14ac:dyDescent="0.35"/>
    <row r="423" s="19" customFormat="1" x14ac:dyDescent="0.35"/>
    <row r="424" s="19" customFormat="1" x14ac:dyDescent="0.35"/>
    <row r="425" s="19" customFormat="1" x14ac:dyDescent="0.35"/>
    <row r="426" s="19" customFormat="1" x14ac:dyDescent="0.35"/>
    <row r="427" s="19" customFormat="1" x14ac:dyDescent="0.35"/>
    <row r="428" s="19" customFormat="1" x14ac:dyDescent="0.35"/>
    <row r="429" s="19" customFormat="1" x14ac:dyDescent="0.35"/>
    <row r="430" s="19" customFormat="1" x14ac:dyDescent="0.35"/>
    <row r="431" s="19" customFormat="1" x14ac:dyDescent="0.35"/>
    <row r="432" s="19" customFormat="1" x14ac:dyDescent="0.35"/>
    <row r="433" s="19" customFormat="1" x14ac:dyDescent="0.35"/>
    <row r="434" s="19" customFormat="1" x14ac:dyDescent="0.35"/>
    <row r="435" s="19" customFormat="1" x14ac:dyDescent="0.35"/>
    <row r="436" s="19" customFormat="1" x14ac:dyDescent="0.35"/>
    <row r="437" s="19" customFormat="1" x14ac:dyDescent="0.35"/>
    <row r="438" s="19" customFormat="1" x14ac:dyDescent="0.35"/>
    <row r="439" s="19" customFormat="1" x14ac:dyDescent="0.35"/>
    <row r="440" s="19" customFormat="1" x14ac:dyDescent="0.35"/>
    <row r="441" s="19" customFormat="1" x14ac:dyDescent="0.35"/>
    <row r="442" s="19" customFormat="1" x14ac:dyDescent="0.35"/>
    <row r="443" s="19" customFormat="1" x14ac:dyDescent="0.35"/>
    <row r="444" s="19" customFormat="1" x14ac:dyDescent="0.35"/>
    <row r="445" s="19" customFormat="1" x14ac:dyDescent="0.35"/>
    <row r="446" s="19" customFormat="1" x14ac:dyDescent="0.35"/>
    <row r="447" s="19" customFormat="1" x14ac:dyDescent="0.35"/>
    <row r="448" s="19" customFormat="1" x14ac:dyDescent="0.35"/>
    <row r="449" s="19" customFormat="1" x14ac:dyDescent="0.35"/>
    <row r="450" s="19" customFormat="1" x14ac:dyDescent="0.35"/>
    <row r="451" s="19" customFormat="1" x14ac:dyDescent="0.35"/>
    <row r="452" s="19" customFormat="1" x14ac:dyDescent="0.35"/>
    <row r="453" s="19" customFormat="1" x14ac:dyDescent="0.35"/>
    <row r="454" s="19" customFormat="1" x14ac:dyDescent="0.35"/>
    <row r="455" s="19" customFormat="1" x14ac:dyDescent="0.35"/>
    <row r="456" s="19" customFormat="1" x14ac:dyDescent="0.35"/>
    <row r="457" s="19" customFormat="1" x14ac:dyDescent="0.35"/>
    <row r="458" s="19" customFormat="1" x14ac:dyDescent="0.35"/>
    <row r="459" s="19" customFormat="1" x14ac:dyDescent="0.35"/>
    <row r="460" s="19" customFormat="1" x14ac:dyDescent="0.35"/>
    <row r="461" s="19" customFormat="1" x14ac:dyDescent="0.35"/>
    <row r="462" s="19" customFormat="1" x14ac:dyDescent="0.35"/>
    <row r="463" s="19" customFormat="1" x14ac:dyDescent="0.35"/>
    <row r="464" s="19" customFormat="1" x14ac:dyDescent="0.35"/>
    <row r="465" s="19" customFormat="1" x14ac:dyDescent="0.35"/>
    <row r="466" s="19" customFormat="1" x14ac:dyDescent="0.35"/>
    <row r="467" s="19" customFormat="1" x14ac:dyDescent="0.35"/>
    <row r="468" s="19" customFormat="1" x14ac:dyDescent="0.35"/>
    <row r="469" s="19" customFormat="1" x14ac:dyDescent="0.35"/>
    <row r="470" s="19" customFormat="1" x14ac:dyDescent="0.35"/>
    <row r="471" s="19" customFormat="1" x14ac:dyDescent="0.35"/>
    <row r="472" s="19" customFormat="1" x14ac:dyDescent="0.35"/>
    <row r="473" s="19" customFormat="1" x14ac:dyDescent="0.35"/>
    <row r="474" s="19" customFormat="1" x14ac:dyDescent="0.35"/>
    <row r="475" s="19" customFormat="1" x14ac:dyDescent="0.35"/>
    <row r="476" s="19" customFormat="1" x14ac:dyDescent="0.35"/>
    <row r="477" s="19" customFormat="1" x14ac:dyDescent="0.35"/>
    <row r="478" s="19" customFormat="1" x14ac:dyDescent="0.35"/>
    <row r="479" s="19" customFormat="1" x14ac:dyDescent="0.35"/>
    <row r="480" s="19" customFormat="1" x14ac:dyDescent="0.35"/>
    <row r="481" s="19" customFormat="1" x14ac:dyDescent="0.35"/>
    <row r="482" s="19" customFormat="1" x14ac:dyDescent="0.35"/>
    <row r="483" s="19" customFormat="1" x14ac:dyDescent="0.35"/>
    <row r="484" s="19" customFormat="1" x14ac:dyDescent="0.35"/>
    <row r="485" s="19" customFormat="1" x14ac:dyDescent="0.35"/>
    <row r="486" s="19" customFormat="1" x14ac:dyDescent="0.35"/>
    <row r="487" s="19" customFormat="1" x14ac:dyDescent="0.35"/>
    <row r="488" s="19" customFormat="1" x14ac:dyDescent="0.35"/>
    <row r="489" s="19" customFormat="1" x14ac:dyDescent="0.35"/>
    <row r="490" s="19" customFormat="1" x14ac:dyDescent="0.35"/>
    <row r="491" s="19" customFormat="1" x14ac:dyDescent="0.35"/>
    <row r="492" s="19" customFormat="1" x14ac:dyDescent="0.35"/>
    <row r="493" s="19" customFormat="1" x14ac:dyDescent="0.35"/>
    <row r="494" s="19" customFormat="1" x14ac:dyDescent="0.35"/>
    <row r="495" s="19" customFormat="1" x14ac:dyDescent="0.35"/>
    <row r="496" s="19" customFormat="1" x14ac:dyDescent="0.35"/>
    <row r="497" s="19" customFormat="1" x14ac:dyDescent="0.35"/>
    <row r="498" s="19" customFormat="1" x14ac:dyDescent="0.35"/>
    <row r="499" s="19" customFormat="1" x14ac:dyDescent="0.35"/>
    <row r="500" s="19" customFormat="1" x14ac:dyDescent="0.35"/>
    <row r="501" s="19" customFormat="1" x14ac:dyDescent="0.35"/>
    <row r="502" s="19" customFormat="1" x14ac:dyDescent="0.35"/>
    <row r="503" s="19" customFormat="1" x14ac:dyDescent="0.35"/>
    <row r="504" s="19" customFormat="1" x14ac:dyDescent="0.35"/>
    <row r="505" s="19" customFormat="1" x14ac:dyDescent="0.35"/>
    <row r="506" s="19" customFormat="1" x14ac:dyDescent="0.35"/>
    <row r="507" s="19" customFormat="1" x14ac:dyDescent="0.35"/>
    <row r="508" s="19" customFormat="1" x14ac:dyDescent="0.35"/>
    <row r="509" s="19" customFormat="1" x14ac:dyDescent="0.35"/>
    <row r="510" s="19" customFormat="1" x14ac:dyDescent="0.35"/>
    <row r="511" s="19" customFormat="1" x14ac:dyDescent="0.35"/>
    <row r="512" s="19" customFormat="1" x14ac:dyDescent="0.35"/>
    <row r="513" s="19" customFormat="1" x14ac:dyDescent="0.35"/>
    <row r="514" s="19" customFormat="1" x14ac:dyDescent="0.35"/>
    <row r="515" s="19" customFormat="1" x14ac:dyDescent="0.35"/>
    <row r="516" s="19" customFormat="1" x14ac:dyDescent="0.35"/>
    <row r="517" s="19" customFormat="1" x14ac:dyDescent="0.35"/>
    <row r="518" s="19" customFormat="1" x14ac:dyDescent="0.35"/>
    <row r="519" s="19" customFormat="1" x14ac:dyDescent="0.35"/>
    <row r="520" s="19" customFormat="1" x14ac:dyDescent="0.35"/>
    <row r="521" s="19" customFormat="1" x14ac:dyDescent="0.35"/>
    <row r="522" s="19" customFormat="1" x14ac:dyDescent="0.35"/>
    <row r="523" s="19" customFormat="1" x14ac:dyDescent="0.35"/>
    <row r="524" s="19" customFormat="1" x14ac:dyDescent="0.35"/>
    <row r="525" s="19" customFormat="1" x14ac:dyDescent="0.35"/>
    <row r="526" s="19" customFormat="1" x14ac:dyDescent="0.35"/>
    <row r="527" s="19" customFormat="1" x14ac:dyDescent="0.35"/>
    <row r="528" s="19" customFormat="1" x14ac:dyDescent="0.35"/>
    <row r="529" s="19" customFormat="1" x14ac:dyDescent="0.35"/>
    <row r="530" s="19" customFormat="1" x14ac:dyDescent="0.35"/>
    <row r="531" s="19" customFormat="1" x14ac:dyDescent="0.35"/>
    <row r="532" s="19" customFormat="1" x14ac:dyDescent="0.35"/>
    <row r="533" s="19" customFormat="1" x14ac:dyDescent="0.35"/>
    <row r="534" s="19" customFormat="1" x14ac:dyDescent="0.35"/>
    <row r="535" s="19" customFormat="1" x14ac:dyDescent="0.35"/>
    <row r="536" s="19" customFormat="1" x14ac:dyDescent="0.35"/>
    <row r="537" s="19" customFormat="1" x14ac:dyDescent="0.35"/>
    <row r="538" s="19" customFormat="1" x14ac:dyDescent="0.35"/>
    <row r="539" s="19" customFormat="1" x14ac:dyDescent="0.35"/>
    <row r="540" s="19" customFormat="1" x14ac:dyDescent="0.35"/>
    <row r="541" s="19" customFormat="1" x14ac:dyDescent="0.35"/>
    <row r="542" s="19" customFormat="1" x14ac:dyDescent="0.35"/>
    <row r="543" s="19" customFormat="1" x14ac:dyDescent="0.35"/>
    <row r="544" s="19" customFormat="1" x14ac:dyDescent="0.35"/>
    <row r="545" s="19" customFormat="1" x14ac:dyDescent="0.35"/>
    <row r="546" s="19" customFormat="1" x14ac:dyDescent="0.35"/>
    <row r="547" s="19" customFormat="1" x14ac:dyDescent="0.35"/>
    <row r="548" s="19" customFormat="1" x14ac:dyDescent="0.35"/>
    <row r="549" s="19" customFormat="1" x14ac:dyDescent="0.35"/>
    <row r="550" s="19" customFormat="1" x14ac:dyDescent="0.35"/>
    <row r="551" s="19" customFormat="1" x14ac:dyDescent="0.35"/>
    <row r="552" s="19" customFormat="1" x14ac:dyDescent="0.35"/>
    <row r="553" s="19" customFormat="1" x14ac:dyDescent="0.35"/>
    <row r="554" s="19" customFormat="1" x14ac:dyDescent="0.35"/>
    <row r="555" s="19" customFormat="1" x14ac:dyDescent="0.35"/>
    <row r="556" s="19" customFormat="1" x14ac:dyDescent="0.35"/>
    <row r="557" s="19" customFormat="1" x14ac:dyDescent="0.35"/>
    <row r="558" s="19" customFormat="1" x14ac:dyDescent="0.35"/>
    <row r="559" s="19" customFormat="1" x14ac:dyDescent="0.35"/>
    <row r="560" s="19" customFormat="1" x14ac:dyDescent="0.35"/>
    <row r="561" s="19" customFormat="1" x14ac:dyDescent="0.35"/>
    <row r="562" s="19" customFormat="1" x14ac:dyDescent="0.35"/>
    <row r="563" s="19" customFormat="1" x14ac:dyDescent="0.35"/>
    <row r="564" s="19" customFormat="1" x14ac:dyDescent="0.35"/>
    <row r="565" s="19" customFormat="1" x14ac:dyDescent="0.35"/>
    <row r="566" s="19" customFormat="1" x14ac:dyDescent="0.35"/>
    <row r="567" s="19" customFormat="1" x14ac:dyDescent="0.35"/>
    <row r="568" s="19" customFormat="1" x14ac:dyDescent="0.35"/>
    <row r="569" s="19" customFormat="1" x14ac:dyDescent="0.35"/>
    <row r="570" s="19" customFormat="1" x14ac:dyDescent="0.35"/>
    <row r="571" s="19" customFormat="1" x14ac:dyDescent="0.35"/>
    <row r="572" s="19" customFormat="1" x14ac:dyDescent="0.35"/>
    <row r="573" s="19" customFormat="1" x14ac:dyDescent="0.35"/>
    <row r="574" s="19" customFormat="1" x14ac:dyDescent="0.35"/>
    <row r="575" s="19" customFormat="1" x14ac:dyDescent="0.35"/>
    <row r="576" s="19" customFormat="1" x14ac:dyDescent="0.35"/>
    <row r="577" s="19" customFormat="1" x14ac:dyDescent="0.35"/>
    <row r="578" s="19" customFormat="1" x14ac:dyDescent="0.35"/>
    <row r="579" s="19" customFormat="1" x14ac:dyDescent="0.35"/>
    <row r="580" s="19" customFormat="1" x14ac:dyDescent="0.35"/>
    <row r="581" s="19" customFormat="1" x14ac:dyDescent="0.35"/>
    <row r="582" s="19" customFormat="1" x14ac:dyDescent="0.35"/>
    <row r="583" s="19" customFormat="1" x14ac:dyDescent="0.35"/>
    <row r="584" s="19" customFormat="1" x14ac:dyDescent="0.35"/>
    <row r="585" s="19" customFormat="1" x14ac:dyDescent="0.35"/>
    <row r="586" s="19" customFormat="1" x14ac:dyDescent="0.35"/>
    <row r="587" s="19" customFormat="1" x14ac:dyDescent="0.35"/>
    <row r="588" s="19" customFormat="1" x14ac:dyDescent="0.35"/>
    <row r="589" s="19" customFormat="1" x14ac:dyDescent="0.35"/>
    <row r="590" s="19" customFormat="1" x14ac:dyDescent="0.35"/>
    <row r="591" s="19" customFormat="1" x14ac:dyDescent="0.35"/>
    <row r="592" s="19" customFormat="1" x14ac:dyDescent="0.35"/>
    <row r="593" s="19" customFormat="1" x14ac:dyDescent="0.35"/>
    <row r="594" s="19" customFormat="1" x14ac:dyDescent="0.35"/>
    <row r="595" s="19" customFormat="1" x14ac:dyDescent="0.35"/>
    <row r="596" s="19" customFormat="1" x14ac:dyDescent="0.35"/>
    <row r="597" s="19" customFormat="1" x14ac:dyDescent="0.35"/>
    <row r="598" s="19" customFormat="1" x14ac:dyDescent="0.35"/>
    <row r="599" s="19" customFormat="1" x14ac:dyDescent="0.35"/>
    <row r="600" s="19" customFormat="1" x14ac:dyDescent="0.35"/>
    <row r="601" s="19" customFormat="1" x14ac:dyDescent="0.35"/>
    <row r="602" s="19" customFormat="1" x14ac:dyDescent="0.35"/>
    <row r="603" s="19" customFormat="1" x14ac:dyDescent="0.35"/>
    <row r="604" s="19" customFormat="1" x14ac:dyDescent="0.35"/>
    <row r="605" s="19" customFormat="1" x14ac:dyDescent="0.35"/>
    <row r="606" s="19" customFormat="1" x14ac:dyDescent="0.35"/>
    <row r="607" s="19" customFormat="1" x14ac:dyDescent="0.35"/>
    <row r="608" s="19" customFormat="1" x14ac:dyDescent="0.35"/>
    <row r="609" s="19" customFormat="1" x14ac:dyDescent="0.35"/>
    <row r="610" s="19" customFormat="1" x14ac:dyDescent="0.35"/>
    <row r="611" s="19" customFormat="1" x14ac:dyDescent="0.35"/>
    <row r="612" s="19" customFormat="1" x14ac:dyDescent="0.35"/>
    <row r="613" s="19" customFormat="1" x14ac:dyDescent="0.35"/>
    <row r="614" s="19" customFormat="1" x14ac:dyDescent="0.35"/>
    <row r="615" s="19" customFormat="1" x14ac:dyDescent="0.35"/>
    <row r="616" s="19" customFormat="1" x14ac:dyDescent="0.35"/>
    <row r="617" s="19" customFormat="1" x14ac:dyDescent="0.35"/>
    <row r="618" s="19" customFormat="1" x14ac:dyDescent="0.35"/>
    <row r="619" s="19" customFormat="1" x14ac:dyDescent="0.35"/>
    <row r="620" s="19" customFormat="1" x14ac:dyDescent="0.35"/>
    <row r="621" s="19" customFormat="1" x14ac:dyDescent="0.35"/>
    <row r="622" s="19" customFormat="1" x14ac:dyDescent="0.35"/>
    <row r="623" s="19" customFormat="1" x14ac:dyDescent="0.35"/>
    <row r="624" s="19" customFormat="1" x14ac:dyDescent="0.35"/>
    <row r="625" s="19" customFormat="1" x14ac:dyDescent="0.35"/>
    <row r="626" s="19" customFormat="1" x14ac:dyDescent="0.35"/>
    <row r="627" s="19" customFormat="1" x14ac:dyDescent="0.35"/>
    <row r="628" s="19" customFormat="1" x14ac:dyDescent="0.35"/>
    <row r="629" s="19" customFormat="1" x14ac:dyDescent="0.35"/>
    <row r="630" s="19" customFormat="1" x14ac:dyDescent="0.35"/>
    <row r="631" s="19" customFormat="1" x14ac:dyDescent="0.35"/>
    <row r="632" s="19" customFormat="1" x14ac:dyDescent="0.35"/>
    <row r="633" s="19" customFormat="1" x14ac:dyDescent="0.35"/>
    <row r="634" s="19" customFormat="1" x14ac:dyDescent="0.35"/>
    <row r="635" s="19" customFormat="1" x14ac:dyDescent="0.35"/>
    <row r="636" s="19" customFormat="1" x14ac:dyDescent="0.35"/>
    <row r="637" s="19" customFormat="1" x14ac:dyDescent="0.35"/>
    <row r="638" s="19" customFormat="1" x14ac:dyDescent="0.35"/>
    <row r="639" s="19" customFormat="1" x14ac:dyDescent="0.35"/>
    <row r="640" s="19" customFormat="1" x14ac:dyDescent="0.35"/>
    <row r="641" s="19" customFormat="1" x14ac:dyDescent="0.35"/>
    <row r="642" s="19" customFormat="1" x14ac:dyDescent="0.35"/>
    <row r="643" s="19" customFormat="1" x14ac:dyDescent="0.35"/>
    <row r="644" s="19" customFormat="1" x14ac:dyDescent="0.35"/>
    <row r="645" s="19" customFormat="1" x14ac:dyDescent="0.35"/>
    <row r="646" s="19" customFormat="1" x14ac:dyDescent="0.35"/>
    <row r="647" s="19" customFormat="1" x14ac:dyDescent="0.35"/>
    <row r="648" s="19" customFormat="1" x14ac:dyDescent="0.35"/>
    <row r="649" s="19" customFormat="1" x14ac:dyDescent="0.35"/>
    <row r="650" s="19" customFormat="1" x14ac:dyDescent="0.35"/>
    <row r="651" s="19" customFormat="1" x14ac:dyDescent="0.35"/>
    <row r="652" s="19" customFormat="1" x14ac:dyDescent="0.35"/>
    <row r="653" s="19" customFormat="1" x14ac:dyDescent="0.35"/>
    <row r="654" s="19" customFormat="1" x14ac:dyDescent="0.35"/>
    <row r="655" s="19" customFormat="1" x14ac:dyDescent="0.35"/>
    <row r="656" s="19" customFormat="1" x14ac:dyDescent="0.35"/>
    <row r="657" s="19" customFormat="1" x14ac:dyDescent="0.35"/>
    <row r="658" s="19" customFormat="1" x14ac:dyDescent="0.35"/>
    <row r="659" s="19" customFormat="1" x14ac:dyDescent="0.35"/>
    <row r="660" s="19" customFormat="1" x14ac:dyDescent="0.35"/>
    <row r="661" s="19" customFormat="1" x14ac:dyDescent="0.35"/>
    <row r="662" s="19" customFormat="1" x14ac:dyDescent="0.35"/>
    <row r="663" s="19" customFormat="1" x14ac:dyDescent="0.35"/>
    <row r="664" s="19" customFormat="1" x14ac:dyDescent="0.35"/>
    <row r="665" s="19" customFormat="1" x14ac:dyDescent="0.35"/>
    <row r="666" s="19" customFormat="1" x14ac:dyDescent="0.35"/>
    <row r="667" s="19" customFormat="1" x14ac:dyDescent="0.35"/>
    <row r="668" s="19" customFormat="1" x14ac:dyDescent="0.35"/>
    <row r="669" s="19" customFormat="1" x14ac:dyDescent="0.35"/>
    <row r="670" s="19" customFormat="1" x14ac:dyDescent="0.35"/>
    <row r="671" s="19" customFormat="1" x14ac:dyDescent="0.35"/>
    <row r="672" s="19" customFormat="1" x14ac:dyDescent="0.35"/>
    <row r="673" s="19" customFormat="1" x14ac:dyDescent="0.35"/>
    <row r="674" s="19" customFormat="1" x14ac:dyDescent="0.35"/>
    <row r="675" s="19" customFormat="1" x14ac:dyDescent="0.35"/>
    <row r="676" s="19" customFormat="1" x14ac:dyDescent="0.35"/>
    <row r="677" s="19" customFormat="1" x14ac:dyDescent="0.35"/>
    <row r="678" s="19" customFormat="1" x14ac:dyDescent="0.35"/>
    <row r="679" s="19" customFormat="1" x14ac:dyDescent="0.35"/>
    <row r="680" s="19" customFormat="1" x14ac:dyDescent="0.35"/>
    <row r="681" s="19" customFormat="1" x14ac:dyDescent="0.35"/>
    <row r="682" s="19" customFormat="1" x14ac:dyDescent="0.35"/>
    <row r="683" s="19" customFormat="1" x14ac:dyDescent="0.35"/>
    <row r="684" s="19" customFormat="1" x14ac:dyDescent="0.35"/>
    <row r="685" s="19" customFormat="1" x14ac:dyDescent="0.35"/>
    <row r="686" s="19" customFormat="1" x14ac:dyDescent="0.35"/>
    <row r="687" s="19" customFormat="1" x14ac:dyDescent="0.35"/>
    <row r="688" s="19" customFormat="1" x14ac:dyDescent="0.35"/>
    <row r="689" s="19" customFormat="1" x14ac:dyDescent="0.35"/>
    <row r="690" s="19" customFormat="1" x14ac:dyDescent="0.35"/>
    <row r="691" s="19" customFormat="1" x14ac:dyDescent="0.35"/>
    <row r="692" s="19" customFormat="1" x14ac:dyDescent="0.35"/>
    <row r="693" s="19" customFormat="1" x14ac:dyDescent="0.35"/>
    <row r="694" s="19" customFormat="1" x14ac:dyDescent="0.35"/>
    <row r="695" s="19" customFormat="1" x14ac:dyDescent="0.35"/>
    <row r="696" s="19" customFormat="1" x14ac:dyDescent="0.35"/>
    <row r="697" s="19" customFormat="1" x14ac:dyDescent="0.35"/>
    <row r="698" s="19" customFormat="1" x14ac:dyDescent="0.35"/>
    <row r="699" s="19" customFormat="1" x14ac:dyDescent="0.35"/>
    <row r="700" s="19" customFormat="1" x14ac:dyDescent="0.35"/>
    <row r="701" s="19" customFormat="1" x14ac:dyDescent="0.35"/>
    <row r="702" s="19" customFormat="1" x14ac:dyDescent="0.35"/>
    <row r="703" s="19" customFormat="1" x14ac:dyDescent="0.35"/>
    <row r="704" s="19" customFormat="1" x14ac:dyDescent="0.35"/>
    <row r="705" s="19" customFormat="1" x14ac:dyDescent="0.35"/>
    <row r="706" s="19" customFormat="1" x14ac:dyDescent="0.35"/>
    <row r="707" s="19" customFormat="1" x14ac:dyDescent="0.35"/>
    <row r="708" s="19" customFormat="1" x14ac:dyDescent="0.35"/>
    <row r="709" s="19" customFormat="1" x14ac:dyDescent="0.35"/>
    <row r="710" s="19" customFormat="1" x14ac:dyDescent="0.35"/>
    <row r="711" s="19" customFormat="1" x14ac:dyDescent="0.35"/>
    <row r="712" s="19" customFormat="1" x14ac:dyDescent="0.35"/>
    <row r="713" s="19" customFormat="1" x14ac:dyDescent="0.35"/>
    <row r="714" s="19" customFormat="1" x14ac:dyDescent="0.35"/>
    <row r="715" s="19" customFormat="1" x14ac:dyDescent="0.35"/>
    <row r="716" s="19" customFormat="1" x14ac:dyDescent="0.35"/>
    <row r="717" s="19" customFormat="1" x14ac:dyDescent="0.35"/>
    <row r="718" s="19" customFormat="1" x14ac:dyDescent="0.35"/>
    <row r="719" s="19" customFormat="1" x14ac:dyDescent="0.35"/>
    <row r="720" s="19" customFormat="1" x14ac:dyDescent="0.35"/>
    <row r="721" s="19" customFormat="1" x14ac:dyDescent="0.35"/>
    <row r="722" s="19" customFormat="1" x14ac:dyDescent="0.35"/>
    <row r="723" s="19" customFormat="1" x14ac:dyDescent="0.35"/>
    <row r="724" s="19" customFormat="1" x14ac:dyDescent="0.35"/>
    <row r="725" s="19" customFormat="1" x14ac:dyDescent="0.35"/>
    <row r="726" s="19" customFormat="1" x14ac:dyDescent="0.35"/>
    <row r="727" s="19" customFormat="1" x14ac:dyDescent="0.35"/>
    <row r="728" s="19" customFormat="1" x14ac:dyDescent="0.35"/>
    <row r="729" s="19" customFormat="1" x14ac:dyDescent="0.35"/>
    <row r="730" s="19" customFormat="1" x14ac:dyDescent="0.35"/>
    <row r="731" s="19" customFormat="1" x14ac:dyDescent="0.35"/>
    <row r="732" s="19" customFormat="1" x14ac:dyDescent="0.35"/>
    <row r="733" s="19" customFormat="1" x14ac:dyDescent="0.35"/>
    <row r="734" s="19" customFormat="1" x14ac:dyDescent="0.35"/>
    <row r="735" s="19" customFormat="1" x14ac:dyDescent="0.35"/>
    <row r="736" s="19" customFormat="1" x14ac:dyDescent="0.35"/>
    <row r="737" s="19" customFormat="1" x14ac:dyDescent="0.35"/>
    <row r="738" s="19" customFormat="1" x14ac:dyDescent="0.35"/>
    <row r="739" s="19" customFormat="1" x14ac:dyDescent="0.35"/>
    <row r="740" s="19" customFormat="1" x14ac:dyDescent="0.35"/>
    <row r="741" s="19" customFormat="1" x14ac:dyDescent="0.35"/>
    <row r="742" s="19" customFormat="1" x14ac:dyDescent="0.35"/>
    <row r="743" s="19" customFormat="1" x14ac:dyDescent="0.35"/>
    <row r="744" s="19" customFormat="1" x14ac:dyDescent="0.35"/>
    <row r="745" s="19" customFormat="1" x14ac:dyDescent="0.35"/>
    <row r="746" s="19" customFormat="1" x14ac:dyDescent="0.35"/>
    <row r="747" s="19" customFormat="1" x14ac:dyDescent="0.35"/>
    <row r="748" s="19" customFormat="1" x14ac:dyDescent="0.35"/>
    <row r="749" s="19" customFormat="1" x14ac:dyDescent="0.35"/>
    <row r="750" s="19" customFormat="1" x14ac:dyDescent="0.35"/>
    <row r="751" s="19" customFormat="1" x14ac:dyDescent="0.35"/>
    <row r="752" s="19" customFormat="1" x14ac:dyDescent="0.35"/>
    <row r="753" s="19" customFormat="1" x14ac:dyDescent="0.35"/>
    <row r="754" s="19" customFormat="1" x14ac:dyDescent="0.35"/>
    <row r="755" s="19" customFormat="1" x14ac:dyDescent="0.35"/>
    <row r="756" s="19" customFormat="1" x14ac:dyDescent="0.35"/>
    <row r="757" s="19" customFormat="1" x14ac:dyDescent="0.35"/>
    <row r="758" s="19" customFormat="1" x14ac:dyDescent="0.35"/>
    <row r="759" s="19" customFormat="1" x14ac:dyDescent="0.35"/>
    <row r="760" s="19" customFormat="1" x14ac:dyDescent="0.35"/>
    <row r="761" s="19" customFormat="1" x14ac:dyDescent="0.35"/>
    <row r="762" s="19" customFormat="1" x14ac:dyDescent="0.35"/>
    <row r="763" s="19" customFormat="1" x14ac:dyDescent="0.35"/>
    <row r="764" s="19" customFormat="1" x14ac:dyDescent="0.35"/>
    <row r="765" s="19" customFormat="1" x14ac:dyDescent="0.35"/>
    <row r="766" s="19" customFormat="1" x14ac:dyDescent="0.35"/>
    <row r="767" s="19" customFormat="1" x14ac:dyDescent="0.35"/>
    <row r="768" s="19" customFormat="1" x14ac:dyDescent="0.35"/>
    <row r="769" s="19" customFormat="1" x14ac:dyDescent="0.35"/>
    <row r="770" s="19" customFormat="1" x14ac:dyDescent="0.35"/>
    <row r="771" s="19" customFormat="1" x14ac:dyDescent="0.35"/>
    <row r="772" s="19" customFormat="1" x14ac:dyDescent="0.35"/>
    <row r="773" s="19" customFormat="1" x14ac:dyDescent="0.35"/>
    <row r="774" s="19" customFormat="1" x14ac:dyDescent="0.35"/>
    <row r="775" s="19" customFormat="1" x14ac:dyDescent="0.35"/>
    <row r="776" s="19" customFormat="1" x14ac:dyDescent="0.35"/>
    <row r="777" s="19" customFormat="1" x14ac:dyDescent="0.35"/>
    <row r="778" s="19" customFormat="1" x14ac:dyDescent="0.35"/>
    <row r="779" s="19" customFormat="1" x14ac:dyDescent="0.35"/>
    <row r="780" s="19" customFormat="1" x14ac:dyDescent="0.35"/>
    <row r="781" s="19" customFormat="1" x14ac:dyDescent="0.35"/>
    <row r="782" s="19" customFormat="1" x14ac:dyDescent="0.35"/>
    <row r="783" s="19" customFormat="1" x14ac:dyDescent="0.35"/>
    <row r="784" s="19" customFormat="1" x14ac:dyDescent="0.35"/>
    <row r="785" s="19" customFormat="1" x14ac:dyDescent="0.35"/>
    <row r="786" s="19" customFormat="1" x14ac:dyDescent="0.35"/>
    <row r="787" s="19" customFormat="1" x14ac:dyDescent="0.35"/>
    <row r="788" s="19" customFormat="1" x14ac:dyDescent="0.35"/>
    <row r="789" s="19" customFormat="1" x14ac:dyDescent="0.35"/>
    <row r="790" s="19" customFormat="1" x14ac:dyDescent="0.35"/>
    <row r="791" s="19" customFormat="1" x14ac:dyDescent="0.35"/>
    <row r="792" s="19" customFormat="1" x14ac:dyDescent="0.35"/>
    <row r="793" s="19" customFormat="1" x14ac:dyDescent="0.35"/>
    <row r="794" s="19" customFormat="1" x14ac:dyDescent="0.35"/>
    <row r="795" s="19" customFormat="1" x14ac:dyDescent="0.35"/>
    <row r="796" s="19" customFormat="1" x14ac:dyDescent="0.35"/>
    <row r="797" s="19" customFormat="1" x14ac:dyDescent="0.35"/>
    <row r="798" s="19" customFormat="1" x14ac:dyDescent="0.35"/>
    <row r="799" s="19" customFormat="1" x14ac:dyDescent="0.35"/>
    <row r="800" s="19" customFormat="1" x14ac:dyDescent="0.35"/>
    <row r="801" s="19" customFormat="1" x14ac:dyDescent="0.35"/>
    <row r="802" s="19" customFormat="1" x14ac:dyDescent="0.35"/>
    <row r="803" s="19" customFormat="1" x14ac:dyDescent="0.35"/>
    <row r="804" s="19" customFormat="1" x14ac:dyDescent="0.35"/>
    <row r="805" s="19" customFormat="1" x14ac:dyDescent="0.35"/>
    <row r="806" s="19" customFormat="1" x14ac:dyDescent="0.35"/>
    <row r="807" s="19" customFormat="1" x14ac:dyDescent="0.35"/>
    <row r="808" s="19" customFormat="1" x14ac:dyDescent="0.35"/>
    <row r="809" s="19" customFormat="1" x14ac:dyDescent="0.35"/>
    <row r="810" s="19" customFormat="1" x14ac:dyDescent="0.35"/>
    <row r="811" s="19" customFormat="1" x14ac:dyDescent="0.35"/>
    <row r="812" s="19" customFormat="1" x14ac:dyDescent="0.35"/>
    <row r="813" s="19" customFormat="1" x14ac:dyDescent="0.35"/>
    <row r="814" s="19" customFormat="1" x14ac:dyDescent="0.35"/>
    <row r="815" s="19" customFormat="1" x14ac:dyDescent="0.35"/>
    <row r="816" s="19" customFormat="1" x14ac:dyDescent="0.35"/>
    <row r="817" s="19" customFormat="1" x14ac:dyDescent="0.35"/>
    <row r="818" s="19" customFormat="1" x14ac:dyDescent="0.35"/>
    <row r="819" s="19" customFormat="1" x14ac:dyDescent="0.35"/>
    <row r="820" s="19" customFormat="1" x14ac:dyDescent="0.35"/>
    <row r="821" s="19" customFormat="1" x14ac:dyDescent="0.35"/>
    <row r="822" s="19" customFormat="1" x14ac:dyDescent="0.35"/>
    <row r="823" s="19" customFormat="1" x14ac:dyDescent="0.35"/>
    <row r="824" s="19" customFormat="1" x14ac:dyDescent="0.35"/>
    <row r="825" s="19" customFormat="1" x14ac:dyDescent="0.35"/>
    <row r="826" s="19" customFormat="1" x14ac:dyDescent="0.35"/>
    <row r="827" s="19" customFormat="1" x14ac:dyDescent="0.35"/>
    <row r="828" s="19" customFormat="1" x14ac:dyDescent="0.35"/>
    <row r="829" s="19" customFormat="1" x14ac:dyDescent="0.35"/>
    <row r="830" s="19" customFormat="1" x14ac:dyDescent="0.35"/>
    <row r="831" s="19" customFormat="1" x14ac:dyDescent="0.35"/>
    <row r="832" s="19" customFormat="1" x14ac:dyDescent="0.35"/>
    <row r="833" s="19" customFormat="1" x14ac:dyDescent="0.35"/>
    <row r="834" s="19" customFormat="1" x14ac:dyDescent="0.35"/>
    <row r="835" s="19" customFormat="1" x14ac:dyDescent="0.35"/>
    <row r="836" s="19" customFormat="1" x14ac:dyDescent="0.35"/>
    <row r="837" s="19" customFormat="1" x14ac:dyDescent="0.35"/>
    <row r="838" s="19" customFormat="1" x14ac:dyDescent="0.35"/>
    <row r="839" s="19" customFormat="1" x14ac:dyDescent="0.35"/>
    <row r="840" s="19" customFormat="1" x14ac:dyDescent="0.35"/>
    <row r="841" s="19" customFormat="1" x14ac:dyDescent="0.35"/>
    <row r="842" s="19" customFormat="1" x14ac:dyDescent="0.35"/>
    <row r="843" s="19" customFormat="1" x14ac:dyDescent="0.35"/>
    <row r="844" s="19" customFormat="1" x14ac:dyDescent="0.35"/>
    <row r="845" s="19" customFormat="1" x14ac:dyDescent="0.35"/>
    <row r="846" s="19" customFormat="1" x14ac:dyDescent="0.35"/>
    <row r="847" s="19" customFormat="1" x14ac:dyDescent="0.35"/>
    <row r="848" s="19" customFormat="1" x14ac:dyDescent="0.35"/>
    <row r="849" s="19" customFormat="1" x14ac:dyDescent="0.35"/>
    <row r="850" s="19" customFormat="1" x14ac:dyDescent="0.35"/>
    <row r="851" s="19" customFormat="1" x14ac:dyDescent="0.35"/>
    <row r="852" s="19" customFormat="1" x14ac:dyDescent="0.35"/>
    <row r="853" s="19" customFormat="1" x14ac:dyDescent="0.35"/>
    <row r="854" s="19" customFormat="1" x14ac:dyDescent="0.35"/>
    <row r="855" s="19" customFormat="1" x14ac:dyDescent="0.35"/>
    <row r="856" s="19" customFormat="1" x14ac:dyDescent="0.35"/>
    <row r="857" s="19" customFormat="1" x14ac:dyDescent="0.35"/>
    <row r="858" s="19" customFormat="1" x14ac:dyDescent="0.35"/>
    <row r="859" s="19" customFormat="1" x14ac:dyDescent="0.35"/>
    <row r="860" s="19" customFormat="1" x14ac:dyDescent="0.35"/>
    <row r="861" s="19" customFormat="1" x14ac:dyDescent="0.35"/>
    <row r="862" s="19" customFormat="1" x14ac:dyDescent="0.35"/>
    <row r="863" s="19" customFormat="1" x14ac:dyDescent="0.35"/>
    <row r="864" s="19" customFormat="1" x14ac:dyDescent="0.35"/>
    <row r="865" s="19" customFormat="1" x14ac:dyDescent="0.35"/>
    <row r="866" s="19" customFormat="1" x14ac:dyDescent="0.35"/>
    <row r="867" s="19" customFormat="1" x14ac:dyDescent="0.35"/>
    <row r="868" s="19" customFormat="1" x14ac:dyDescent="0.35"/>
    <row r="869" s="19" customFormat="1" x14ac:dyDescent="0.35"/>
    <row r="870" s="19" customFormat="1" x14ac:dyDescent="0.35"/>
    <row r="871" s="19" customFormat="1" x14ac:dyDescent="0.35"/>
    <row r="872" s="19" customFormat="1" x14ac:dyDescent="0.35"/>
    <row r="873" s="19" customFormat="1" x14ac:dyDescent="0.35"/>
    <row r="874" s="19" customFormat="1" x14ac:dyDescent="0.35"/>
    <row r="875" s="19" customFormat="1" x14ac:dyDescent="0.35"/>
    <row r="876" s="19" customFormat="1" x14ac:dyDescent="0.35"/>
    <row r="877" s="19" customFormat="1" x14ac:dyDescent="0.35"/>
    <row r="878" s="19" customFormat="1" x14ac:dyDescent="0.35"/>
    <row r="879" s="19" customFormat="1" x14ac:dyDescent="0.35"/>
    <row r="880" s="19" customFormat="1" x14ac:dyDescent="0.35"/>
    <row r="881" s="19" customFormat="1" x14ac:dyDescent="0.35"/>
    <row r="882" s="19" customFormat="1" x14ac:dyDescent="0.35"/>
    <row r="883" s="19" customFormat="1" x14ac:dyDescent="0.35"/>
    <row r="884" s="19" customFormat="1" x14ac:dyDescent="0.35"/>
    <row r="885" s="19" customFormat="1" x14ac:dyDescent="0.35"/>
    <row r="886" s="19" customFormat="1" x14ac:dyDescent="0.35"/>
    <row r="887" s="19" customFormat="1" x14ac:dyDescent="0.35"/>
    <row r="888" s="19" customFormat="1" x14ac:dyDescent="0.35"/>
    <row r="889" s="19" customFormat="1" x14ac:dyDescent="0.35"/>
    <row r="890" s="19" customFormat="1" x14ac:dyDescent="0.35"/>
    <row r="891" s="19" customFormat="1" x14ac:dyDescent="0.35"/>
    <row r="892" s="19" customFormat="1" x14ac:dyDescent="0.35"/>
    <row r="893" s="19" customFormat="1" x14ac:dyDescent="0.35"/>
    <row r="894" s="19" customFormat="1" x14ac:dyDescent="0.35"/>
    <row r="895" s="19" customFormat="1" x14ac:dyDescent="0.35"/>
    <row r="896" s="19" customFormat="1" x14ac:dyDescent="0.35"/>
    <row r="897" s="19" customFormat="1" x14ac:dyDescent="0.35"/>
    <row r="898" s="19" customFormat="1" x14ac:dyDescent="0.35"/>
    <row r="899" s="19" customFormat="1" x14ac:dyDescent="0.35"/>
    <row r="900" s="19" customFormat="1" x14ac:dyDescent="0.35"/>
    <row r="901" s="19" customFormat="1" x14ac:dyDescent="0.35"/>
    <row r="902" s="19" customFormat="1" x14ac:dyDescent="0.35"/>
    <row r="903" s="19" customFormat="1" x14ac:dyDescent="0.35"/>
    <row r="904" s="19" customFormat="1" x14ac:dyDescent="0.35"/>
    <row r="905" s="19" customFormat="1" x14ac:dyDescent="0.35"/>
    <row r="906" s="19" customFormat="1" x14ac:dyDescent="0.35"/>
    <row r="907" s="19" customFormat="1" x14ac:dyDescent="0.35"/>
    <row r="908" s="19" customFormat="1" x14ac:dyDescent="0.35"/>
    <row r="909" s="19" customFormat="1" x14ac:dyDescent="0.35"/>
    <row r="910" s="19" customFormat="1" x14ac:dyDescent="0.35"/>
    <row r="911" s="19" customFormat="1" x14ac:dyDescent="0.35"/>
    <row r="912" s="19" customFormat="1" x14ac:dyDescent="0.35"/>
    <row r="913" s="19" customFormat="1" x14ac:dyDescent="0.35"/>
    <row r="914" s="19" customFormat="1" x14ac:dyDescent="0.35"/>
    <row r="915" s="19" customFormat="1" x14ac:dyDescent="0.35"/>
    <row r="916" s="19" customFormat="1" x14ac:dyDescent="0.35"/>
    <row r="917" s="19" customFormat="1" x14ac:dyDescent="0.35"/>
    <row r="918" s="19" customFormat="1" x14ac:dyDescent="0.35"/>
    <row r="919" s="19" customFormat="1" x14ac:dyDescent="0.35"/>
    <row r="920" s="19" customFormat="1" x14ac:dyDescent="0.35"/>
    <row r="921" s="19" customFormat="1" x14ac:dyDescent="0.35"/>
    <row r="922" s="19" customFormat="1" x14ac:dyDescent="0.35"/>
    <row r="923" s="19" customFormat="1" x14ac:dyDescent="0.35"/>
    <row r="924" s="19" customFormat="1" x14ac:dyDescent="0.35"/>
    <row r="925" s="19" customFormat="1" x14ac:dyDescent="0.35"/>
    <row r="926" s="19" customFormat="1" x14ac:dyDescent="0.35"/>
    <row r="927" s="19" customFormat="1" x14ac:dyDescent="0.35"/>
    <row r="928" s="19" customFormat="1" x14ac:dyDescent="0.35"/>
    <row r="929" s="19" customFormat="1" x14ac:dyDescent="0.35"/>
    <row r="930" s="19" customFormat="1" x14ac:dyDescent="0.35"/>
    <row r="931" s="19" customFormat="1" x14ac:dyDescent="0.35"/>
    <row r="932" s="19" customFormat="1" x14ac:dyDescent="0.35"/>
    <row r="933" s="19" customFormat="1" x14ac:dyDescent="0.35"/>
    <row r="934" s="19" customFormat="1" x14ac:dyDescent="0.35"/>
    <row r="935" s="19" customFormat="1" x14ac:dyDescent="0.35"/>
    <row r="936" s="19" customFormat="1" x14ac:dyDescent="0.35"/>
    <row r="937" s="19" customFormat="1" x14ac:dyDescent="0.35"/>
    <row r="938" s="19" customFormat="1" x14ac:dyDescent="0.35"/>
    <row r="939" s="19" customFormat="1" x14ac:dyDescent="0.35"/>
    <row r="940" s="19" customFormat="1" x14ac:dyDescent="0.35"/>
    <row r="941" s="19" customFormat="1" x14ac:dyDescent="0.35"/>
    <row r="942" s="19" customFormat="1" x14ac:dyDescent="0.35"/>
    <row r="943" s="19" customFormat="1" x14ac:dyDescent="0.35"/>
    <row r="944" s="19" customFormat="1" x14ac:dyDescent="0.35"/>
    <row r="945" s="19" customFormat="1" x14ac:dyDescent="0.35"/>
    <row r="946" s="19" customFormat="1" x14ac:dyDescent="0.35"/>
    <row r="947" s="19" customFormat="1" x14ac:dyDescent="0.35"/>
    <row r="948" s="19" customFormat="1" x14ac:dyDescent="0.35"/>
    <row r="949" s="19" customFormat="1" x14ac:dyDescent="0.35"/>
    <row r="950" s="19" customFormat="1" x14ac:dyDescent="0.35"/>
    <row r="951" s="19" customFormat="1" x14ac:dyDescent="0.35"/>
    <row r="952" s="19" customFormat="1" x14ac:dyDescent="0.35"/>
    <row r="953" s="19" customFormat="1" x14ac:dyDescent="0.35"/>
    <row r="954" s="19" customFormat="1" x14ac:dyDescent="0.35"/>
    <row r="955" s="19" customFormat="1" x14ac:dyDescent="0.35"/>
    <row r="956" s="19" customFormat="1" x14ac:dyDescent="0.35"/>
    <row r="957" s="19" customFormat="1" x14ac:dyDescent="0.35"/>
    <row r="958" s="19" customFormat="1" x14ac:dyDescent="0.35"/>
    <row r="959" s="19" customFormat="1" x14ac:dyDescent="0.35"/>
    <row r="960" s="19" customFormat="1" x14ac:dyDescent="0.35"/>
    <row r="961" s="19" customFormat="1" x14ac:dyDescent="0.35"/>
    <row r="962" s="19" customFormat="1" x14ac:dyDescent="0.35"/>
    <row r="963" s="19" customFormat="1" x14ac:dyDescent="0.35"/>
    <row r="964" s="19" customFormat="1" x14ac:dyDescent="0.35"/>
    <row r="965" s="19" customFormat="1" x14ac:dyDescent="0.35"/>
    <row r="966" s="19" customFormat="1" x14ac:dyDescent="0.35"/>
    <row r="967" s="19" customFormat="1" x14ac:dyDescent="0.35"/>
    <row r="968" s="19" customFormat="1" x14ac:dyDescent="0.35"/>
    <row r="969" s="19" customFormat="1" x14ac:dyDescent="0.35"/>
    <row r="970" s="19" customFormat="1" x14ac:dyDescent="0.35"/>
    <row r="971" s="19" customFormat="1" x14ac:dyDescent="0.35"/>
    <row r="972" s="19" customFormat="1" x14ac:dyDescent="0.35"/>
    <row r="973" s="19" customFormat="1" x14ac:dyDescent="0.35"/>
    <row r="974" s="19" customFormat="1" x14ac:dyDescent="0.35"/>
    <row r="975" s="19" customFormat="1" x14ac:dyDescent="0.35"/>
    <row r="976" s="19" customFormat="1" x14ac:dyDescent="0.35"/>
    <row r="977" s="19" customFormat="1" x14ac:dyDescent="0.35"/>
    <row r="978" s="19" customFormat="1" x14ac:dyDescent="0.35"/>
    <row r="979" s="19" customFormat="1" x14ac:dyDescent="0.35"/>
    <row r="980" s="19" customFormat="1" x14ac:dyDescent="0.35"/>
    <row r="981" s="19" customFormat="1" x14ac:dyDescent="0.35"/>
    <row r="982" s="19" customFormat="1" x14ac:dyDescent="0.35"/>
    <row r="983" s="19" customFormat="1" x14ac:dyDescent="0.35"/>
  </sheetData>
  <sheetProtection algorithmName="SHA-512" hashValue="NMt94iLVwxbiZBI+ettZKFeIR73zSbwY8esWZTv0wm4RD6SE4Ka6HVQAbLdPEup8QAH01D0pRYc6TO+VgjlQFQ==" saltValue="OeAV147YNXjnQzFCksLvAw==" spinCount="100000" sheet="1" objects="1" scenarios="1"/>
  <mergeCells count="45">
    <mergeCell ref="B216:E216"/>
    <mergeCell ref="B225:E225"/>
    <mergeCell ref="B48:E48"/>
    <mergeCell ref="B55:E55"/>
    <mergeCell ref="B61:E61"/>
    <mergeCell ref="B68:E68"/>
    <mergeCell ref="B131:E131"/>
    <mergeCell ref="B73:E73"/>
    <mergeCell ref="B84:E84"/>
    <mergeCell ref="B94:E94"/>
    <mergeCell ref="B99:E99"/>
    <mergeCell ref="B103:E103"/>
    <mergeCell ref="B119:E119"/>
    <mergeCell ref="B142:E142"/>
    <mergeCell ref="B152:E152"/>
    <mergeCell ref="B214:E214"/>
    <mergeCell ref="B195:E195"/>
    <mergeCell ref="B159:E159"/>
    <mergeCell ref="B204:E204"/>
    <mergeCell ref="B206:E206"/>
    <mergeCell ref="B202:E202"/>
    <mergeCell ref="B162:E162"/>
    <mergeCell ref="B172:E172"/>
    <mergeCell ref="B181:E181"/>
    <mergeCell ref="B11:C11"/>
    <mergeCell ref="D11:E11"/>
    <mergeCell ref="D10:E10"/>
    <mergeCell ref="F10:G10"/>
    <mergeCell ref="B136:E136"/>
    <mergeCell ref="H8:J8"/>
    <mergeCell ref="B3:E3"/>
    <mergeCell ref="B41:E41"/>
    <mergeCell ref="B43:E43"/>
    <mergeCell ref="B2:E2"/>
    <mergeCell ref="B14:E14"/>
    <mergeCell ref="B7:J7"/>
    <mergeCell ref="H10:J10"/>
    <mergeCell ref="F11:G11"/>
    <mergeCell ref="H12:J12"/>
    <mergeCell ref="H11:J11"/>
    <mergeCell ref="H9:J9"/>
    <mergeCell ref="D12:E12"/>
    <mergeCell ref="F12:G12"/>
    <mergeCell ref="B10:C10"/>
    <mergeCell ref="B12:C12"/>
  </mergeCells>
  <conditionalFormatting sqref="B14:E39">
    <cfRule type="expression" dxfId="76" priority="6">
      <formula>ccm_result="Excluded"</formula>
    </cfRule>
  </conditionalFormatting>
  <conditionalFormatting sqref="C7:J10 D11:D12 F11:J12">
    <cfRule type="expression" dxfId="75" priority="1">
      <formula>ccm_result="Excluded"</formula>
    </cfRule>
  </conditionalFormatting>
  <conditionalFormatting sqref="D5 D202">
    <cfRule type="expression" dxfId="74" priority="22">
      <formula>OR((ccm_result="Excluded"),AND((intelligent_operations_result="Excluded")))</formula>
    </cfRule>
  </conditionalFormatting>
  <conditionalFormatting sqref="D16:D39">
    <cfRule type="notContainsBlanks" dxfId="73" priority="7">
      <formula>LEN(TRIM(D16))&gt;0</formula>
    </cfRule>
    <cfRule type="containsBlanks" dxfId="72" priority="8">
      <formula>LEN(TRIM(D16))=0</formula>
    </cfRule>
  </conditionalFormatting>
  <conditionalFormatting sqref="D41">
    <cfRule type="expression" dxfId="71" priority="10">
      <formula>ccm_result="Excluded"</formula>
    </cfRule>
  </conditionalFormatting>
  <conditionalFormatting sqref="D43 D45:D46 D48 D50:D53 D55 D57:D59 D61 D63:D66 D68 D70:D71 D73 D75:D82 D84 D86:D92 D94 D96:D97 D99 D101:D129 D131 D133:D134 D136 D138:D140 D142 D144:D150 D152 D154:D157 D159 D161:D179 D181 D183:D193 D195 D197:D200 D216 D218:D223 D225 D227:D229">
    <cfRule type="expression" dxfId="70" priority="9" stopIfTrue="1">
      <formula>ccm_result="Excluded"</formula>
    </cfRule>
    <cfRule type="containsBlanks" dxfId="68" priority="119">
      <formula>LEN(TRIM(D43))=0</formula>
    </cfRule>
    <cfRule type="notContainsBlanks" dxfId="67" priority="120">
      <formula>LEN(TRIM(D43))&gt;0</formula>
    </cfRule>
  </conditionalFormatting>
  <conditionalFormatting sqref="D204 D206 D208:D212">
    <cfRule type="expression" dxfId="66" priority="14" stopIfTrue="1">
      <formula>OR((ccm_result="Excluded"),AND((intelligent_operations_result="Excluded")))</formula>
    </cfRule>
  </conditionalFormatting>
  <conditionalFormatting sqref="D214">
    <cfRule type="expression" dxfId="65" priority="13" stopIfTrue="1">
      <formula>ccm_result="Excluded"</formula>
    </cfRule>
  </conditionalFormatting>
  <conditionalFormatting sqref="E9 G9">
    <cfRule type="notContainsBlanks" dxfId="64" priority="4">
      <formula>LEN(TRIM(E9))&gt;0</formula>
    </cfRule>
    <cfRule type="containsBlanks" dxfId="63" priority="5">
      <formula>LEN(TRIM(E9))=0</formula>
    </cfRule>
  </conditionalFormatting>
  <conditionalFormatting sqref="F11:G12">
    <cfRule type="notContainsBlanks" dxfId="62" priority="2">
      <formula>LEN(TRIM(F11))&gt;0</formula>
    </cfRule>
    <cfRule type="containsBlanks" dxfId="61" priority="3">
      <formula>LEN(TRIM(F11))=0</formula>
    </cfRule>
  </conditionalFormatting>
  <dataValidations count="2">
    <dataValidation type="list" allowBlank="1" showInputMessage="1" showErrorMessage="1" sqref="C21:D21" xr:uid="{D0291D4F-CAC3-8249-BB23-83660C8D63EF}">
      <formula1>aws_regions</formula1>
    </dataValidation>
    <dataValidation type="list" allowBlank="1" showInputMessage="1" showErrorMessage="1" sqref="C15:D15" xr:uid="{4BEA9190-F800-344C-9020-B8C55E48864B}">
      <formula1>"Standard,Consolidated"</formula1>
    </dataValidation>
  </dataValidations>
  <hyperlinks>
    <hyperlink ref="B5" location="'Deployment Options'!H50" display="Section Navigation (Click to Navigate)" xr:uid="{00000000-0004-0000-1800-000000000000}"/>
    <hyperlink ref="C5" location="'Cross Cloud Mobility'!B8" display="Deployment" xr:uid="{00000000-0004-0000-1800-000001000000}"/>
    <hyperlink ref="D5" location="'Cross Cloud Mobility'!B169" display="Solution Interoperability" xr:uid="{00000000-0004-0000-1800-000002000000}"/>
    <hyperlink ref="C52" r:id="rId1" display="mailto:svc-cbo-vsphere@sfo.rainpole.io" xr:uid="{00000000-0004-0000-1800-000003000000}"/>
  </hyperlinks>
  <pageMargins left="0.7" right="0.7" top="0.75" bottom="0.75" header="0.3" footer="0.3"/>
  <ignoredErrors>
    <ignoredError sqref="C191:D191" formula="1"/>
  </ignoredErrors>
  <drawing r:id="rId2"/>
  <extLst>
    <ext xmlns:x14="http://schemas.microsoft.com/office/spreadsheetml/2009/9/main" uri="{78C0D931-6437-407d-A8EE-F0AAD7539E65}">
      <x14:conditionalFormattings>
        <x14:conditionalFormatting xmlns:xm="http://schemas.microsoft.com/office/excel/2006/main">
          <x14:cfRule type="containsText" priority="46" operator="containsText" id="{473708CE-319C-4445-90AC-CEDFF3CEA615}">
            <xm:f>NOT(ISERROR(SEARCH("Value Missing",D43)))</xm:f>
            <xm:f>"Value Missing"</xm:f>
            <x14:dxf>
              <font>
                <color theme="1"/>
              </font>
              <fill>
                <patternFill>
                  <bgColor rgb="FFFFBE29"/>
                </patternFill>
              </fill>
            </x14:dxf>
          </x14:cfRule>
          <xm:sqref>D43 D45:D46 D48 D50:D53 D55 D57:D59 D61 D63:D66 D68 D70:D71 D73 D75:D82 D84 D86:D92 D94 D96:D97 D99 D101:D129 D131 D133:D134 D136 D138:D140 D142 D144:D150 D152 D154:D157 D159 D161:D179 D181 D183:D193 D195 D197:D200 D216 D218:D223 D225 D227:D229</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254A8-D8D4-7945-8EB2-EE7D4CA78AF4}">
  <sheetPr codeName="Sheet17">
    <tabColor theme="5" tint="0.39997558519241921"/>
  </sheetPr>
  <dimension ref="A1:K112"/>
  <sheetViews>
    <sheetView showGridLines="0" zoomScaleNormal="100" workbookViewId="0">
      <pane ySplit="4" topLeftCell="A5" activePane="bottomLeft" state="frozen"/>
      <selection pane="bottomLeft" activeCell="E41" sqref="E41"/>
    </sheetView>
  </sheetViews>
  <sheetFormatPr defaultColWidth="10.85546875" defaultRowHeight="15" x14ac:dyDescent="0.45"/>
  <cols>
    <col min="1" max="1" width="2.85546875" style="2" customWidth="1"/>
    <col min="2" max="2" width="65.85546875" style="2" customWidth="1"/>
    <col min="3" max="3" width="23.85546875" style="2" bestFit="1" customWidth="1"/>
    <col min="4" max="4" width="50.140625" style="2" customWidth="1"/>
    <col min="5" max="5" width="44.35546875" style="2" bestFit="1" customWidth="1"/>
    <col min="6" max="6" width="49.5" style="2" customWidth="1"/>
    <col min="7" max="7" width="52.640625" style="2" bestFit="1" customWidth="1"/>
    <col min="8" max="8" width="61.140625" style="2" bestFit="1" customWidth="1"/>
    <col min="9" max="9" width="66.5" style="2" bestFit="1" customWidth="1"/>
    <col min="10" max="10" width="10.85546875" style="3" customWidth="1"/>
    <col min="11" max="19" width="10.85546875" style="2" customWidth="1"/>
    <col min="20" max="16384" width="10.85546875" style="2"/>
  </cols>
  <sheetData>
    <row r="1" spans="1:11" x14ac:dyDescent="0.45">
      <c r="A1" s="1"/>
      <c r="J1" s="2"/>
    </row>
    <row r="2" spans="1:11" ht="54" customHeight="1" x14ac:dyDescent="0.45">
      <c r="B2" s="418" t="s">
        <v>3580</v>
      </c>
      <c r="C2" s="418"/>
      <c r="D2" s="418"/>
      <c r="E2" s="418"/>
      <c r="F2" s="418"/>
      <c r="G2" s="418"/>
      <c r="H2" s="200"/>
      <c r="I2" s="200"/>
      <c r="J2" s="200"/>
      <c r="K2" s="200"/>
    </row>
    <row r="3" spans="1:11" ht="20.05" customHeight="1" x14ac:dyDescent="0.45">
      <c r="B3" s="339" t="s">
        <v>3581</v>
      </c>
      <c r="C3" s="339"/>
      <c r="D3" s="339"/>
      <c r="E3" s="339"/>
      <c r="F3" s="339"/>
      <c r="G3" s="339"/>
      <c r="H3" s="15"/>
      <c r="I3" s="15"/>
      <c r="J3" s="15"/>
      <c r="K3" s="15"/>
    </row>
    <row r="5" spans="1:11" ht="16" customHeight="1" x14ac:dyDescent="0.45"/>
    <row r="6" spans="1:11" s="104" customFormat="1" ht="34" customHeight="1" x14ac:dyDescent="0.45">
      <c r="B6" s="423" t="s">
        <v>3582</v>
      </c>
      <c r="C6" s="423"/>
      <c r="D6" s="423"/>
      <c r="E6" s="423"/>
      <c r="F6" s="423"/>
      <c r="G6" s="423"/>
      <c r="H6" s="2"/>
      <c r="J6" s="242"/>
    </row>
    <row r="7" spans="1:11" ht="20.05" customHeight="1" x14ac:dyDescent="0.45">
      <c r="B7" s="346" t="s">
        <v>3583</v>
      </c>
      <c r="C7" s="346" t="s">
        <v>2726</v>
      </c>
      <c r="D7" s="346" t="s">
        <v>3584</v>
      </c>
      <c r="E7" s="97" t="s">
        <v>3585</v>
      </c>
      <c r="F7" s="346" t="s">
        <v>3586</v>
      </c>
      <c r="G7" s="243"/>
    </row>
    <row r="8" spans="1:11" ht="20.05" customHeight="1" x14ac:dyDescent="0.45">
      <c r="B8" s="4" t="s">
        <v>3587</v>
      </c>
      <c r="C8" s="80" t="s">
        <v>1899</v>
      </c>
      <c r="E8" s="347"/>
      <c r="F8" s="80" t="s">
        <v>3588</v>
      </c>
      <c r="G8" s="347"/>
    </row>
    <row r="9" spans="1:11" s="205" customFormat="1" ht="20.05" customHeight="1" x14ac:dyDescent="0.45">
      <c r="B9" s="4" t="s">
        <v>3589</v>
      </c>
      <c r="C9" s="80" t="s">
        <v>1905</v>
      </c>
      <c r="E9" s="245"/>
      <c r="F9" s="244" t="str">
        <f>(UPPER(this_instance))</f>
        <v>SFO</v>
      </c>
      <c r="G9" s="245"/>
      <c r="J9" s="191"/>
    </row>
    <row r="10" spans="1:11" ht="20.05" customHeight="1" x14ac:dyDescent="0.45">
      <c r="B10" s="4" t="s">
        <v>3590</v>
      </c>
      <c r="C10" s="80" t="s">
        <v>1899</v>
      </c>
      <c r="D10" s="80" t="s">
        <v>3591</v>
      </c>
      <c r="E10" s="129"/>
      <c r="F10" s="80" t="s">
        <v>3592</v>
      </c>
      <c r="G10" s="129"/>
    </row>
    <row r="11" spans="1:11" ht="20.05" customHeight="1" x14ac:dyDescent="0.45">
      <c r="B11" s="4" t="s">
        <v>3593</v>
      </c>
      <c r="C11" s="80" t="s">
        <v>1905</v>
      </c>
      <c r="D11" s="80" t="str">
        <f>CONCATENATE("ou=Security Groups,dc=",this_instance,",dc=rainpole,dc=io")</f>
        <v>ou=Security Groups,dc=sfo,dc=rainpole,dc=io</v>
      </c>
      <c r="E11" s="347"/>
      <c r="F11" s="80" t="str">
        <f>CONCATENATE("ou=Security Users,dc=",this_instance,",dc=rainpole,dc=io")</f>
        <v>ou=Security Users,dc=sfo,dc=rainpole,dc=io</v>
      </c>
      <c r="G11" s="347"/>
    </row>
    <row r="12" spans="1:11" ht="16" customHeight="1" x14ac:dyDescent="0.45"/>
    <row r="13" spans="1:11" ht="34" customHeight="1" x14ac:dyDescent="0.45">
      <c r="B13" s="407" t="s">
        <v>3594</v>
      </c>
      <c r="C13" s="408"/>
      <c r="D13" s="408"/>
      <c r="E13" s="408"/>
      <c r="F13" s="408"/>
      <c r="G13" s="409"/>
    </row>
    <row r="14" spans="1:11" ht="20.05" customHeight="1" x14ac:dyDescent="0.45">
      <c r="B14" s="465" t="s">
        <v>2724</v>
      </c>
      <c r="C14" s="466"/>
      <c r="D14" s="466"/>
      <c r="E14" s="466"/>
      <c r="F14" s="466"/>
      <c r="G14" s="467"/>
      <c r="J14" s="2"/>
    </row>
    <row r="15" spans="1:11" ht="20.05" customHeight="1" x14ac:dyDescent="0.45">
      <c r="B15" s="346" t="s">
        <v>3583</v>
      </c>
      <c r="C15" s="346" t="s">
        <v>2726</v>
      </c>
      <c r="D15" s="346" t="s">
        <v>3595</v>
      </c>
      <c r="E15" s="97" t="s">
        <v>3596</v>
      </c>
      <c r="F15" s="346" t="s">
        <v>3597</v>
      </c>
      <c r="G15" s="97" t="s">
        <v>3598</v>
      </c>
    </row>
    <row r="16" spans="1:11" ht="20.05" customHeight="1" x14ac:dyDescent="0.45">
      <c r="B16" s="465" t="s">
        <v>3599</v>
      </c>
      <c r="C16" s="466"/>
      <c r="D16" s="466"/>
      <c r="E16" s="466"/>
      <c r="F16" s="466"/>
      <c r="G16" s="467"/>
      <c r="J16" s="2"/>
    </row>
    <row r="17" spans="2:10" ht="20.05" customHeight="1" x14ac:dyDescent="0.45">
      <c r="B17" s="346" t="s">
        <v>3583</v>
      </c>
      <c r="C17" s="346" t="s">
        <v>2726</v>
      </c>
      <c r="D17" s="346" t="s">
        <v>3595</v>
      </c>
      <c r="E17" s="97" t="s">
        <v>3596</v>
      </c>
      <c r="F17" s="346" t="s">
        <v>3597</v>
      </c>
      <c r="G17" s="97" t="s">
        <v>3598</v>
      </c>
    </row>
    <row r="18" spans="2:10" ht="20.05" customHeight="1" x14ac:dyDescent="0.45">
      <c r="B18" s="4" t="s">
        <v>3600</v>
      </c>
      <c r="C18" s="80" t="s">
        <v>1905</v>
      </c>
      <c r="D18" s="80" t="s">
        <v>2095</v>
      </c>
      <c r="E18" s="129"/>
      <c r="F18" s="135" t="s">
        <v>30</v>
      </c>
      <c r="G18" s="347"/>
      <c r="J18" s="2"/>
    </row>
    <row r="19" spans="2:10" ht="20.05" customHeight="1" x14ac:dyDescent="0.45">
      <c r="B19" s="4" t="s">
        <v>3601</v>
      </c>
      <c r="C19" s="80" t="s">
        <v>1905</v>
      </c>
      <c r="D19" s="80" t="s">
        <v>3602</v>
      </c>
      <c r="E19" s="129"/>
      <c r="F19" s="135" t="s">
        <v>30</v>
      </c>
      <c r="G19" s="347"/>
      <c r="J19" s="2"/>
    </row>
    <row r="20" spans="2:10" ht="16" customHeight="1" x14ac:dyDescent="0.45"/>
    <row r="21" spans="2:10" ht="34" customHeight="1" x14ac:dyDescent="0.45">
      <c r="B21" s="407" t="s">
        <v>3603</v>
      </c>
      <c r="C21" s="408"/>
      <c r="D21" s="408"/>
      <c r="E21" s="408"/>
      <c r="F21" s="408"/>
      <c r="G21" s="409"/>
    </row>
    <row r="22" spans="2:10" ht="20.05" customHeight="1" x14ac:dyDescent="0.45">
      <c r="B22" s="465" t="s">
        <v>3604</v>
      </c>
      <c r="C22" s="466"/>
      <c r="D22" s="466"/>
      <c r="E22" s="466"/>
      <c r="F22" s="466"/>
      <c r="G22" s="467"/>
      <c r="J22" s="2"/>
    </row>
    <row r="23" spans="2:10" ht="20.05" customHeight="1" x14ac:dyDescent="0.45">
      <c r="B23" s="346" t="s">
        <v>3583</v>
      </c>
      <c r="C23" s="346" t="s">
        <v>2726</v>
      </c>
      <c r="D23" s="346" t="s">
        <v>3595</v>
      </c>
      <c r="E23" s="97" t="s">
        <v>3596</v>
      </c>
      <c r="F23" s="346" t="s">
        <v>3597</v>
      </c>
      <c r="G23" s="97" t="s">
        <v>3598</v>
      </c>
    </row>
    <row r="24" spans="2:10" ht="20.05" customHeight="1" x14ac:dyDescent="0.45">
      <c r="B24" s="4" t="s">
        <v>3605</v>
      </c>
      <c r="C24" s="80" t="s">
        <v>1905</v>
      </c>
      <c r="D24" s="80" t="s">
        <v>3606</v>
      </c>
      <c r="E24" s="347"/>
      <c r="F24" s="135" t="s">
        <v>30</v>
      </c>
      <c r="G24" s="347"/>
    </row>
    <row r="25" spans="2:10" ht="20.05" customHeight="1" x14ac:dyDescent="0.45">
      <c r="B25" s="465" t="s">
        <v>3607</v>
      </c>
      <c r="C25" s="466"/>
      <c r="D25" s="466"/>
      <c r="E25" s="466"/>
      <c r="F25" s="466"/>
      <c r="G25" s="467"/>
    </row>
    <row r="26" spans="2:10" ht="20.05" customHeight="1" x14ac:dyDescent="0.45">
      <c r="B26" s="346" t="s">
        <v>3583</v>
      </c>
      <c r="C26" s="346" t="s">
        <v>2726</v>
      </c>
      <c r="D26" s="346" t="s">
        <v>3595</v>
      </c>
      <c r="E26" s="97" t="s">
        <v>3596</v>
      </c>
      <c r="F26" s="346" t="s">
        <v>3597</v>
      </c>
      <c r="G26" s="97" t="s">
        <v>3598</v>
      </c>
    </row>
    <row r="27" spans="2:10" ht="20.05" customHeight="1" x14ac:dyDescent="0.45">
      <c r="B27" s="4" t="s">
        <v>3608</v>
      </c>
      <c r="C27" s="80" t="s">
        <v>1905</v>
      </c>
      <c r="D27" s="80" t="s">
        <v>3609</v>
      </c>
      <c r="E27" s="347"/>
      <c r="F27" s="135" t="s">
        <v>30</v>
      </c>
      <c r="G27" s="347"/>
      <c r="H27" s="2" t="s">
        <v>3610</v>
      </c>
      <c r="J27" s="2"/>
    </row>
    <row r="28" spans="2:10" ht="20.05" customHeight="1" x14ac:dyDescent="0.45">
      <c r="B28" s="4" t="s">
        <v>3611</v>
      </c>
      <c r="C28" s="80" t="s">
        <v>1905</v>
      </c>
      <c r="D28" s="80" t="s">
        <v>3612</v>
      </c>
      <c r="E28" s="347"/>
      <c r="F28" s="135" t="s">
        <v>30</v>
      </c>
      <c r="G28" s="347"/>
      <c r="H28" s="2" t="s">
        <v>3610</v>
      </c>
      <c r="J28" s="2"/>
    </row>
    <row r="29" spans="2:10" ht="20.05" customHeight="1" x14ac:dyDescent="0.45">
      <c r="B29" s="4" t="s">
        <v>3613</v>
      </c>
      <c r="C29" s="80" t="s">
        <v>1905</v>
      </c>
      <c r="D29" s="80" t="s">
        <v>3614</v>
      </c>
      <c r="E29" s="347"/>
      <c r="F29" s="135" t="s">
        <v>30</v>
      </c>
      <c r="G29" s="347"/>
      <c r="H29" s="2" t="s">
        <v>3610</v>
      </c>
      <c r="J29" s="2"/>
    </row>
    <row r="30" spans="2:10" ht="20.05" customHeight="1" x14ac:dyDescent="0.45">
      <c r="B30" s="465" t="s">
        <v>3615</v>
      </c>
      <c r="C30" s="466"/>
      <c r="D30" s="466"/>
      <c r="E30" s="466"/>
      <c r="F30" s="466"/>
      <c r="G30" s="467"/>
      <c r="J30" s="2"/>
    </row>
    <row r="31" spans="2:10" ht="20.05" customHeight="1" x14ac:dyDescent="0.45">
      <c r="B31" s="346" t="s">
        <v>3583</v>
      </c>
      <c r="C31" s="346" t="s">
        <v>2726</v>
      </c>
      <c r="D31" s="346" t="s">
        <v>3595</v>
      </c>
      <c r="E31" s="97" t="s">
        <v>3596</v>
      </c>
      <c r="F31" s="346" t="s">
        <v>3597</v>
      </c>
      <c r="G31" s="97" t="s">
        <v>3598</v>
      </c>
    </row>
    <row r="32" spans="2:10" ht="20.05" customHeight="1" x14ac:dyDescent="0.45">
      <c r="B32" s="4" t="s">
        <v>3616</v>
      </c>
      <c r="C32" s="80" t="s">
        <v>1905</v>
      </c>
      <c r="D32" s="80" t="s">
        <v>3617</v>
      </c>
      <c r="E32" s="129"/>
      <c r="F32" s="135" t="s">
        <v>30</v>
      </c>
      <c r="G32" s="347"/>
    </row>
    <row r="33" spans="2:10" ht="20.05" customHeight="1" x14ac:dyDescent="0.45">
      <c r="B33" s="4" t="s">
        <v>3618</v>
      </c>
      <c r="C33" s="80" t="s">
        <v>1905</v>
      </c>
      <c r="D33" s="80" t="s">
        <v>3619</v>
      </c>
      <c r="E33" s="129"/>
      <c r="F33" s="135" t="s">
        <v>30</v>
      </c>
      <c r="G33" s="347"/>
      <c r="J33" s="2"/>
    </row>
    <row r="34" spans="2:10" ht="20.05" customHeight="1" x14ac:dyDescent="0.45">
      <c r="B34" s="4" t="s">
        <v>3620</v>
      </c>
      <c r="C34" s="80" t="s">
        <v>1905</v>
      </c>
      <c r="D34" s="80" t="s">
        <v>3621</v>
      </c>
      <c r="E34" s="129"/>
      <c r="F34" s="135" t="s">
        <v>30</v>
      </c>
      <c r="G34" s="347"/>
      <c r="J34" s="2"/>
    </row>
    <row r="35" spans="2:10" ht="20.05" customHeight="1" x14ac:dyDescent="0.45">
      <c r="B35" s="465" t="s">
        <v>3622</v>
      </c>
      <c r="C35" s="466"/>
      <c r="D35" s="466"/>
      <c r="E35" s="466"/>
      <c r="F35" s="466"/>
      <c r="G35" s="467"/>
      <c r="J35" s="2"/>
    </row>
    <row r="36" spans="2:10" ht="20.05" customHeight="1" x14ac:dyDescent="0.45">
      <c r="B36" s="346" t="s">
        <v>3583</v>
      </c>
      <c r="C36" s="346" t="s">
        <v>2726</v>
      </c>
      <c r="D36" s="346" t="s">
        <v>3595</v>
      </c>
      <c r="E36" s="97" t="s">
        <v>3596</v>
      </c>
      <c r="F36" s="346" t="s">
        <v>3597</v>
      </c>
      <c r="G36" s="97" t="s">
        <v>3598</v>
      </c>
      <c r="J36" s="2"/>
    </row>
    <row r="37" spans="2:10" ht="20.05" customHeight="1" x14ac:dyDescent="0.45">
      <c r="B37" s="4"/>
      <c r="C37" s="80" t="s">
        <v>1905</v>
      </c>
      <c r="D37" s="80" t="s">
        <v>3623</v>
      </c>
      <c r="E37" s="129"/>
      <c r="F37" s="135" t="s">
        <v>30</v>
      </c>
      <c r="G37" s="347"/>
      <c r="J37" s="2"/>
    </row>
    <row r="38" spans="2:10" ht="20.05" customHeight="1" x14ac:dyDescent="0.45">
      <c r="B38" s="4"/>
      <c r="C38" s="80" t="s">
        <v>1905</v>
      </c>
      <c r="D38" s="80" t="s">
        <v>3624</v>
      </c>
      <c r="E38" s="129"/>
      <c r="F38" s="135" t="s">
        <v>30</v>
      </c>
      <c r="G38" s="347"/>
      <c r="J38" s="2"/>
    </row>
    <row r="39" spans="2:10" ht="20.05" customHeight="1" x14ac:dyDescent="0.45">
      <c r="B39" s="4"/>
      <c r="C39" s="80" t="s">
        <v>1905</v>
      </c>
      <c r="D39" s="80" t="s">
        <v>3625</v>
      </c>
      <c r="E39" s="129"/>
      <c r="F39" s="135" t="s">
        <v>30</v>
      </c>
      <c r="G39" s="347"/>
    </row>
    <row r="40" spans="2:10" ht="20.05" customHeight="1" x14ac:dyDescent="0.45">
      <c r="B40" s="4"/>
      <c r="C40" s="135" t="s">
        <v>1905</v>
      </c>
      <c r="D40" s="80" t="s">
        <v>3626</v>
      </c>
      <c r="E40" s="129"/>
      <c r="F40" s="135" t="s">
        <v>30</v>
      </c>
      <c r="G40" s="347"/>
    </row>
    <row r="41" spans="2:10" ht="20.05" customHeight="1" x14ac:dyDescent="0.45">
      <c r="B41" s="4"/>
      <c r="C41" s="135" t="s">
        <v>1905</v>
      </c>
      <c r="D41" s="80" t="s">
        <v>3627</v>
      </c>
      <c r="E41" s="129"/>
      <c r="F41" s="135" t="s">
        <v>30</v>
      </c>
      <c r="G41" s="347"/>
    </row>
    <row r="42" spans="2:10" ht="20.05" customHeight="1" x14ac:dyDescent="0.45">
      <c r="B42" s="465" t="s">
        <v>3628</v>
      </c>
      <c r="C42" s="466"/>
      <c r="D42" s="466"/>
      <c r="E42" s="466"/>
      <c r="F42" s="466"/>
      <c r="G42" s="467"/>
    </row>
    <row r="43" spans="2:10" ht="20.05" customHeight="1" x14ac:dyDescent="0.45">
      <c r="B43" s="346" t="s">
        <v>3583</v>
      </c>
      <c r="C43" s="346" t="s">
        <v>2726</v>
      </c>
      <c r="D43" s="346" t="s">
        <v>3595</v>
      </c>
      <c r="E43" s="97" t="s">
        <v>3596</v>
      </c>
      <c r="F43" s="346" t="s">
        <v>3597</v>
      </c>
      <c r="G43" s="97" t="s">
        <v>3598</v>
      </c>
    </row>
    <row r="44" spans="2:10" ht="20.05" customHeight="1" x14ac:dyDescent="0.45">
      <c r="B44" s="4" t="s">
        <v>3629</v>
      </c>
      <c r="C44" s="80" t="s">
        <v>1905</v>
      </c>
      <c r="D44" s="80" t="s">
        <v>3630</v>
      </c>
      <c r="E44" s="129"/>
      <c r="F44" s="135" t="s">
        <v>30</v>
      </c>
      <c r="G44" s="347"/>
    </row>
    <row r="45" spans="2:10" ht="20.05" customHeight="1" x14ac:dyDescent="0.45">
      <c r="B45" s="4" t="s">
        <v>3631</v>
      </c>
      <c r="C45" s="80" t="s">
        <v>1905</v>
      </c>
      <c r="D45" s="80" t="s">
        <v>3632</v>
      </c>
      <c r="E45" s="129"/>
      <c r="F45" s="135" t="s">
        <v>30</v>
      </c>
      <c r="G45" s="347"/>
    </row>
    <row r="46" spans="2:10" ht="20.05" customHeight="1" x14ac:dyDescent="0.45">
      <c r="B46" s="465" t="s">
        <v>3495</v>
      </c>
      <c r="C46" s="466"/>
      <c r="D46" s="466"/>
      <c r="E46" s="466"/>
      <c r="F46" s="466"/>
      <c r="G46" s="467"/>
    </row>
    <row r="47" spans="2:10" ht="20.05" customHeight="1" x14ac:dyDescent="0.45">
      <c r="B47" s="346" t="s">
        <v>3583</v>
      </c>
      <c r="C47" s="346" t="s">
        <v>2726</v>
      </c>
      <c r="D47" s="346" t="s">
        <v>3595</v>
      </c>
      <c r="E47" s="97" t="s">
        <v>3596</v>
      </c>
      <c r="F47" s="346" t="s">
        <v>3597</v>
      </c>
      <c r="G47" s="97" t="s">
        <v>3598</v>
      </c>
    </row>
    <row r="48" spans="2:10" ht="20.05" customHeight="1" x14ac:dyDescent="0.45">
      <c r="B48" s="4" t="s">
        <v>3633</v>
      </c>
      <c r="C48" s="80" t="s">
        <v>1905</v>
      </c>
      <c r="D48" s="80" t="s">
        <v>3634</v>
      </c>
      <c r="E48" s="129"/>
      <c r="F48" s="135" t="s">
        <v>30</v>
      </c>
      <c r="G48" s="347"/>
    </row>
    <row r="49" spans="2:10" ht="20.05" customHeight="1" x14ac:dyDescent="0.45">
      <c r="B49" s="4" t="s">
        <v>3635</v>
      </c>
      <c r="C49" s="80" t="s">
        <v>1905</v>
      </c>
      <c r="D49" s="80" t="s">
        <v>3636</v>
      </c>
      <c r="E49" s="129"/>
      <c r="F49" s="135" t="s">
        <v>30</v>
      </c>
      <c r="G49" s="347"/>
    </row>
    <row r="50" spans="2:10" ht="20.05" customHeight="1" x14ac:dyDescent="0.45"/>
    <row r="51" spans="2:10" ht="34" customHeight="1" x14ac:dyDescent="0.45">
      <c r="B51" s="423" t="s">
        <v>2142</v>
      </c>
      <c r="C51" s="423"/>
      <c r="D51" s="423"/>
      <c r="E51" s="423"/>
      <c r="J51" s="2"/>
    </row>
    <row r="52" spans="2:10" ht="20.05" customHeight="1" x14ac:dyDescent="0.45">
      <c r="B52" s="682" t="s">
        <v>3637</v>
      </c>
      <c r="C52" s="682"/>
      <c r="D52" s="682"/>
      <c r="E52" s="682"/>
      <c r="J52" s="2"/>
    </row>
    <row r="53" spans="2:10" ht="20.05" customHeight="1" x14ac:dyDescent="0.45">
      <c r="B53" s="346" t="s">
        <v>3638</v>
      </c>
      <c r="C53" s="346" t="s">
        <v>2726</v>
      </c>
      <c r="D53" s="346" t="s">
        <v>3639</v>
      </c>
      <c r="E53" s="97" t="s">
        <v>3640</v>
      </c>
      <c r="J53" s="2"/>
    </row>
    <row r="54" spans="2:10" ht="20.05" customHeight="1" x14ac:dyDescent="0.45">
      <c r="B54" s="4" t="s">
        <v>3637</v>
      </c>
      <c r="C54" s="80" t="s">
        <v>1905</v>
      </c>
      <c r="D54" s="80" t="s">
        <v>3641</v>
      </c>
      <c r="E54" s="347"/>
      <c r="J54" s="2"/>
    </row>
    <row r="55" spans="2:10" ht="20.05" customHeight="1" x14ac:dyDescent="0.45">
      <c r="B55" s="4"/>
      <c r="C55" s="80" t="s">
        <v>1905</v>
      </c>
      <c r="D55" s="80" t="s">
        <v>3642</v>
      </c>
      <c r="E55" s="347"/>
    </row>
    <row r="56" spans="2:10" ht="20.05" customHeight="1" x14ac:dyDescent="0.45">
      <c r="B56" s="4"/>
      <c r="C56" s="80" t="s">
        <v>1905</v>
      </c>
      <c r="D56" s="80" t="s">
        <v>3643</v>
      </c>
      <c r="E56" s="347"/>
    </row>
    <row r="57" spans="2:10" ht="20.05" customHeight="1" x14ac:dyDescent="0.45">
      <c r="B57" s="682" t="s">
        <v>3644</v>
      </c>
      <c r="C57" s="682"/>
      <c r="D57" s="682"/>
      <c r="E57" s="682"/>
    </row>
    <row r="58" spans="2:10" ht="20.05" customHeight="1" x14ac:dyDescent="0.45">
      <c r="B58" s="346" t="s">
        <v>3638</v>
      </c>
      <c r="C58" s="346" t="s">
        <v>2726</v>
      </c>
      <c r="D58" s="346" t="s">
        <v>3639</v>
      </c>
      <c r="E58" s="97" t="s">
        <v>3640</v>
      </c>
    </row>
    <row r="59" spans="2:10" ht="20.05" customHeight="1" x14ac:dyDescent="0.45">
      <c r="B59" s="4" t="s">
        <v>3645</v>
      </c>
      <c r="C59" s="80" t="s">
        <v>1905</v>
      </c>
      <c r="D59" s="80" t="s">
        <v>3646</v>
      </c>
      <c r="E59" s="347"/>
      <c r="J59" s="2"/>
    </row>
    <row r="60" spans="2:10" ht="20.05" customHeight="1" x14ac:dyDescent="0.45">
      <c r="B60" s="4"/>
      <c r="C60" s="80" t="s">
        <v>1905</v>
      </c>
      <c r="D60" s="80" t="s">
        <v>3647</v>
      </c>
      <c r="E60" s="347"/>
    </row>
    <row r="61" spans="2:10" ht="20.05" customHeight="1" x14ac:dyDescent="0.45">
      <c r="B61" s="4"/>
      <c r="C61" s="80" t="s">
        <v>1905</v>
      </c>
      <c r="D61" s="80" t="s">
        <v>3648</v>
      </c>
      <c r="E61" s="347"/>
    </row>
    <row r="62" spans="2:10" ht="20.05" customHeight="1" x14ac:dyDescent="0.45">
      <c r="B62" s="682" t="s">
        <v>3649</v>
      </c>
      <c r="C62" s="682"/>
      <c r="D62" s="682"/>
      <c r="E62" s="682"/>
    </row>
    <row r="63" spans="2:10" ht="20.05" customHeight="1" x14ac:dyDescent="0.45">
      <c r="B63" s="346" t="s">
        <v>3638</v>
      </c>
      <c r="C63" s="346" t="s">
        <v>2726</v>
      </c>
      <c r="D63" s="346" t="s">
        <v>3639</v>
      </c>
      <c r="E63" s="97" t="s">
        <v>3640</v>
      </c>
    </row>
    <row r="64" spans="2:10" ht="20.05" customHeight="1" x14ac:dyDescent="0.45">
      <c r="B64" s="4" t="s">
        <v>1664</v>
      </c>
      <c r="C64" s="80" t="s">
        <v>1905</v>
      </c>
      <c r="D64" s="80" t="s">
        <v>2231</v>
      </c>
      <c r="E64" s="347"/>
      <c r="J64" s="2"/>
    </row>
    <row r="65" spans="2:10" ht="20.05" customHeight="1" x14ac:dyDescent="0.45">
      <c r="B65" s="4"/>
      <c r="C65" s="80" t="s">
        <v>1905</v>
      </c>
      <c r="D65" s="80" t="s">
        <v>2235</v>
      </c>
      <c r="E65" s="347"/>
    </row>
    <row r="66" spans="2:10" ht="20.05" customHeight="1" x14ac:dyDescent="0.45">
      <c r="B66" s="4"/>
      <c r="C66" s="80" t="s">
        <v>1905</v>
      </c>
      <c r="D66" s="80" t="s">
        <v>2239</v>
      </c>
      <c r="E66" s="347"/>
    </row>
    <row r="67" spans="2:10" ht="20.05" customHeight="1" x14ac:dyDescent="0.45">
      <c r="B67" s="4" t="s">
        <v>1657</v>
      </c>
      <c r="C67" s="80" t="s">
        <v>1905</v>
      </c>
      <c r="D67" s="80" t="s">
        <v>2242</v>
      </c>
      <c r="E67" s="347"/>
    </row>
    <row r="68" spans="2:10" ht="20.05" customHeight="1" x14ac:dyDescent="0.45">
      <c r="B68" s="4"/>
      <c r="C68" s="80" t="s">
        <v>1905</v>
      </c>
      <c r="D68" s="80" t="s">
        <v>2246</v>
      </c>
      <c r="E68" s="347"/>
    </row>
    <row r="69" spans="2:10" ht="20.05" customHeight="1" x14ac:dyDescent="0.45">
      <c r="B69" s="4"/>
      <c r="C69" s="80" t="s">
        <v>1905</v>
      </c>
      <c r="D69" s="80" t="s">
        <v>2249</v>
      </c>
      <c r="E69" s="347"/>
    </row>
    <row r="70" spans="2:10" ht="20.05" customHeight="1" x14ac:dyDescent="0.45">
      <c r="B70" s="4" t="s">
        <v>2226</v>
      </c>
      <c r="C70" s="80" t="s">
        <v>1905</v>
      </c>
      <c r="D70" s="80" t="s">
        <v>2252</v>
      </c>
      <c r="E70" s="347"/>
    </row>
    <row r="71" spans="2:10" ht="20.05" customHeight="1" x14ac:dyDescent="0.45">
      <c r="B71" s="4"/>
      <c r="C71" s="80" t="s">
        <v>1905</v>
      </c>
      <c r="D71" s="80" t="s">
        <v>2255</v>
      </c>
      <c r="E71" s="347"/>
    </row>
    <row r="72" spans="2:10" ht="20.05" customHeight="1" x14ac:dyDescent="0.45">
      <c r="B72" s="4"/>
      <c r="C72" s="80" t="s">
        <v>1905</v>
      </c>
      <c r="D72" s="80" t="s">
        <v>2258</v>
      </c>
      <c r="E72" s="347"/>
    </row>
    <row r="73" spans="2:10" ht="20.05" customHeight="1" x14ac:dyDescent="0.45">
      <c r="B73" s="465" t="s">
        <v>3650</v>
      </c>
      <c r="C73" s="411"/>
      <c r="D73" s="411"/>
      <c r="E73" s="411"/>
    </row>
    <row r="74" spans="2:10" ht="20.05" customHeight="1" x14ac:dyDescent="0.45">
      <c r="B74" s="346" t="s">
        <v>3638</v>
      </c>
      <c r="C74" s="346" t="s">
        <v>2726</v>
      </c>
      <c r="D74" s="346" t="s">
        <v>3639</v>
      </c>
      <c r="E74" s="97" t="s">
        <v>3640</v>
      </c>
    </row>
    <row r="75" spans="2:10" ht="20.05" customHeight="1" x14ac:dyDescent="0.45">
      <c r="B75" s="4" t="s">
        <v>3651</v>
      </c>
      <c r="C75" s="80" t="s">
        <v>1905</v>
      </c>
      <c r="D75" s="80" t="s">
        <v>3652</v>
      </c>
      <c r="E75" s="129"/>
    </row>
    <row r="76" spans="2:10" ht="20.05" customHeight="1" x14ac:dyDescent="0.45">
      <c r="B76" s="337"/>
      <c r="C76" s="80" t="s">
        <v>1905</v>
      </c>
      <c r="D76" s="80" t="s">
        <v>3653</v>
      </c>
      <c r="E76" s="129"/>
      <c r="G76" s="3"/>
    </row>
    <row r="77" spans="2:10" ht="20.05" customHeight="1" x14ac:dyDescent="0.45">
      <c r="B77" s="465" t="s">
        <v>3604</v>
      </c>
      <c r="C77" s="411"/>
      <c r="D77" s="411"/>
      <c r="E77" s="412"/>
      <c r="G77" s="3"/>
      <c r="J77" s="2"/>
    </row>
    <row r="78" spans="2:10" ht="20.05" customHeight="1" x14ac:dyDescent="0.45">
      <c r="B78" s="346" t="s">
        <v>3638</v>
      </c>
      <c r="C78" s="346" t="s">
        <v>2726</v>
      </c>
      <c r="D78" s="346" t="s">
        <v>3639</v>
      </c>
      <c r="E78" s="97" t="s">
        <v>3640</v>
      </c>
      <c r="G78" s="3"/>
    </row>
    <row r="79" spans="2:10" ht="20.05" customHeight="1" x14ac:dyDescent="0.45">
      <c r="B79" s="4" t="s">
        <v>3654</v>
      </c>
      <c r="C79" s="80" t="s">
        <v>1905</v>
      </c>
      <c r="D79" s="80" t="s">
        <v>3655</v>
      </c>
      <c r="E79" s="347"/>
    </row>
    <row r="80" spans="2:10" ht="20.05" customHeight="1" x14ac:dyDescent="0.45">
      <c r="B80" s="4"/>
      <c r="C80" s="80" t="s">
        <v>1905</v>
      </c>
      <c r="D80" s="80" t="s">
        <v>3656</v>
      </c>
      <c r="E80" s="347"/>
    </row>
    <row r="81" spans="2:10" ht="20.05" customHeight="1" x14ac:dyDescent="0.45">
      <c r="B81" s="4"/>
      <c r="C81" s="80" t="s">
        <v>1905</v>
      </c>
      <c r="D81" s="80" t="s">
        <v>3657</v>
      </c>
      <c r="E81" s="347"/>
    </row>
    <row r="82" spans="2:10" ht="20.05" customHeight="1" x14ac:dyDescent="0.45">
      <c r="B82" s="465" t="s">
        <v>3607</v>
      </c>
      <c r="C82" s="411"/>
      <c r="D82" s="411"/>
      <c r="E82" s="412"/>
    </row>
    <row r="83" spans="2:10" ht="20.05" customHeight="1" x14ac:dyDescent="0.45">
      <c r="B83" s="346" t="s">
        <v>3638</v>
      </c>
      <c r="C83" s="346" t="s">
        <v>2726</v>
      </c>
      <c r="D83" s="346" t="s">
        <v>3639</v>
      </c>
      <c r="E83" s="97" t="s">
        <v>3640</v>
      </c>
    </row>
    <row r="84" spans="2:10" ht="20.05" customHeight="1" x14ac:dyDescent="0.45">
      <c r="B84" s="4" t="s">
        <v>3658</v>
      </c>
      <c r="C84" s="80" t="s">
        <v>1905</v>
      </c>
      <c r="D84" s="80" t="s">
        <v>3659</v>
      </c>
      <c r="E84" s="347"/>
    </row>
    <row r="85" spans="2:10" ht="20.05" customHeight="1" x14ac:dyDescent="0.45">
      <c r="B85" s="4"/>
      <c r="C85" s="80" t="s">
        <v>1905</v>
      </c>
      <c r="D85" s="80" t="s">
        <v>3660</v>
      </c>
      <c r="E85" s="347"/>
    </row>
    <row r="86" spans="2:10" ht="20.05" customHeight="1" x14ac:dyDescent="0.45">
      <c r="B86" s="4"/>
      <c r="C86" s="80" t="s">
        <v>1905</v>
      </c>
      <c r="D86" s="80" t="s">
        <v>3661</v>
      </c>
      <c r="E86" s="347"/>
      <c r="J86" s="2"/>
    </row>
    <row r="87" spans="2:10" ht="20.05" customHeight="1" x14ac:dyDescent="0.45">
      <c r="B87" s="465" t="s">
        <v>3615</v>
      </c>
      <c r="C87" s="411"/>
      <c r="D87" s="411"/>
      <c r="E87" s="412"/>
    </row>
    <row r="88" spans="2:10" ht="20.05" customHeight="1" x14ac:dyDescent="0.45">
      <c r="B88" s="346" t="s">
        <v>3638</v>
      </c>
      <c r="C88" s="346" t="s">
        <v>2726</v>
      </c>
      <c r="D88" s="346" t="s">
        <v>3639</v>
      </c>
      <c r="E88" s="97" t="s">
        <v>3640</v>
      </c>
      <c r="I88" s="3"/>
    </row>
    <row r="89" spans="2:10" ht="20.05" customHeight="1" x14ac:dyDescent="0.45">
      <c r="B89" s="4" t="s">
        <v>3662</v>
      </c>
      <c r="C89" s="80" t="s">
        <v>1905</v>
      </c>
      <c r="D89" s="80" t="s">
        <v>3663</v>
      </c>
      <c r="E89" s="347"/>
    </row>
    <row r="90" spans="2:10" ht="20.05" customHeight="1" x14ac:dyDescent="0.45">
      <c r="B90" s="4"/>
      <c r="C90" s="80" t="s">
        <v>1905</v>
      </c>
      <c r="D90" s="80" t="s">
        <v>3664</v>
      </c>
      <c r="E90" s="347"/>
    </row>
    <row r="91" spans="2:10" ht="20.05" customHeight="1" x14ac:dyDescent="0.45">
      <c r="B91" s="4"/>
      <c r="C91" s="80" t="s">
        <v>1905</v>
      </c>
      <c r="D91" s="80" t="s">
        <v>3665</v>
      </c>
      <c r="E91" s="347"/>
      <c r="J91" s="2"/>
    </row>
    <row r="92" spans="2:10" ht="20.05" customHeight="1" x14ac:dyDescent="0.45">
      <c r="B92" s="465" t="s">
        <v>3622</v>
      </c>
      <c r="C92" s="411"/>
      <c r="D92" s="411"/>
      <c r="E92" s="412"/>
    </row>
    <row r="93" spans="2:10" ht="20.05" customHeight="1" x14ac:dyDescent="0.45">
      <c r="B93" s="346" t="s">
        <v>3638</v>
      </c>
      <c r="C93" s="346" t="s">
        <v>2726</v>
      </c>
      <c r="D93" s="346" t="s">
        <v>3639</v>
      </c>
      <c r="E93" s="97" t="s">
        <v>3640</v>
      </c>
    </row>
    <row r="94" spans="2:10" ht="20.05" customHeight="1" x14ac:dyDescent="0.45">
      <c r="B94" s="4" t="s">
        <v>3666</v>
      </c>
      <c r="C94" s="80" t="s">
        <v>1905</v>
      </c>
      <c r="D94" s="80" t="s">
        <v>3667</v>
      </c>
      <c r="E94" s="347"/>
    </row>
    <row r="95" spans="2:10" ht="20.05" customHeight="1" x14ac:dyDescent="0.45">
      <c r="B95" s="4"/>
      <c r="C95" s="80" t="s">
        <v>1905</v>
      </c>
      <c r="D95" s="80" t="s">
        <v>3668</v>
      </c>
      <c r="E95" s="347"/>
    </row>
    <row r="96" spans="2:10" ht="20.05" customHeight="1" x14ac:dyDescent="0.45">
      <c r="B96" s="4"/>
      <c r="C96" s="80" t="s">
        <v>1905</v>
      </c>
      <c r="D96" s="80" t="s">
        <v>3669</v>
      </c>
      <c r="E96" s="347"/>
      <c r="G96" s="3"/>
      <c r="J96" s="2"/>
    </row>
    <row r="97" spans="2:9" ht="20.05" customHeight="1" x14ac:dyDescent="0.45">
      <c r="B97" s="4"/>
      <c r="C97" s="80" t="s">
        <v>1905</v>
      </c>
      <c r="D97" s="80" t="s">
        <v>3670</v>
      </c>
      <c r="E97" s="347"/>
      <c r="G97" s="3"/>
    </row>
    <row r="98" spans="2:9" ht="20.05" customHeight="1" x14ac:dyDescent="0.45">
      <c r="B98" s="4"/>
      <c r="C98" s="80" t="s">
        <v>1905</v>
      </c>
      <c r="D98" s="80" t="s">
        <v>3671</v>
      </c>
      <c r="E98" s="347"/>
      <c r="G98" s="3"/>
    </row>
    <row r="99" spans="2:9" ht="20.05" customHeight="1" x14ac:dyDescent="0.45">
      <c r="B99" s="4"/>
      <c r="C99" s="80" t="s">
        <v>1905</v>
      </c>
      <c r="D99" s="80" t="s">
        <v>3672</v>
      </c>
      <c r="E99" s="347"/>
      <c r="G99" s="3"/>
      <c r="I99" s="3"/>
    </row>
    <row r="100" spans="2:9" ht="20.05" customHeight="1" x14ac:dyDescent="0.45">
      <c r="B100" s="4"/>
      <c r="C100" s="80" t="s">
        <v>1905</v>
      </c>
      <c r="D100" s="80" t="s">
        <v>3673</v>
      </c>
      <c r="E100" s="347"/>
      <c r="G100" s="3"/>
      <c r="I100" s="3"/>
    </row>
    <row r="101" spans="2:9" ht="20.05" customHeight="1" x14ac:dyDescent="0.45">
      <c r="B101" s="4"/>
      <c r="C101" s="80" t="s">
        <v>1905</v>
      </c>
      <c r="D101" s="80" t="s">
        <v>3674</v>
      </c>
      <c r="E101" s="347"/>
      <c r="G101" s="3"/>
      <c r="I101" s="3"/>
    </row>
    <row r="102" spans="2:9" ht="20.05" customHeight="1" x14ac:dyDescent="0.45">
      <c r="B102" s="4"/>
      <c r="C102" s="80" t="s">
        <v>1905</v>
      </c>
      <c r="D102" s="80" t="s">
        <v>3675</v>
      </c>
      <c r="E102" s="347"/>
      <c r="G102" s="3"/>
      <c r="I102" s="3"/>
    </row>
    <row r="103" spans="2:9" ht="20.05" customHeight="1" x14ac:dyDescent="0.45">
      <c r="B103" s="4"/>
      <c r="C103" s="80" t="s">
        <v>1905</v>
      </c>
      <c r="D103" s="80" t="s">
        <v>3676</v>
      </c>
      <c r="E103" s="347"/>
      <c r="G103" s="3"/>
      <c r="I103" s="3"/>
    </row>
    <row r="104" spans="2:9" ht="20.05" customHeight="1" x14ac:dyDescent="0.45">
      <c r="B104" s="4"/>
      <c r="C104" s="80" t="s">
        <v>1905</v>
      </c>
      <c r="D104" s="80" t="s">
        <v>3677</v>
      </c>
      <c r="E104" s="347"/>
      <c r="G104" s="3"/>
      <c r="I104" s="3"/>
    </row>
    <row r="105" spans="2:9" ht="20.05" customHeight="1" x14ac:dyDescent="0.45">
      <c r="B105" s="4"/>
      <c r="C105" s="80" t="s">
        <v>1905</v>
      </c>
      <c r="D105" s="80" t="s">
        <v>3678</v>
      </c>
      <c r="E105" s="347"/>
      <c r="G105" s="3"/>
      <c r="I105" s="3"/>
    </row>
    <row r="106" spans="2:9" ht="20.05" customHeight="1" x14ac:dyDescent="0.45">
      <c r="G106" s="3"/>
      <c r="I106" s="3"/>
    </row>
    <row r="107" spans="2:9" ht="20.05" customHeight="1" x14ac:dyDescent="0.45">
      <c r="G107" s="3"/>
      <c r="I107" s="3"/>
    </row>
    <row r="108" spans="2:9" ht="20.05" customHeight="1" x14ac:dyDescent="0.45">
      <c r="I108" s="3"/>
    </row>
    <row r="109" spans="2:9" ht="20.05" customHeight="1" x14ac:dyDescent="0.45">
      <c r="I109" s="3"/>
    </row>
    <row r="110" spans="2:9" ht="20.05" customHeight="1" x14ac:dyDescent="0.45">
      <c r="I110" s="3"/>
    </row>
    <row r="111" spans="2:9" ht="20.05" customHeight="1" x14ac:dyDescent="0.45"/>
    <row r="112" spans="2:9" ht="20.05" customHeight="1" x14ac:dyDescent="0.45"/>
  </sheetData>
  <sheetProtection algorithmName="SHA-512" hashValue="vw8/rZfNaIx4JaWyR2NDUPT1fIRbVB5mLS96TIwZ7ZhTXRIkQLis8+cQZ4LXEN3Y0hUI/5joq4beo8v9Atlruw==" saltValue="UKyAEfjXgAjB83I7loQLEQ==" spinCount="100000" sheet="1" selectLockedCells="1"/>
  <mergeCells count="21">
    <mergeCell ref="B82:E82"/>
    <mergeCell ref="B92:E92"/>
    <mergeCell ref="B42:G42"/>
    <mergeCell ref="B30:G30"/>
    <mergeCell ref="B73:E73"/>
    <mergeCell ref="B62:E62"/>
    <mergeCell ref="B57:E57"/>
    <mergeCell ref="B77:E77"/>
    <mergeCell ref="B87:E87"/>
    <mergeCell ref="B2:G2"/>
    <mergeCell ref="B6:G6"/>
    <mergeCell ref="B51:E51"/>
    <mergeCell ref="B52:E52"/>
    <mergeCell ref="B13:G13"/>
    <mergeCell ref="B14:G14"/>
    <mergeCell ref="B16:G16"/>
    <mergeCell ref="B35:G35"/>
    <mergeCell ref="B21:G21"/>
    <mergeCell ref="B25:G25"/>
    <mergeCell ref="B46:G46"/>
    <mergeCell ref="B22:G22"/>
  </mergeCells>
  <conditionalFormatting sqref="B77 B78:E81">
    <cfRule type="expression" dxfId="60" priority="23">
      <formula>intelligent_logging_result="Excluded"</formula>
    </cfRule>
  </conditionalFormatting>
  <conditionalFormatting sqref="B92 B93:E105">
    <cfRule type="expression" dxfId="59" priority="20">
      <formula>private_cloud_result="Excluded"</formula>
    </cfRule>
  </conditionalFormatting>
  <conditionalFormatting sqref="B8:C8 E8:G8">
    <cfRule type="expression" dxfId="58" priority="83">
      <formula>vcf_aware_wsa_result="Excluded"</formula>
    </cfRule>
  </conditionalFormatting>
  <conditionalFormatting sqref="B9:C9 E9:G9">
    <cfRule type="expression" dxfId="57" priority="81">
      <formula>iam_result="Excluded"</formula>
    </cfRule>
  </conditionalFormatting>
  <conditionalFormatting sqref="B51:E51">
    <cfRule type="expression" dxfId="56" priority="71">
      <formula>AND((vrslcm_result="Excluded"),(vcf_aware_wsa_result="Excluded"),(iam_result="Excluded"),(intelligent_operations_result="Excluded"),(intelligent_logging_result="Excluded"),(private_cloud_result="Excluded"),(developer_ready_result="Excluded"))</formula>
    </cfRule>
  </conditionalFormatting>
  <conditionalFormatting sqref="B52:E56">
    <cfRule type="expression" dxfId="55" priority="33">
      <formula>vrslcm_result="Excluded"</formula>
    </cfRule>
  </conditionalFormatting>
  <conditionalFormatting sqref="B57:E61">
    <cfRule type="expression" dxfId="54" priority="31" stopIfTrue="1">
      <formula>vcf_aware_wsa_result="Excluded"</formula>
    </cfRule>
  </conditionalFormatting>
  <conditionalFormatting sqref="B73:E76">
    <cfRule type="expression" dxfId="53" priority="64">
      <formula>developer_ready_result="Excluded"</formula>
    </cfRule>
  </conditionalFormatting>
  <conditionalFormatting sqref="B78:E81 B62:E72 B73 B77">
    <cfRule type="expression" dxfId="52" priority="29">
      <formula>iam_result="Excluded"</formula>
    </cfRule>
  </conditionalFormatting>
  <conditionalFormatting sqref="B82:E86">
    <cfRule type="expression" dxfId="51" priority="7">
      <formula>intelligent_operations_result="Excluded"</formula>
    </cfRule>
  </conditionalFormatting>
  <conditionalFormatting sqref="B87:E91">
    <cfRule type="expression" dxfId="50" priority="8" stopIfTrue="1">
      <formula>inv_result="Excluded"</formula>
    </cfRule>
  </conditionalFormatting>
  <conditionalFormatting sqref="B6:G7">
    <cfRule type="expression" dxfId="49" priority="82">
      <formula>AND((vcf_aware_wsa_result="Excluded"),(iam_result="Excluded"))</formula>
    </cfRule>
  </conditionalFormatting>
  <conditionalFormatting sqref="B10:G10">
    <cfRule type="expression" dxfId="48" priority="80">
      <formula>vcf_aware_wsa_result="Excluded"</formula>
    </cfRule>
  </conditionalFormatting>
  <conditionalFormatting sqref="B11:G11">
    <cfRule type="expression" dxfId="47" priority="79">
      <formula>iam_result="Excluded"</formula>
    </cfRule>
  </conditionalFormatting>
  <conditionalFormatting sqref="B13:G13">
    <cfRule type="expression" dxfId="46" priority="78">
      <formula>AND((mgmt_signed_certs_result="Excluded"),(vcf_aware_wsa_result="Excluded"),(iam_result="Excluded"))</formula>
    </cfRule>
  </conditionalFormatting>
  <conditionalFormatting sqref="B16:G19">
    <cfRule type="expression" dxfId="45" priority="46">
      <formula>iam_result="Excluded"</formula>
    </cfRule>
  </conditionalFormatting>
  <conditionalFormatting sqref="B21:G21">
    <cfRule type="expression" dxfId="44" priority="74">
      <formula>AND((private_cloud_result="Excluded"),(intelligent_operations_result="Excluded"))</formula>
    </cfRule>
  </conditionalFormatting>
  <conditionalFormatting sqref="B22:G24">
    <cfRule type="expression" dxfId="43" priority="9">
      <formula>(intelligent_logging_result="Excluded")</formula>
    </cfRule>
  </conditionalFormatting>
  <conditionalFormatting sqref="B25:G28">
    <cfRule type="expression" dxfId="42" priority="15">
      <formula>(intelligent_operations_result="Excluded")</formula>
    </cfRule>
  </conditionalFormatting>
  <conditionalFormatting sqref="B29:G29">
    <cfRule type="expression" dxfId="41" priority="59">
      <formula>OR((private_cloud_result="Excluded"),(intelligent_operations_result="Excluded"))</formula>
    </cfRule>
  </conditionalFormatting>
  <conditionalFormatting sqref="B30:G34">
    <cfRule type="expression" dxfId="40" priority="16">
      <formula>inv_result="Excluded"</formula>
    </cfRule>
  </conditionalFormatting>
  <conditionalFormatting sqref="B35:G41">
    <cfRule type="expression" dxfId="39" priority="73">
      <formula>private_cloud_result="Excluded"</formula>
    </cfRule>
  </conditionalFormatting>
  <conditionalFormatting sqref="B42:G45">
    <cfRule type="expression" dxfId="38" priority="35" stopIfTrue="1">
      <formula>hrm_result="Excluded"</formula>
    </cfRule>
  </conditionalFormatting>
  <conditionalFormatting sqref="B46:G49">
    <cfRule type="expression" dxfId="37" priority="17">
      <formula>ccm_result="Excluded"</formula>
    </cfRule>
  </conditionalFormatting>
  <conditionalFormatting sqref="C41">
    <cfRule type="expression" dxfId="36" priority="6">
      <formula>private_cloud_result="Excluded"</formula>
    </cfRule>
  </conditionalFormatting>
  <conditionalFormatting sqref="E8:E11">
    <cfRule type="containsBlanks" dxfId="35" priority="105">
      <formula>LEN(TRIM(E8))=0</formula>
    </cfRule>
    <cfRule type="notContainsBlanks" dxfId="34" priority="244">
      <formula>LEN(TRIM(E8))&gt;0</formula>
    </cfRule>
  </conditionalFormatting>
  <conditionalFormatting sqref="E18:E19">
    <cfRule type="notContainsBlanks" dxfId="33" priority="247">
      <formula>LEN(TRIM(E18))&gt;0</formula>
    </cfRule>
  </conditionalFormatting>
  <conditionalFormatting sqref="E21:E29 E35:E45 G37:G42 E75:E76 E16:E19 G44:G46 E48:E49 G48:G49 G32:G34">
    <cfRule type="containsBlanks" dxfId="32" priority="243">
      <formula>LEN(TRIM(E16))=0</formula>
    </cfRule>
  </conditionalFormatting>
  <conditionalFormatting sqref="E24">
    <cfRule type="containsBlanks" dxfId="31" priority="13">
      <formula>LEN(TRIM(E24))=0</formula>
    </cfRule>
    <cfRule type="notContainsBlanks" dxfId="30" priority="248">
      <formula>LEN(TRIM(E24))&gt;0</formula>
    </cfRule>
  </conditionalFormatting>
  <conditionalFormatting sqref="E27:E29">
    <cfRule type="containsBlanks" dxfId="29" priority="63">
      <formula>LEN(TRIM(E27))=0</formula>
    </cfRule>
    <cfRule type="notContainsBlanks" dxfId="28" priority="249">
      <formula>LEN(TRIM(E27))&gt;0</formula>
    </cfRule>
  </conditionalFormatting>
  <conditionalFormatting sqref="E31">
    <cfRule type="containsBlanks" dxfId="27" priority="2">
      <formula>LEN(TRIM(E31))=0</formula>
    </cfRule>
  </conditionalFormatting>
  <conditionalFormatting sqref="E32:E34">
    <cfRule type="containsBlanks" dxfId="26" priority="19">
      <formula>LEN(TRIM(E32))=0</formula>
    </cfRule>
    <cfRule type="notContainsBlanks" dxfId="25" priority="250">
      <formula>LEN(TRIM(E32))&gt;0</formula>
    </cfRule>
  </conditionalFormatting>
  <conditionalFormatting sqref="E37:E42">
    <cfRule type="notContainsBlanks" dxfId="24" priority="251">
      <formula>LEN(TRIM(E37))&gt;0</formula>
    </cfRule>
  </conditionalFormatting>
  <conditionalFormatting sqref="E44:E45">
    <cfRule type="containsBlanks" dxfId="23" priority="36">
      <formula>LEN(TRIM(E44))=0</formula>
    </cfRule>
    <cfRule type="notContainsBlanks" dxfId="22" priority="252">
      <formula>LEN(TRIM(E44))&gt;0</formula>
    </cfRule>
  </conditionalFormatting>
  <conditionalFormatting sqref="E47">
    <cfRule type="containsBlanks" dxfId="21" priority="5">
      <formula>LEN(TRIM(E47))=0</formula>
    </cfRule>
  </conditionalFormatting>
  <conditionalFormatting sqref="E48:E49">
    <cfRule type="notContainsBlanks" dxfId="20" priority="246">
      <formula>LEN(TRIM(E48))&gt;0</formula>
    </cfRule>
  </conditionalFormatting>
  <conditionalFormatting sqref="E54:E56">
    <cfRule type="containsBlanks" dxfId="19" priority="70">
      <formula>LEN(TRIM(E54))=0</formula>
    </cfRule>
    <cfRule type="notContainsBlanks" dxfId="18" priority="253">
      <formula>LEN(TRIM(E54))&gt;0</formula>
    </cfRule>
  </conditionalFormatting>
  <conditionalFormatting sqref="E59:E61">
    <cfRule type="containsBlanks" dxfId="17" priority="69">
      <formula>LEN(TRIM(E59))=0</formula>
    </cfRule>
    <cfRule type="notContainsBlanks" dxfId="16" priority="254">
      <formula>LEN(TRIM(E59))&gt;0</formula>
    </cfRule>
  </conditionalFormatting>
  <conditionalFormatting sqref="E64:E72 E79:E81">
    <cfRule type="containsBlanks" dxfId="15" priority="68">
      <formula>LEN(TRIM(E64))=0</formula>
    </cfRule>
    <cfRule type="notContainsBlanks" dxfId="14" priority="255">
      <formula>LEN(TRIM(E64))&gt;0</formula>
    </cfRule>
  </conditionalFormatting>
  <conditionalFormatting sqref="E79:E81">
    <cfRule type="containsBlanks" dxfId="13" priority="25" stopIfTrue="1">
      <formula>LEN(TRIM(E79))=0</formula>
    </cfRule>
  </conditionalFormatting>
  <conditionalFormatting sqref="E84:E86 E89:E91">
    <cfRule type="notContainsBlanks" dxfId="12" priority="257">
      <formula>LEN(TRIM(E84))&gt;0</formula>
    </cfRule>
  </conditionalFormatting>
  <conditionalFormatting sqref="E89:E91 E84:E86">
    <cfRule type="containsBlanks" dxfId="11" priority="28" stopIfTrue="1">
      <formula>LEN(TRIM(E84))=0</formula>
    </cfRule>
  </conditionalFormatting>
  <conditionalFormatting sqref="E94:E105">
    <cfRule type="containsBlanks" dxfId="10" priority="22" stopIfTrue="1">
      <formula>LEN(TRIM(E94))=0</formula>
    </cfRule>
    <cfRule type="notContainsBlanks" dxfId="9" priority="258">
      <formula>LEN(TRIM(E94))&gt;0</formula>
    </cfRule>
  </conditionalFormatting>
  <conditionalFormatting sqref="G8:G11">
    <cfRule type="containsBlanks" dxfId="8" priority="103">
      <formula>LEN(TRIM(G8))=0</formula>
    </cfRule>
    <cfRule type="notContainsBlanks" dxfId="7" priority="259">
      <formula>LEN(TRIM(G8))&gt;0</formula>
    </cfRule>
  </conditionalFormatting>
  <conditionalFormatting sqref="G18:G19">
    <cfRule type="containsBlanks" dxfId="6" priority="49">
      <formula>LEN(TRIM(G18))=0</formula>
    </cfRule>
    <cfRule type="notContainsBlanks" dxfId="5" priority="262">
      <formula>LEN(TRIM(G18))&gt;0</formula>
    </cfRule>
  </conditionalFormatting>
  <conditionalFormatting sqref="G24">
    <cfRule type="containsBlanks" dxfId="4" priority="11">
      <formula>LEN(TRIM(G24))=0</formula>
    </cfRule>
    <cfRule type="notContainsBlanks" dxfId="3" priority="263">
      <formula>LEN(TRIM(G24))&gt;0</formula>
    </cfRule>
  </conditionalFormatting>
  <conditionalFormatting sqref="G27:G30">
    <cfRule type="containsBlanks" dxfId="2" priority="61">
      <formula>LEN(TRIM(G27))=0</formula>
    </cfRule>
    <cfRule type="notContainsBlanks" dxfId="1" priority="264">
      <formula>LEN(TRIM(G27))&gt;0</formula>
    </cfRule>
  </conditionalFormatting>
  <conditionalFormatting sqref="G32:G34 G37:G42 G44:G46 G48:G49 E75:E76">
    <cfRule type="notContainsBlanks" dxfId="0" priority="245">
      <formula>LEN(TRIM(E32))&gt;0</formula>
    </cfRule>
  </conditionalFormatting>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20D3D-A551-1C46-BF22-7FF7A5F09D91}">
  <sheetPr codeName="Sheet13">
    <tabColor theme="9" tint="-0.249977111117893"/>
  </sheetPr>
  <dimension ref="A1:AG102"/>
  <sheetViews>
    <sheetView showGridLines="0" topLeftCell="A9" zoomScaleNormal="100" workbookViewId="0"/>
  </sheetViews>
  <sheetFormatPr defaultColWidth="10.85546875" defaultRowHeight="15" x14ac:dyDescent="0.45"/>
  <cols>
    <col min="1" max="1" width="2.85546875" style="2" customWidth="1"/>
    <col min="2" max="2" width="11.85546875" style="2" customWidth="1"/>
    <col min="3" max="3" width="12.85546875" style="2" customWidth="1"/>
    <col min="4" max="4" width="12.5" style="2" customWidth="1"/>
    <col min="5" max="5" width="21.85546875" style="2" customWidth="1"/>
    <col min="6" max="6" width="12" style="2" customWidth="1"/>
    <col min="7" max="7" width="13" style="2" customWidth="1"/>
    <col min="8" max="8" width="27" style="3" customWidth="1"/>
    <col min="9" max="9" width="17.85546875" style="3" customWidth="1"/>
    <col min="10" max="10" width="14.640625" style="2" customWidth="1"/>
    <col min="11" max="11" width="15.5" style="2" customWidth="1"/>
    <col min="12" max="12" width="19.85546875" style="2" customWidth="1"/>
    <col min="13" max="13" width="15" style="2" customWidth="1"/>
    <col min="14" max="14" width="11" style="2" customWidth="1"/>
    <col min="15" max="15" width="14.85546875" style="2" customWidth="1"/>
    <col min="16" max="16" width="25.5" style="2" customWidth="1"/>
    <col min="17" max="17" width="12" style="2" customWidth="1"/>
    <col min="18" max="18" width="13.140625" style="2" customWidth="1"/>
    <col min="19" max="19" width="13.85546875" style="2" customWidth="1"/>
    <col min="20" max="20" width="7" style="2" customWidth="1"/>
    <col min="21" max="21" width="18" style="2" customWidth="1"/>
    <col min="22" max="22" width="11.85546875" style="2" customWidth="1"/>
    <col min="23" max="23" width="31" style="2" customWidth="1"/>
    <col min="24" max="27" width="10.85546875" style="2" customWidth="1"/>
    <col min="28" max="28" width="34.85546875" style="2" customWidth="1"/>
    <col min="29" max="36" width="10.85546875" style="2" customWidth="1"/>
    <col min="37" max="16384" width="10.85546875" style="2"/>
  </cols>
  <sheetData>
    <row r="1" spans="1:32" ht="16" customHeight="1" x14ac:dyDescent="0.45">
      <c r="A1" s="1"/>
      <c r="B1" s="1"/>
      <c r="C1" s="1"/>
      <c r="H1" s="2"/>
      <c r="I1" s="2"/>
    </row>
    <row r="2" spans="1:32" ht="54" customHeight="1" x14ac:dyDescent="0.45">
      <c r="B2" s="447" t="s">
        <v>3904</v>
      </c>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row>
    <row r="3" spans="1:32" ht="20.05" customHeight="1" x14ac:dyDescent="0.45">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row>
    <row r="5" spans="1:32" ht="15" customHeight="1" x14ac:dyDescent="0.45">
      <c r="H5" s="2"/>
      <c r="J5" s="3"/>
      <c r="K5" s="3"/>
      <c r="L5" s="3"/>
      <c r="M5" s="3"/>
      <c r="N5" s="3"/>
      <c r="O5" s="3"/>
      <c r="P5" s="3"/>
      <c r="Q5" s="3"/>
    </row>
    <row r="6" spans="1:32" s="104" customFormat="1" ht="20.05" customHeight="1" x14ac:dyDescent="0.45">
      <c r="B6" s="407" t="s">
        <v>3905</v>
      </c>
      <c r="C6" s="408"/>
      <c r="D6" s="408"/>
      <c r="E6" s="409"/>
      <c r="F6" s="2"/>
      <c r="G6" s="448" t="s">
        <v>3906</v>
      </c>
      <c r="H6" s="449"/>
      <c r="I6" s="449"/>
      <c r="J6" s="449"/>
      <c r="K6" s="449"/>
      <c r="L6" s="449"/>
      <c r="M6" s="449"/>
      <c r="N6" s="2"/>
      <c r="O6" s="105" t="s">
        <v>3907</v>
      </c>
      <c r="P6" s="357"/>
      <c r="Q6" s="444"/>
      <c r="R6" s="444"/>
      <c r="S6" s="444"/>
      <c r="T6" s="3"/>
      <c r="U6" s="105" t="s">
        <v>20</v>
      </c>
      <c r="V6" s="357"/>
      <c r="W6" s="357"/>
      <c r="X6" s="357"/>
      <c r="Y6" s="357"/>
      <c r="Z6" s="357"/>
      <c r="AA6" s="357"/>
      <c r="AB6" s="357"/>
      <c r="AC6" s="360"/>
      <c r="AD6" s="360"/>
      <c r="AE6" s="360"/>
    </row>
    <row r="7" spans="1:32" ht="20.05" customHeight="1" x14ac:dyDescent="0.45">
      <c r="B7" s="413" t="s">
        <v>3908</v>
      </c>
      <c r="C7" s="413"/>
      <c r="D7" s="413"/>
      <c r="E7" s="348" t="s">
        <v>1268</v>
      </c>
      <c r="G7" s="450" t="s">
        <v>3908</v>
      </c>
      <c r="H7" s="451"/>
      <c r="I7" s="452"/>
      <c r="J7" s="359" t="s">
        <v>3909</v>
      </c>
      <c r="K7" s="359" t="s">
        <v>3910</v>
      </c>
      <c r="L7" s="359" t="s">
        <v>3911</v>
      </c>
      <c r="M7" s="359" t="s">
        <v>3912</v>
      </c>
      <c r="O7" s="453" t="s">
        <v>3913</v>
      </c>
      <c r="P7" s="453"/>
      <c r="Q7" s="453"/>
      <c r="R7" s="453" t="s">
        <v>2161</v>
      </c>
      <c r="S7" s="453"/>
      <c r="T7" s="3"/>
      <c r="U7" s="454" t="s">
        <v>3914</v>
      </c>
      <c r="V7" s="454"/>
      <c r="W7" s="454"/>
      <c r="X7" s="454"/>
      <c r="Y7" s="454"/>
      <c r="Z7" s="454"/>
      <c r="AA7" s="454"/>
      <c r="AB7" s="454"/>
      <c r="AC7" s="360"/>
      <c r="AD7" s="360"/>
      <c r="AE7" s="360"/>
    </row>
    <row r="8" spans="1:32" ht="20.05" customHeight="1" x14ac:dyDescent="0.45">
      <c r="B8" s="421" t="s">
        <v>3915</v>
      </c>
      <c r="C8" s="421"/>
      <c r="D8" s="421"/>
      <c r="E8" s="399">
        <v>30</v>
      </c>
      <c r="G8" s="420" t="s">
        <v>1664</v>
      </c>
      <c r="H8" s="420"/>
      <c r="I8" s="420"/>
      <c r="J8" s="337">
        <v>1</v>
      </c>
      <c r="K8" s="331">
        <f>sizing_sddc_manager_cpu</f>
        <v>4</v>
      </c>
      <c r="L8" s="331">
        <f>sizing_sddc_manager_ram</f>
        <v>16</v>
      </c>
      <c r="M8" s="331">
        <f>sizing_sddc_manager_disk</f>
        <v>914</v>
      </c>
      <c r="O8" s="410" t="s">
        <v>3916</v>
      </c>
      <c r="P8" s="411"/>
      <c r="Q8" s="412"/>
      <c r="R8" s="445">
        <f t="array" ref="R8">IF(OR(H32="Mandatory - HA Cluster",sizing_vcfops_deployment_model_chosen="Deploy HA",sizing_vcfvidb_chosen="Deploy HA"),MAX(4,(ROUNDUP(((SUM(K8:K27)/sizing_cpu_oversubscription)/sizing_mgmt_cluster_host_core_count),0)),((ROUNDUP((SUM(L8:L27/sizing_ram_oversubscription)/sizing_mgmt_cluster_host_ram_count),0))+1)),
IF(OR(sizing_storage_type="vSAN-ESA",sizing_storage_type="vSAN-OSA"),MAX(3,(ROUNDUP(((SUM(K8:K27)/sizing_cpu_oversubscription)/sizing_mgmt_cluster_host_core_count),0)),((ROUNDUP((SUM(L8:L27/sizing_ram_oversubscription)/sizing_mgmt_cluster_host_ram_count),0))+1)),MAX(2,(ROUNDUP(((SUM(K8:K27)/sizing_cpu_oversubscription)/sizing_mgmt_cluster_host_core_count),0)),((ROUNDUP((SUM(L8:L27/sizing_ram_oversubscription)/sizing_mgmt_cluster_host_ram_count),0))+1))))</f>
        <v>4</v>
      </c>
      <c r="S8" s="446"/>
      <c r="T8" s="23"/>
      <c r="U8" s="454"/>
      <c r="V8" s="454"/>
      <c r="W8" s="454"/>
      <c r="X8" s="454"/>
      <c r="Y8" s="454"/>
      <c r="Z8" s="454"/>
      <c r="AA8" s="454"/>
      <c r="AB8" s="454"/>
      <c r="AC8" s="360"/>
      <c r="AD8" s="360"/>
      <c r="AE8" s="360"/>
    </row>
    <row r="9" spans="1:32" ht="20.05" customHeight="1" x14ac:dyDescent="0.45">
      <c r="B9" s="421" t="s">
        <v>3917</v>
      </c>
      <c r="C9" s="421"/>
      <c r="D9" s="421"/>
      <c r="E9" s="399">
        <v>10</v>
      </c>
      <c r="G9" s="421" t="s">
        <v>3918</v>
      </c>
      <c r="H9" s="421"/>
      <c r="I9" s="421"/>
      <c r="J9" s="337">
        <v>2</v>
      </c>
      <c r="K9" s="337">
        <v>2</v>
      </c>
      <c r="L9" s="337">
        <v>1</v>
      </c>
      <c r="M9" s="337">
        <v>0</v>
      </c>
      <c r="O9" s="410" t="s">
        <v>3919</v>
      </c>
      <c r="P9" s="411"/>
      <c r="Q9" s="412"/>
      <c r="R9" s="458" t="str">
        <f>CONCATENATE(ROUNDUP(SUM(K8:K27)/(calculated_mgmt_host_count-1)/sizing_cpu_oversubscription,0)," CPUs")</f>
        <v>6 CPUs</v>
      </c>
      <c r="S9" s="459"/>
      <c r="U9" s="454"/>
      <c r="V9" s="454"/>
      <c r="W9" s="454"/>
      <c r="X9" s="454"/>
      <c r="Y9" s="454"/>
      <c r="Z9" s="454"/>
      <c r="AA9" s="454"/>
      <c r="AB9" s="454"/>
      <c r="AC9" s="360"/>
      <c r="AD9" s="360"/>
      <c r="AE9" s="360"/>
      <c r="AF9" s="360"/>
    </row>
    <row r="10" spans="1:32" ht="20.05" customHeight="1" x14ac:dyDescent="0.45">
      <c r="G10" s="420" t="s">
        <v>3920</v>
      </c>
      <c r="H10" s="420"/>
      <c r="I10" s="420"/>
      <c r="J10" s="337">
        <v>1</v>
      </c>
      <c r="K10" s="331">
        <f>IF(sizing_m01_included="Included",VLOOKUP(D32,table_vcenter_appliance_cpu,2,FALSE),0)</f>
        <v>8</v>
      </c>
      <c r="L10" s="331">
        <f>IF(sizing_m01_included="Included",VLOOKUP(D32,table_vcenter_appliance_ram,2,FALSE),0)</f>
        <v>30</v>
      </c>
      <c r="M10" s="331">
        <f>IF(sizing_m01_included="Included",VLOOKUP(CONCATENATE(D32,F32),table_vcenter_disk_gb,2,FALSE),0)</f>
        <v>908</v>
      </c>
      <c r="O10" s="410" t="s">
        <v>3921</v>
      </c>
      <c r="P10" s="411"/>
      <c r="Q10" s="412"/>
      <c r="R10" s="458" t="str">
        <f>CONCATENATE(ROUNDUP(SUM(L8:L27)/(calculated_mgmt_host_count-1)/sizing_ram_oversubscription,0)," GB RAM")</f>
        <v>40 GB RAM</v>
      </c>
      <c r="S10" s="459"/>
      <c r="U10" s="454"/>
      <c r="V10" s="454"/>
      <c r="W10" s="454"/>
      <c r="X10" s="454"/>
      <c r="Y10" s="454"/>
      <c r="Z10" s="454"/>
      <c r="AA10" s="454"/>
      <c r="AB10" s="454"/>
      <c r="AC10" s="360"/>
      <c r="AD10" s="360"/>
      <c r="AE10" s="360"/>
      <c r="AF10" s="360"/>
    </row>
    <row r="11" spans="1:32" ht="20.05" customHeight="1" x14ac:dyDescent="0.45">
      <c r="B11" s="407" t="s">
        <v>3922</v>
      </c>
      <c r="C11" s="408"/>
      <c r="D11" s="408"/>
      <c r="E11" s="409"/>
      <c r="G11" s="420" t="s">
        <v>3923</v>
      </c>
      <c r="H11" s="420"/>
      <c r="I11" s="420"/>
      <c r="J11" s="337">
        <f>SUM(IF(H32="Mandatory - Single Node",1,3),IF(sizing_m01_nsxt_gm_appliance_size&lt;&gt;"Excluded",3,0))</f>
        <v>3</v>
      </c>
      <c r="K11" s="331">
        <f>SUM(PRODUCT(VLOOKUP(sizing_m01_nsxt_appliance_size,table_nsxt_manager_cpu,2,FALSE),IF(H32="Mandatory - HA Cluster",3,1)),(PRODUCT(IF(sizing_m01_nsxt_gm_appliance_size&lt;&gt;"Excluded",VLOOKUP(sizing_m01_nsxt_gm_appliance_size,table_nsxt_manager_cpu,2,FALSE),0),3)))</f>
        <v>18</v>
      </c>
      <c r="L11" s="331">
        <f>SUM(PRODUCT(VLOOKUP(sizing_m01_nsxt_appliance_size,table_nsxt_manager_ram,2,FALSE),IF(H32="Mandatory - HA Cluster",3,1)),(PRODUCT(IF(sizing_m01_nsxt_gm_appliance_size&lt;&gt;"Excluded",VLOOKUP(sizing_m01_nsxt_gm_appliance_size,table_nsxt_manager_ram,2,FALSE),0),3)))</f>
        <v>72</v>
      </c>
      <c r="M11" s="331">
        <f>SUM(PRODUCT(VLOOKUP(sizing_m01_nsxt_appliance_size,table_nsxt_manager_disk_gb,2,FALSE),IF(H32="Mandatory - HA Cluster",3,1)),(PRODUCT(IF(sizing_m01_nsxt_gm_appliance_size&lt;&gt;"Excluded",VLOOKUP(sizing_m01_nsxt_gm_appliance_size,table_nsxt_manager_disk_gb,2,FALSE),0),3)))</f>
        <v>900</v>
      </c>
      <c r="T11" s="3"/>
      <c r="U11" s="454"/>
      <c r="V11" s="454"/>
      <c r="W11" s="454"/>
      <c r="X11" s="454"/>
      <c r="Y11" s="454"/>
      <c r="Z11" s="454"/>
      <c r="AA11" s="454"/>
      <c r="AB11" s="454"/>
      <c r="AC11" s="360"/>
      <c r="AD11" s="360"/>
      <c r="AE11" s="360"/>
      <c r="AF11" s="360"/>
    </row>
    <row r="12" spans="1:32" ht="20.05" customHeight="1" x14ac:dyDescent="0.45">
      <c r="B12" s="413" t="s">
        <v>3924</v>
      </c>
      <c r="C12" s="413"/>
      <c r="D12" s="413"/>
      <c r="E12" s="348" t="s">
        <v>1268</v>
      </c>
      <c r="G12" s="420" t="s">
        <v>3925</v>
      </c>
      <c r="H12" s="420"/>
      <c r="I12" s="420"/>
      <c r="J12" s="337">
        <f>IF(sizing_m01_nsxt_edge_size&lt;&gt;"Excluded",2,0)</f>
        <v>0</v>
      </c>
      <c r="K12" s="331">
        <f>PRODUCT(IF(AND(sizing_m01_nsxt_edge_size&lt;&gt;"Excluded",sizing_m01_included="Included"),VLOOKUP(sizing_m01_nsxt_edge_size,table_nsxt_edge_cpu,2,FALSE),0),J12)</f>
        <v>0</v>
      </c>
      <c r="L12" s="331">
        <f>PRODUCT(IF(AND(sizing_m01_nsxt_edge_size&lt;&gt;"Excluded",sizing_m01_included="Included"),VLOOKUP(sizing_m01_nsxt_edge_size,table_nsxt_edge_ram,2,FALSE),0),2)</f>
        <v>0</v>
      </c>
      <c r="M12" s="331">
        <f>PRODUCT(IF(AND(sizing_m01_nsxt_edge_size&lt;&gt;"Excluded",sizing_m01_included="Included"),VLOOKUP(sizing_m01_nsxt_edge_size,table_nsxt_edge_disk_gb,2,FALSE),0),J12)</f>
        <v>0</v>
      </c>
      <c r="O12" s="335" t="s">
        <v>3926</v>
      </c>
      <c r="P12" s="335"/>
      <c r="Q12" s="335"/>
      <c r="R12" s="335"/>
      <c r="S12" s="335"/>
      <c r="T12" s="3"/>
      <c r="U12" s="454"/>
      <c r="V12" s="454"/>
      <c r="W12" s="454"/>
      <c r="X12" s="454"/>
      <c r="Y12" s="454"/>
      <c r="Z12" s="454"/>
      <c r="AA12" s="454"/>
      <c r="AB12" s="454"/>
      <c r="AC12" s="360"/>
      <c r="AD12" s="360"/>
      <c r="AE12" s="360"/>
      <c r="AF12" s="360"/>
    </row>
    <row r="13" spans="1:32" ht="20.05" customHeight="1" x14ac:dyDescent="0.45">
      <c r="B13" s="421" t="s">
        <v>3927</v>
      </c>
      <c r="C13" s="421"/>
      <c r="D13" s="421"/>
      <c r="E13" s="106">
        <v>128</v>
      </c>
      <c r="G13" s="421" t="s">
        <v>3928</v>
      </c>
      <c r="H13" s="421"/>
      <c r="I13" s="421"/>
      <c r="J13" s="337">
        <f>IF(sizing_mgmt_avi_lb_appliance_size="Excluded",0,3)</f>
        <v>0</v>
      </c>
      <c r="K13" s="337">
        <f>IF(sizing_mgmt_avi_lb_appliance_size="Excluded",0,PRODUCT(J13,IF(AND(sizing_m01_included="Included",sizing_mgmt_avi_lb_appliance_size&lt;&gt;"Excluded"),VLOOKUP(sizing_mgmt_avi_lb_appliance_size,table_avi_lb_cpu,2,FALSE),0)))</f>
        <v>0</v>
      </c>
      <c r="L13" s="331">
        <f>IF(sizing_mgmt_avi_lb_appliance_size="Excluded",0,PRODUCT(J13,IF(AND(sizing_m01_included="Included",sizing_mgmt_avi_lb_appliance_size&lt;&gt;"Excluded"),VLOOKUP(sizing_mgmt_avi_lb_appliance_size,table_avi_lb_ram,2,FALSE),0)))</f>
        <v>0</v>
      </c>
      <c r="M13" s="331">
        <f>IF(sizing_mgmt_avi_lb_appliance_size="Excluded",0,PRODUCT(J13,IF(AND(sizing_m01_included="Included",sizing_mgmt_avi_lb_appliance_size&lt;&gt;"Excluded"),VLOOKUP(sizing_mgmt_avi_lb_appliance_size,table_avi_lb_disk,2,FALSE),0)))</f>
        <v>0</v>
      </c>
      <c r="O13" s="343" t="s">
        <v>3929</v>
      </c>
      <c r="P13" s="344"/>
      <c r="Q13" s="344"/>
      <c r="R13" s="455" t="s">
        <v>3930</v>
      </c>
      <c r="S13" s="455"/>
      <c r="T13" s="3"/>
      <c r="U13" s="454"/>
      <c r="V13" s="454"/>
      <c r="W13" s="454"/>
      <c r="X13" s="454"/>
      <c r="Y13" s="454"/>
      <c r="Z13" s="454"/>
      <c r="AA13" s="454"/>
      <c r="AB13" s="454"/>
      <c r="AC13" s="360"/>
      <c r="AD13" s="360"/>
      <c r="AE13" s="360"/>
      <c r="AF13" s="360"/>
    </row>
    <row r="14" spans="1:32" ht="20.05" customHeight="1" x14ac:dyDescent="0.45">
      <c r="B14" s="421" t="s">
        <v>3931</v>
      </c>
      <c r="C14" s="421"/>
      <c r="D14" s="421"/>
      <c r="E14" s="106">
        <v>1024</v>
      </c>
      <c r="G14" s="421" t="s">
        <v>3932</v>
      </c>
      <c r="H14" s="421"/>
      <c r="I14" s="421"/>
      <c r="J14" s="337">
        <f>IF(sizing_m01_ssp_chosen="Medium",9,IF(sizing_m01_ssp_chosen="Large",12,IF(sizing_m01_ssp_chosen="X-Large",14,0)))</f>
        <v>0</v>
      </c>
      <c r="K14" s="337">
        <f>IF(sizing_m01_ssp_chosen&lt;&gt;"Excluded",VLOOKUP(sizing_m01_ssp_chosen,table_ssp_cpu,2,FALSE),0)</f>
        <v>0</v>
      </c>
      <c r="L14" s="337">
        <f>IF(sizing_m01_ssp_chosen&lt;&gt;"Excluded",VLOOKUP(sizing_m01_ssp_chosen,table_ssp_ram,2,FALSE),0)</f>
        <v>0</v>
      </c>
      <c r="M14" s="337">
        <f>IF(sizing_m01_ssp_chosen&lt;&gt;"Excluded",VLOOKUP(sizing_m01_ssp_chosen,table_ssp_disk,2,FALSE),0)</f>
        <v>0</v>
      </c>
      <c r="O14" s="349" t="s">
        <v>3908</v>
      </c>
      <c r="P14" s="350"/>
      <c r="Q14" s="350"/>
      <c r="R14" s="456" t="s">
        <v>3933</v>
      </c>
      <c r="S14" s="457"/>
      <c r="T14" s="3"/>
      <c r="U14" s="454"/>
      <c r="V14" s="454"/>
      <c r="W14" s="454"/>
      <c r="X14" s="454"/>
      <c r="Y14" s="454"/>
      <c r="Z14" s="454"/>
      <c r="AA14" s="454"/>
      <c r="AB14" s="454"/>
      <c r="AC14" s="360"/>
      <c r="AD14" s="360"/>
      <c r="AE14" s="360"/>
      <c r="AF14" s="360"/>
    </row>
    <row r="15" spans="1:32" ht="20.05" customHeight="1" x14ac:dyDescent="0.45">
      <c r="B15" s="421" t="s">
        <v>3934</v>
      </c>
      <c r="C15" s="421"/>
      <c r="D15" s="421"/>
      <c r="E15" s="106">
        <v>2</v>
      </c>
      <c r="G15" s="421" t="s">
        <v>3935</v>
      </c>
      <c r="H15" s="421"/>
      <c r="I15" s="421"/>
      <c r="J15" s="337">
        <f>COUNTIF(C36:C59,"Included")</f>
        <v>0</v>
      </c>
      <c r="K15" s="331">
        <f>(SUM(IF(sizing_w01_chosen="Included",VLOOKUP(sizing_w01_vcenter_appliance_size,table_vcenter_appliance_cpu,2,FALSE)),
IF(sizing_w02_chosen="Included",VLOOKUP(sizing_w02_vcenter_appliance_size,table_vcenter_appliance_cpu,2,FALSE)),
IF(sizing_w03_chosen="Included",VLOOKUP(sizing_w03_vcenter_appliance_size,table_vcenter_appliance_cpu,2,FALSE)),
IF(sizing_w04_chosen="Included",VLOOKUP(sizing_w04_vcenter_appliance_size,table_vcenter_appliance_cpu,2,FALSE)),
IF(sizing_w05_chosen="Included",VLOOKUP(sizing_w05_vcenter_appliance_size,table_vcenter_appliance_cpu,2,FALSE)),
IF(sizing_w06_chosen="Included",VLOOKUP(sizing_w06_vcenter_appliance_size,table_vcenter_appliance_cpu,2,FALSE)),
IF(sizing_w07_chosen="Included",VLOOKUP(sizing_w07_vcenter_appliance_size,table_vcenter_appliance_cpu,2,FALSE)),
IF(sizing_w08_chosen="Included",VLOOKUP(sizing_w08_vcenter_appliance_size,table_vcenter_appliance_cpu,2,FALSE)),
IF(sizing_w09_chosen="Included",VLOOKUP(sizing_w09_vcenter_appliance_size,table_vcenter_appliance_cpu,2,FALSE)),
IF(sizing_w10_chosen="Included",VLOOKUP(sizing_w10_vcenter_appliance_size,table_vcenter_appliance_cpu,2,FALSE)),
IF(sizing_w11_chosen="Included",VLOOKUP(sizing_w11_vcenter_appliance_size,table_vcenter_appliance_cpu,2,FALSE)),
IF(sizing_w12_chosen="Included",VLOOKUP(sizing_w12_vcenter_appliance_size,table_vcenter_appliance_cpu,2,FALSE)),
IF(sizing_w13_chosen="Included",VLOOKUP(sizing_w13_vcenter_appliance_size,table_vcenter_appliance_cpu,2,FALSE)),
IF(sizing_w14_chosen="Included",VLOOKUP(sizing_w14_vcenter_appliance_size,table_vcenter_appliance_cpu,2,FALSE)),
IF(sizing_w15_chosen="Included",VLOOKUP(sizing_w15_vcenter_appliance_size,table_vcenter_appliance_cpu,2,FALSE)),
IF(sizing_w16_chosen="Included",VLOOKUP(sizing_w16_vcenter_appliance_size,table_vcenter_appliance_cpu,2,FALSE)),
IF(sizing_w17_chosen="Included",VLOOKUP(sizing_w17_vcenter_appliance_size,table_vcenter_appliance_cpu,2,FALSE)),
IF(sizing_w18_chosen="Included",VLOOKUP(sizing_w18_vcenter_appliance_size,table_vcenter_appliance_cpu,2,FALSE)),
IF(sizing_w19_chosen="Included",VLOOKUP(sizing_w19_vcenter_appliance_size,table_vcenter_appliance_cpu,2,FALSE)),
IF(sizing_w20_chosen="Included",VLOOKUP(sizing_w20_vcenter_appliance_size,table_vcenter_appliance_cpu,2,FALSE)),
IF(sizing_w21_chosen="Included",VLOOKUP(sizing_w21_vcenter_appliance_size,table_vcenter_appliance_cpu,2,FALSE)),
IF(sizing_w22_chosen="Included",VLOOKUP(sizing_w22_vcenter_appliance_size,table_vcenter_appliance_cpu,2,FALSE)),
IF(sizing_w23_chosen="Included",VLOOKUP(sizing_w23_vcenter_appliance_size,table_vcenter_appliance_cpu,2,FALSE)),
IF(sizing_w24_chosen="Included",VLOOKUP(sizing_w24_vcenter_appliance_size,table_vcenter_appliance_cpu,2,FALSE)),
))</f>
        <v>0</v>
      </c>
      <c r="L15" s="331">
        <f>SUM(IF(sizing_w01_chosen="Included",VLOOKUP(sizing_w01_vcenter_appliance_size,table_vcenter_appliance_ram,2,FALSE)),
IF(sizing_w02_chosen="Included",VLOOKUP(sizing_w02_vcenter_appliance_size,table_vcenter_appliance_ram,2,FALSE)),
IF(sizing_w03_chosen="Included",VLOOKUP(sizing_w03_vcenter_appliance_size,table_vcenter_appliance_ram,2,FALSE)),
IF(sizing_w04_chosen="Included",VLOOKUP(sizing_w04_vcenter_appliance_size,table_vcenter_appliance_ram,2,FALSE)),
IF(sizing_w05_chosen="Included",VLOOKUP(sizing_w05_vcenter_appliance_size,table_vcenter_appliance_ram,2,FALSE)),
IF(sizing_w06_chosen="Included",VLOOKUP(sizing_w06_vcenter_appliance_size,table_vcenter_appliance_ram,2,FALSE)),
IF(sizing_w07_chosen="Included",VLOOKUP(sizing_w07_vcenter_appliance_size,table_vcenter_appliance_ram,2,FALSE)),
IF(sizing_w08_chosen="Included",VLOOKUP(sizing_w08_vcenter_appliance_size,table_vcenter_appliance_ram,2,FALSE)),
IF(sizing_w09_chosen="Included",VLOOKUP(sizing_w09_vcenter_appliance_size,table_vcenter_appliance_ram,2,FALSE)),
IF(sizing_w10_chosen="Included",VLOOKUP(sizing_w10_vcenter_appliance_size,table_vcenter_appliance_ram,2,FALSE)),
IF(sizing_w11_chosen="Included",VLOOKUP(sizing_w11_vcenter_appliance_size,table_vcenter_appliance_ram,2,FALSE)),
IF(sizing_w12_chosen="Included",VLOOKUP(sizing_w12_vcenter_appliance_size,table_vcenter_appliance_ram,2,FALSE)),
IF(sizing_w13_chosen="Included",VLOOKUP(sizing_w13_vcenter_appliance_size,table_vcenter_appliance_ram,2,FALSE)),
IF(sizing_w14_chosen="Included",VLOOKUP(sizing_w14_vcenter_appliance_size,table_vcenter_appliance_ram,2,FALSE)),
IF(sizing_w15_chosen="Included",VLOOKUP(sizing_w15_vcenter_appliance_size,table_vcenter_appliance_ram,2,FALSE)),
IF(sizing_w16_chosen="Included",VLOOKUP(sizing_w16_vcenter_appliance_size,table_vcenter_appliance_ram,2,FALSE)),
IF(sizing_w17_chosen="Included",VLOOKUP(sizing_w17_vcenter_appliance_size,table_vcenter_appliance_ram,2,FALSE)),
IF(sizing_w18_chosen="Included",VLOOKUP(sizing_w18_vcenter_appliance_size,table_vcenter_appliance_ram,2,FALSE)),
IF(sizing_w19_chosen="Included",VLOOKUP(sizing_w19_vcenter_appliance_size,table_vcenter_appliance_ram,2,FALSE)),
IF(sizing_w20_chosen="Included",VLOOKUP(sizing_w20_vcenter_appliance_size,table_vcenter_appliance_ram,2,FALSE)),
IF(sizing_w21_chosen="Included",VLOOKUP(sizing_w21_vcenter_appliance_size,table_vcenter_appliance_ram,2,FALSE)),
IF(sizing_w22_chosen="Included",VLOOKUP(sizing_w22_vcenter_appliance_size,table_vcenter_appliance_ram,2,FALSE)),
IF(sizing_w23_chosen="Included",VLOOKUP(sizing_w23_vcenter_appliance_size,table_vcenter_appliance_ram,2,FALSE)),
IF(sizing_w24_chosen="Included",VLOOKUP(sizing_w24_vcenter_appliance_size,table_vcenter_appliance_ram,2,FALSE)),
)</f>
        <v>0</v>
      </c>
      <c r="M15" s="331">
        <f>SUM((IF(sizing_w01_chosen="Included",VLOOKUP(CONCATENATE(sizing_w01_vcenter_appliance_size,sizing_w01_vcenter_storage_size),table_vcenter_disk_gb,2,FALSE),0)),
IF(sizing_w02_chosen="Included",VLOOKUP(CONCATENATE(sizing_w02_vcenter_appliance_size,sizing_w02_vcenter_storage_size),table_vcenter_disk_gb,2,FALSE),0),
IF(sizing_w03_chosen="Included",VLOOKUP(CONCATENATE(sizing_w03_vcenter_appliance_size,sizing_w03_vcenter_storage_size),table_vcenter_disk_gb,2,FALSE),0),
IF(sizing_w04_chosen="Included",VLOOKUP(CONCATENATE(sizing_w04_vcenter_appliance_size,sizing_w04_vcenter_storage_size),table_vcenter_disk_gb,2,FALSE),0),
IF(sizing_w05_chosen="Included",VLOOKUP(CONCATENATE(sizing_w05_vcenter_appliance_size,sizing_w05_vcenter_storage_size),table_vcenter_disk_gb,2,FALSE),0),
IF(sizing_w06_chosen="Included",VLOOKUP(CONCATENATE(sizing_w06_vcenter_appliance_size,sizing_w06_vcenter_storage_size),table_vcenter_disk_gb,2,FALSE),0),
IF(sizing_w07_chosen="Included",VLOOKUP(CONCATENATE(sizing_w07_vcenter_appliance_size,sizing_w07_vcenter_storage_size),table_vcenter_disk_gb,2,FALSE),0),
IF(sizing_w08_chosen="Included",VLOOKUP(CONCATENATE(sizing_w08_vcenter_appliance_size,sizing_w08_vcenter_storage_size),table_vcenter_disk_gb,2,FALSE),0),
IF(sizing_w09_chosen="Included",VLOOKUP(CONCATENATE(sizing_w09_vcenter_appliance_size,sizing_w09_vcenter_storage_size),table_vcenter_disk_gb,2,FALSE),0),
IF(sizing_w10_chosen="Included",VLOOKUP(CONCATENATE(sizing_w10_vcenter_appliance_size,sizing_w10_vcenter_storage_size),table_vcenter_disk_gb,2,FALSE),0),
IF(sizing_w11_chosen="Included",VLOOKUP(CONCATENATE(sizing_w11_vcenter_appliance_size,sizing_w11_vcenter_storage_size),table_vcenter_disk_gb,2,FALSE),0),
IF(sizing_w12_chosen="Included",VLOOKUP(CONCATENATE(sizing_w12_vcenter_appliance_size,sizing_w12_vcenter_storage_size),table_vcenter_disk_gb,2,FALSE),0),
IF(sizing_w13_chosen="Included",VLOOKUP(CONCATENATE(sizing_w13_vcenter_appliance_size,sizing_w13_vcenter_storage_size),table_vcenter_disk_gb,2,FALSE),0),
IF(sizing_w14_chosen="Included",VLOOKUP(CONCATENATE(sizing_w14_vcenter_appliance_size,sizing_w14_vcenter_storage_size),table_vcenter_disk_gb,2,FALSE),0),
IF(sizing_w15_chosen="Included",VLOOKUP(CONCATENATE(sizing_w15_vcenter_appliance_size,sizing_w15_vcenter_storage_size),table_vcenter_disk_gb,2,FALSE),0),
IF(sizing_w16_chosen="Included",VLOOKUP(CONCATENATE(sizing_w16_vcenter_appliance_size,sizing_w16_vcenter_storage_size),table_vcenter_disk_gb,2,FALSE),0),
IF(sizing_w17_chosen="Included",VLOOKUP(CONCATENATE(sizing_w17_vcenter_appliance_size,sizing_w17_vcenter_storage_size),table_vcenter_disk_gb,2,FALSE),0),
IF(sizing_w18_chosen="Included",VLOOKUP(CONCATENATE(sizing_w18_vcenter_appliance_size,sizing_w18_vcenter_storage_size),table_vcenter_disk_gb,2,FALSE),0),
IF(sizing_w19_chosen="Included",VLOOKUP(CONCATENATE(sizing_w19_vcenter_appliance_size,sizing_w19_vcenter_storage_size),table_vcenter_disk_gb,2,FALSE),0),
IF(sizing_w20_chosen="Included",VLOOKUP(CONCATENATE(sizing_w20_vcenter_appliance_size,sizing_w20_vcenter_storage_size),table_vcenter_disk_gb,2,FALSE),0),
IF(sizing_w21_chosen="Included",VLOOKUP(CONCATENATE(sizing_w21_vcenter_appliance_size,sizing_w21_vcenter_storage_size),table_vcenter_disk_gb,2,FALSE),0),
IF(sizing_w22_chosen="Included",VLOOKUP(CONCATENATE(sizing_w22_vcenter_appliance_size,sizing_w22_vcenter_storage_size),table_vcenter_disk_gb,2,FALSE),0),
IF(sizing_w23_chosen="Included",VLOOKUP(CONCATENATE(sizing_w23_vcenter_appliance_size,sizing_w23_vcenter_storage_size),table_vcenter_disk_gb,2,FALSE),0),
IF(sizing_w24_chosen="Included",VLOOKUP(CONCATENATE(sizing_w24_vcenter_appliance_size,sizing_w24_vcenter_storage_size),table_vcenter_disk_gb,2,FALSE),0),
)</f>
        <v>0</v>
      </c>
      <c r="O15" s="343" t="s">
        <v>3936</v>
      </c>
      <c r="P15" s="344"/>
      <c r="Q15" s="344"/>
      <c r="R15" s="420">
        <f>(SUM(M8:M27))</f>
        <v>2722</v>
      </c>
      <c r="S15" s="420"/>
      <c r="T15" s="3"/>
      <c r="U15" s="454"/>
      <c r="V15" s="454"/>
      <c r="W15" s="454"/>
      <c r="X15" s="454"/>
      <c r="Y15" s="454"/>
      <c r="Z15" s="454"/>
      <c r="AA15" s="454"/>
      <c r="AB15" s="454"/>
      <c r="AC15" s="360"/>
      <c r="AD15" s="360"/>
      <c r="AE15" s="360"/>
      <c r="AF15" s="360"/>
    </row>
    <row r="16" spans="1:32" ht="20.05" customHeight="1" x14ac:dyDescent="0.45">
      <c r="B16" s="421" t="s">
        <v>3937</v>
      </c>
      <c r="C16" s="421"/>
      <c r="D16" s="421"/>
      <c r="E16" s="106">
        <v>1</v>
      </c>
      <c r="G16" s="337" t="s">
        <v>3938</v>
      </c>
      <c r="H16" s="337"/>
      <c r="I16" s="337"/>
      <c r="J16" s="337">
        <f>SUM(
(IF(AND(sizing_w01_chosen="Included",sizing_w01_nsxt_model&lt;&gt;"Shared"),IF(sizing_w01_nsxt_model="Mandatory - HA Cluster",3,1),0)),
(IF(AND(sizing_w02_chosen="Included",sizing_w02_nsxt_model&lt;&gt;"Shared"),IF(sizing_w02_nsxt_model="Dedicated - HA Cluster",3,1),0)),
(IF(AND(sizing_w03_chosen="Included",sizing_w03_nsxt_model&lt;&gt;"Shared"),IF(sizing_w03_nsxt_model="Dedicated - HA Cluster",3,1),0)),
(IF(AND(sizing_w04_chosen="Included",sizing_w04_nsxt_model&lt;&gt;"Shared"),IF(sizing_w04_nsxt_model="Dedicated - HA Cluster",3,1),0)),
(IF(AND(sizing_w05_chosen="Included",sizing_w05_nsxt_model&lt;&gt;"Shared"),IF(sizing_w05_nsxt_model="Dedicated - HA Cluster",3,1),0)),
(IF(AND(sizing_w06_chosen="Included",sizing_w06_nsxt_model&lt;&gt;"Shared"),IF(sizing_w06_nsxt_model="Dedicated - HA Cluster",3,1),0)),
(IF(AND(sizing_w07_chosen="Included",sizing_w07_nsxt_model&lt;&gt;"Shared"),IF(sizing_w07_nsxt_model="Dedicated - HA Cluster",3,1),0)),
(IF(AND(sizing_w08_chosen="Included",sizing_w08_nsxt_model&lt;&gt;"Shared"),IF(sizing_w08_nsxt_model="Dedicated - HA Cluster",3,1),0)),
(IF(AND(sizing_w09_chosen="Included",sizing_w09_nsxt_model&lt;&gt;"Shared"),IF(sizing_w09_nsxt_model="Dedicated - HA Cluster",3,1),0)),,
(IF(AND(sizing_w10_chosen="Included",sizing_w10_nsxt_model&lt;&gt;"Shared"),IF(sizing_w10_nsxt_model="Dedicated - HA Cluster",3,1),0)),
(IF(AND(sizing_w11_chosen="Included",sizing_w11_nsxt_model&lt;&gt;"Shared"),IF(sizing_w11_nsxt_model="Dedicated - HA Cluster",3,1),0)),
(IF(AND(sizing_w12_chosen="Included",sizing_w12_nsxt_model&lt;&gt;"Shared"),IF(sizing_w12_nsxt_model="Dedicated - HA Cluster",3,1),0)),
(IF(AND(sizing_w13_chosen="Included",sizing_w13_nsxt_model&lt;&gt;"Shared"),IF(sizing_w13_nsxt_model="Dedicated - HA Cluster",3,1),0)),
(IF(AND(sizing_w14_chosen="Included",sizing_w14_nsxt_model&lt;&gt;"Shared"),IF(sizing_w14_nsxt_model="Dedicated - HA Cluster",3,1),0)),
(IF(AND(sizing_w15_chosen="Included",sizing_w15_nsxt_model&lt;&gt;"Shared"),IF(sizing_w15_nsxt_model="Dedicated - HA Cluster",3,1),0)),
(IF(AND(sizing_w16_chosen="Included",sizing_w16_nsxt_model&lt;&gt;"Shared"),IF(sizing_w16_nsxt_model="Dedicated - HA Cluster",3,1),0)),
(IF(AND(sizing_w17_chosen="Included",sizing_w17_nsxt_model&lt;&gt;"Shared"),IF(sizing_w17_nsxt_model="Dedicated - HA Cluster",3,1),0)),
(IF(AND(sizing_w18_chosen="Included",sizing_w18_nsxt_model&lt;&gt;"Shared"),IF(sizing_w18_nsxt_model="Dedicated - HA Cluster",3,1),0)),
(IF(AND(sizing_w19_chosen="Included",sizing_w19_nsxt_model&lt;&gt;"Shared"),IF(sizing_w19_nsxt_model="Dedicated - HA Cluster",3,1),0)),
(IF(AND(sizing_w20_chosen="Included",sizing_w20_nsxt_model&lt;&gt;"Shared"),IF(sizing_w20_nsxt_model="Dedicated - HA Cluster",3,1),0)),
(IF(AND(sizing_w21_chosen="Included",sizing_w21_nsxt_model&lt;&gt;"Shared"),IF(sizing_w21_nsxt_model="Dedicated - HA Cluster",3,1),0)),
(IF(AND(sizing_w22_chosen="Included",sizing_w22_nsxt_model&lt;&gt;"Shared"),IF(sizing_w22_nsxt_model="Dedicated - HA Cluster",3,1),0)),
(IF(AND(sizing_w23_chosen="Included",sizing_w23_nsxt_model&lt;&gt;"Shared"),IF(sizing_w23_nsxt_model="Dedicated - HA Cluster",3,1),0)),
(IF(AND(sizing_w24_chosen="Included",sizing_w24_nsxt_model&lt;&gt;"Shared"),IF(sizing_w24_nsxt_model="Dedicated - HA Cluster",3,1),0)),
(IF(AND(sizing_w01_chosen="Included",OR(sizing_w01_gm_chosen="Active GM",sizing_w01_gm_chosen="Standby GM")),3,0)),
(IF(AND(sizing_w02_chosen="Included",OR(sizing_w02_gm_chosen="Active GM",sizing_w02_gm_chosen="Standby GM")),3,0)),
(IF(AND(sizing_w03_chosen="Included",OR(sizing_w03_gm_chosen="Active GM",sizing_w03_gm_chosen="Standby GM")),3,0)),
(IF(AND(sizing_w04_chosen="Included",OR(sizing_w04_gm_chosen="Active GM",sizing_w04_gm_chosen="Standby GM")),3,0)),
(IF(AND(sizing_w05_chosen="Included",OR(sizing_w05_gm_chosen="Active GM",sizing_w05_gm_chosen="Standby GM")),3,0)),
(IF(AND(sizing_w06_chosen="Included",OR(sizing_w06_gm_chosen="Active GM",sizing_w06_gm_chosen="Standby GM")),3,0)),
(IF(AND(sizing_w07_chosen="Included",OR(sizing_w07_gm_chosen="Active GM",sizing_w07_gm_chosen="Standby GM")),3,0)),
(IF(AND(sizing_w08_chosen="Included",OR(sizing_w08_gm_chosen="Active GM",sizing_w08_gm_chosen="Standby GM")),3,0)),
(IF(AND(sizing_w09_chosen="Included",OR(sizing_w09_gm_chosen="Active GM",sizing_w09_gm_chosen="Standby GM")),3,0)),
(IF(AND(sizing_w10_chosen="Included",OR(sizing_w10_gm_chosen="Active GM",sizing_w10_gm_chosen="Standby GM")),3,0)),
(IF(AND(sizing_w11_chosen="Included",OR(sizing_w11_gm_chosen="Active GM",sizing_w11_gm_chosen="Standby GM")),3,0)),
(IF(AND(sizing_w12_chosen="Included",OR(sizing_w12_gm_chosen="Active GM",sizing_w12_gm_chosen="Standby GM")),3,0)),
(IF(AND(sizing_w13_chosen="Included",OR(sizing_w13_gm_chosen="Active GM",sizing_w13_gm_chosen="Standby GM")),3,0)),
(IF(AND(sizing_w14_chosen="Included",OR(sizing_w14_gm_chosen="Active GM",sizing_w14_gm_chosen="Standby GM")),3,0)),
(IF(AND(sizing_w15_chosen="Included",OR(sizing_w15_gm_chosen="Active GM",sizing_w15_gm_chosen="Standby GM")),3,0)),
(IF(AND(sizing_w16_chosen="Included",OR(sizing_w16_gm_chosen="Active GM",sizing_w16_gm_chosen="Standby GM")),3,0)),
(IF(AND(sizing_w17_chosen="Included",OR(sizing_w17_gm_chosen="Active GM",sizing_w17_gm_chosen="Standby GM")),3,0)),
(IF(AND(sizing_w18_chosen="Included",OR(sizing_w18_gm_chosen="Active GM",sizing_w18_gm_chosen="Standby GM")),3,0)),
(IF(AND(sizing_w19_chosen="Included",OR(sizing_w19_gm_chosen="Active GM",sizing_w19_gm_chosen="Standby GM")),3,0)),
(IF(AND(sizing_w20_chosen="Included",OR(sizing_w20_gm_chosen="Active GM",sizing_w20_gm_chosen="Standby GM")),3,0)),
(IF(AND(sizing_w21_chosen="Included",OR(sizing_w21_gm_chosen="Active GM",sizing_w21_gm_chosen="Standby GM")),3,0)),
(IF(AND(sizing_w22_chosen="Included",OR(sizing_w22_gm_chosen="Active GM",sizing_w22_gm_chosen="Standby GM")),3,0)),
(IF(AND(sizing_w23_chosen="Included",OR(sizing_w23_gm_chosen="Active GM",sizing_w23_gm_chosen="Standby GM")),3,0)),
(IF(AND(sizing_w24_chosen="Included",OR(sizing_w24_gm_chosen="Active GM",sizing_w24_gm_chosen="Standby GM")),3,0)))</f>
        <v>0</v>
      </c>
      <c r="K16" s="331">
        <f>SUM(
        PRODUCT((IF(AND(sizing_w01_chosen="Included",sizing_w01_nsxt_model&lt;&gt;"Shared"),VLOOKUP(sizing_w01_nsxt_appliance_size,table_nsxt_manager_cpu,2,FALSE),0)),IF(sizing_w01_nsxt_model="Mandatory - HA Cluster",3,1)),
        PRODUCT((IF(AND(sizing_w02_chosen="Included",sizing_w02_nsxt_model&lt;&gt;"Shared"),VLOOKUP(sizing_w02_nsxt_appliance_size,table_nsxt_manager_cpu,2,FALSE),0)),IF(sizing_w02_nsxt_model="Dedicated - HA Cluster",3,1)),
        PRODUCT((IF(AND(sizing_w03_chosen="Included",sizing_w03_nsxt_model&lt;&gt;"Shared"),VLOOKUP(sizing_w03_nsxt_appliance_size,table_nsxt_manager_cpu,2,FALSE),0)),IF(sizing_w03_nsxt_model="Dedicated - HA Cluster",3,1)),
        PRODUCT((IF(AND(sizing_w04_chosen="Included",sizing_w04_nsxt_model&lt;&gt;"Shared"),VLOOKUP(sizing_w04_nsxt_appliance_size,table_nsxt_manager_cpu,2,FALSE),0)),IF(sizing_w04_nsxt_model="Dedicated - HA Cluster",3,1)),
        PRODUCT((IF(AND(sizing_w05_chosen="Included",sizing_w05_nsxt_model&lt;&gt;"Shared"),VLOOKUP(sizing_w05_nsxt_appliance_size,table_nsxt_manager_cpu,2,FALSE),0)),IF(sizing_w05_nsxt_model="Dedicated - HA Cluster",3,1)),
        PRODUCT((IF(AND(sizing_w06_chosen="Included",sizing_w06_nsxt_model&lt;&gt;"Shared"),VLOOKUP(sizing_w06_nsxt_appliance_size,table_nsxt_manager_cpu,2,FALSE),0)),IF(sizing_w06_nsxt_model="Dedicated - HA Cluster",3,1)),
        PRODUCT((IF(AND(sizing_w07_chosen="Included",sizing_w07_nsxt_model&lt;&gt;"Shared"),VLOOKUP(sizing_w07_nsxt_appliance_size,table_nsxt_manager_cpu,2,FALSE),0)),IF(sizing_w07_nsxt_model="Dedicated - HA Cluster",3,1)),
        PRODUCT((IF(AND(sizing_w08_chosen="Included",sizing_w08_nsxt_model&lt;&gt;"Shared"),VLOOKUP(sizing_w08_nsxt_appliance_size,table_nsxt_manager_cpu,2,FALSE),0)),IF(sizing_w08_nsxt_model="Dedicated - HA Cluster",3,1)),
        PRODUCT((IF(AND(sizing_w09_chosen="Included",sizing_w09_nsxt_model&lt;&gt;"Shared"),VLOOKUP(sizing_w09_nsxt_appliance_size,table_nsxt_manager_cpu,2,FALSE),0)),IF(sizing_w09_nsxt_model="Dedicated - HA Cluster",3,1)),
        PRODUCT((IF(AND(sizing_w10_chosen="Included",sizing_w10_nsxt_model&lt;&gt;"Shared"),VLOOKUP(sizing_w10_nsxt_appliance_size,table_nsxt_manager_cpu,2,FALSE),0)),IF(sizing_w10_nsxt_model="Dedicated - HA Cluster",3,1)),
        PRODUCT((IF(AND(sizing_w11_chosen="Included",sizing_w11_nsxt_model&lt;&gt;"Shared"),VLOOKUP(sizing_w11_nsxt_appliance_size,table_nsxt_manager_cpu,2,FALSE),0)),IF(sizing_w11_nsxt_model="Dedicated - HA Cluster",3,1)),
        PRODUCT((IF(AND(sizing_w12_chosen="Included",sizing_w12_nsxt_model&lt;&gt;"Shared"),VLOOKUP(sizing_w12_nsxt_appliance_size,table_nsxt_manager_cpu,2,FALSE),0)),IF(sizing_w12_nsxt_model="Dedicated - HA Cluster",3,1)),
        PRODUCT((IF(AND(sizing_w13_chosen="Included",sizing_w13_nsxt_model&lt;&gt;"Shared"),VLOOKUP(sizing_w13_nsxt_appliance_size,table_nsxt_manager_cpu,2,FALSE),0)),IF(sizing_w13_nsxt_model="Dedicated - HA Cluster",3,1)),
        PRODUCT((IF(AND(sizing_w14_chosen="Included",sizing_w14_nsxt_model&lt;&gt;"Shared"),VLOOKUP(sizing_w14_nsxt_appliance_size,table_nsxt_manager_cpu,2,FALSE),0)),IF(sizing_w14_nsxt_model="Dedicated - HA Cluster",3,1)),
        PRODUCT((IF(AND(sizing_w15_chosen="Included",sizing_w15_nsxt_model&lt;&gt;"Shared"),VLOOKUP(sizing_w15_nsxt_appliance_size,table_nsxt_manager_cpu,2,FALSE),0)),IF(sizing_w15_nsxt_model="Dedicated - HA Cluster",3,1)),
        PRODUCT((IF(AND(sizing_w16_chosen="Included",sizing_w16_nsxt_model&lt;&gt;"Shared"),VLOOKUP(sizing_w16_nsxt_appliance_size,table_nsxt_manager_cpu,2,FALSE),0)),IF(sizing_w16_nsxt_model="Dedicated - HA Cluster",3,1)),
        PRODUCT((IF(AND(sizing_w17_chosen="Included",sizing_w17_nsxt_model&lt;&gt;"Shared"),VLOOKUP(sizing_w17_nsxt_appliance_size,table_nsxt_manager_cpu,2,FALSE),0)),IF(sizing_w17_nsxt_model="Dedicated - HA Cluster",3,1)),
        PRODUCT((IF(AND(sizing_w18_chosen="Included",sizing_w18_nsxt_model&lt;&gt;"Shared"),VLOOKUP(sizing_w18_nsxt_appliance_size,table_nsxt_manager_cpu,2,FALSE),0)),IF(sizing_w18_nsxt_model="Dedicated - HA Cluster",3,1)),
        PRODUCT((IF(AND(sizing_w19_chosen="Included",sizing_w19_nsxt_model&lt;&gt;"Shared"),VLOOKUP(sizing_w19_nsxt_appliance_size,table_nsxt_manager_cpu,2,FALSE),0)),IF(sizing_w19_nsxt_model="Dedicated - HA Cluster",3,1)),
        PRODUCT((IF(AND(sizing_w20_chosen="Included",sizing_w20_nsxt_model&lt;&gt;"Shared"),VLOOKUP(sizing_w20_nsxt_appliance_size,table_nsxt_manager_cpu,2,FALSE),0)),IF(sizing_w20_nsxt_model="Dedicated - HA Cluster",3,1)),
        PRODUCT((IF(AND(sizing_w21_chosen="Included",sizing_w21_nsxt_model&lt;&gt;"Shared"),VLOOKUP(sizing_w21_nsxt_appliance_size,table_nsxt_manager_cpu,2,FALSE),0)),IF(sizing_w21_nsxt_model="Dedicated - HA Cluster",3,1)),
        PRODUCT((IF(AND(sizing_w22_chosen="Included",sizing_w22_nsxt_model&lt;&gt;"Shared"),VLOOKUP(sizing_w22_nsxt_appliance_size,table_nsxt_manager_cpu,2,FALSE),0)),IF(sizing_w22_nsxt_model="Dedicated - HA Cluster",3,1)),
        PRODUCT((IF(AND(sizing_w23_chosen="Included",sizing_w23_nsxt_model&lt;&gt;"Shared"),VLOOKUP(sizing_w23_nsxt_appliance_size,table_nsxt_manager_cpu,2,FALSE),0)),IF(sizing_w23_nsxt_model="Dedicated - HA Cluster",3,1)),
        PRODUCT((IF(AND(sizing_w24_chosen="Included",sizing_w24_nsxt_model&lt;&gt;"Shared"),VLOOKUP(sizing_w24_nsxt_appliance_size,table_nsxt_manager_cpu,2,FALSE),0)),IF(sizing_w24_nsxt_model="Dedicated - HA Cluster",3,1)),'Static Reference Tables'!D71)</f>
        <v>0</v>
      </c>
      <c r="L16" s="331">
        <f>SUM(
        PRODUCT((IF(AND(sizing_w01_chosen="Included",sizing_w01_nsxt_model&lt;&gt;"Shared"),VLOOKUP(sizing_w01_nsxt_appliance_size,table_nsxt_manager_ram,2,FALSE),0)),IF(sizing_w01_nsxt_model="Mandatory - HA Cluster",3,1)),
        PRODUCT((IF(AND(sizing_w02_chosen="Included",sizing_w02_nsxt_model&lt;&gt;"Shared"),VLOOKUP(sizing_w02_nsxt_appliance_size,table_nsxt_manager_ram,2,FALSE),0)),IF(sizing_w02_nsxt_model="Dedicated - HA Cluster",3,1)),
        PRODUCT((IF(AND(sizing_w03_chosen="Included",sizing_w03_nsxt_model&lt;&gt;"Shared"),VLOOKUP(sizing_w03_nsxt_appliance_size,table_nsxt_manager_ram,2,FALSE),0)),IF(sizing_w03_nsxt_model="Dedicated - HA Cluster",3,1)),
        PRODUCT((IF(AND(sizing_w04_chosen="Included",sizing_w04_nsxt_model&lt;&gt;"Shared"),VLOOKUP(sizing_w04_nsxt_appliance_size,table_nsxt_manager_ram,2,FALSE),0)),IF(sizing_w04_nsxt_model="Dedicated - HA Cluster",3,1)),
        PRODUCT((IF(AND(sizing_w05_chosen="Included",sizing_w05_nsxt_model&lt;&gt;"Shared"),VLOOKUP(sizing_w05_nsxt_appliance_size,table_nsxt_manager_ram,2,FALSE),0)),IF(sizing_w05_nsxt_model="Dedicated - HA Cluster",3,1)),
        PRODUCT((IF(AND(sizing_w06_chosen="Included",sizing_w06_nsxt_model&lt;&gt;"Shared"),VLOOKUP(sizing_w06_nsxt_appliance_size,table_nsxt_manager_ram,2,FALSE),0)),IF(sizing_w06_nsxt_model="Dedicated - HA Cluster",3,1)),
        PRODUCT((IF(AND(sizing_w07_chosen="Included",sizing_w07_nsxt_model&lt;&gt;"Shared"),VLOOKUP(sizing_w07_nsxt_appliance_size,table_nsxt_manager_ram,2,FALSE),0)),IF(sizing_w07_nsxt_model="Dedicated - HA Cluster",3,1)),
        PRODUCT((IF(AND(sizing_w08_chosen="Included",sizing_w08_nsxt_model&lt;&gt;"Shared"),VLOOKUP(sizing_w08_nsxt_appliance_size,table_nsxt_manager_ram,2,FALSE),0)),IF(sizing_w08_nsxt_model="Dedicated - HA Cluster",3,1)),
        PRODUCT((IF(AND(sizing_w09_chosen="Included",sizing_w09_nsxt_model&lt;&gt;"Shared"),VLOOKUP(sizing_w09_nsxt_appliance_size,table_nsxt_manager_ram,2,FALSE),0)),IF(sizing_w09_nsxt_model="Dedicated - HA Cluster",3,1)),
        PRODUCT((IF(AND(sizing_w10_chosen="Included",sizing_w10_nsxt_model&lt;&gt;"Shared"),VLOOKUP(sizing_w10_nsxt_appliance_size,table_nsxt_manager_ram,2,FALSE),0)),IF(sizing_w10_nsxt_model="Dedicated - HA Cluster",3,1)),
        PRODUCT((IF(AND(sizing_w11_chosen="Included",sizing_w11_nsxt_model&lt;&gt;"Shared"),VLOOKUP(sizing_w11_nsxt_appliance_size,table_nsxt_manager_ram,2,FALSE),0)),IF(sizing_w11_nsxt_model="Dedicated - HA Cluster",3,1)),
        PRODUCT((IF(AND(sizing_w12_chosen="Included",sizing_w12_nsxt_model&lt;&gt;"Shared"),VLOOKUP(sizing_w12_nsxt_appliance_size,table_nsxt_manager_ram,2,FALSE),0)),IF(sizing_w12_nsxt_model="Dedicated - HA Cluster",3,1)),
        PRODUCT((IF(AND(sizing_w13_chosen="Included",sizing_w13_nsxt_model&lt;&gt;"Shared"),VLOOKUP(sizing_w13_nsxt_appliance_size,table_nsxt_manager_ram,2,FALSE),0)),IF(sizing_w13_nsxt_model="Dedicated - HA Cluster",3,1)),
        PRODUCT((IF(AND(sizing_w14_chosen="Included",sizing_w14_nsxt_model&lt;&gt;"Shared"),VLOOKUP(sizing_w14_nsxt_appliance_size,table_nsxt_manager_ram,2,FALSE),0)),IF(sizing_w14_nsxt_model="Dedicated - HA Cluster",3,1)),
        PRODUCT((IF(AND(sizing_w15_chosen="Included",sizing_w15_nsxt_model&lt;&gt;"Shared"),VLOOKUP(sizing_w15_nsxt_appliance_size,table_nsxt_manager_ram,2,FALSE),0)),IF(sizing_w15_nsxt_model="Dedicated - HA Cluster",3,1)),
        PRODUCT((IF(AND(sizing_w16_chosen="Included",sizing_w16_nsxt_model&lt;&gt;"Shared"),VLOOKUP(sizing_w16_nsxt_appliance_size,table_nsxt_manager_ram,2,FALSE),0)),IF(sizing_w16_nsxt_model="Dedicated - HA Cluster",3,1)),
        PRODUCT((IF(AND(sizing_w17_chosen="Included",sizing_w17_nsxt_model&lt;&gt;"Shared"),VLOOKUP(sizing_w17_nsxt_appliance_size,table_nsxt_manager_ram,2,FALSE),0)),IF(sizing_w17_nsxt_model="Dedicated - HA Cluster",3,1)),
        PRODUCT((IF(AND(sizing_w18_chosen="Included",sizing_w18_nsxt_model&lt;&gt;"Shared"),VLOOKUP(sizing_w18_nsxt_appliance_size,table_nsxt_manager_ram,2,FALSE),0)),IF(sizing_w18_nsxt_model="Dedicated - HA Cluster",3,1)),
        PRODUCT((IF(AND(sizing_w19_chosen="Included",sizing_w19_nsxt_model&lt;&gt;"Shared"),VLOOKUP(sizing_w19_nsxt_appliance_size,table_nsxt_manager_ram,2,FALSE),0)),IF(sizing_w19_nsxt_model="Dedicated - HA Cluster",3,1)),
        PRODUCT((IF(AND(sizing_w20_chosen="Included",sizing_w20_nsxt_model&lt;&gt;"Shared"),VLOOKUP(sizing_w20_nsxt_appliance_size,table_nsxt_manager_ram,2,FALSE),0)),IF(sizing_w20_nsxt_model="Dedicated - HA Cluster",3,1)),
        PRODUCT((IF(AND(sizing_w21_chosen="Included",sizing_w21_nsxt_model&lt;&gt;"Shared"),VLOOKUP(sizing_w21_nsxt_appliance_size,table_nsxt_manager_ram,2,FALSE),0)),IF(sizing_w21_nsxt_model="Dedicated - HA Cluster",3,1)),
        PRODUCT((IF(AND(sizing_w22_chosen="Included",sizing_w22_nsxt_model&lt;&gt;"Shared"),VLOOKUP(sizing_w22_nsxt_appliance_size,table_nsxt_manager_ram,2,FALSE),0)),IF(sizing_w22_nsxt_model="Dedicated - HA Cluster",3,1)),
        PRODUCT((IF(AND(sizing_w23_chosen="Included",sizing_w23_nsxt_model&lt;&gt;"Shared"),VLOOKUP(sizing_w23_nsxt_appliance_size,table_nsxt_manager_ram,2,FALSE),0)),IF(sizing_w23_nsxt_model="Dedicated - HA Cluster",3,1)),
        PRODUCT((IF(AND(sizing_w24_chosen="Included",sizing_w24_nsxt_model&lt;&gt;"Shared"),VLOOKUP(sizing_w24_nsxt_appliance_size,table_nsxt_manager_ram,2,FALSE),0)),IF(sizing_w24_nsxt_model="Dedicated - HA Cluster",3,1)),'Static Reference Tables'!D72)</f>
        <v>0</v>
      </c>
      <c r="M16" s="331">
        <f>SUM(
        PRODUCT((IF(AND(sizing_w01_chosen="Included",sizing_w01_nsxt_model&lt;&gt;"Shared"),VLOOKUP(sizing_w01_nsxt_appliance_size,table_nsxt_manager_disk_gb,2,FALSE),0)),IF(sizing_w01_nsxt_model="Mandatory - HA Cluster",3,1)),
        PRODUCT((IF(AND(sizing_w02_chosen="Included",sizing_w02_nsxt_model&lt;&gt;"Shared"),VLOOKUP(sizing_w02_nsxt_appliance_size,table_nsxt_manager_disk_gb,2,FALSE),0)),IF(sizing_w02_nsxt_model="Dedicated - HA Cluster",3,1)),
        PRODUCT((IF(AND(sizing_w03_chosen="Included",sizing_w03_nsxt_model&lt;&gt;"Shared"),VLOOKUP(sizing_w03_nsxt_appliance_size,table_nsxt_manager_disk_gb,2,FALSE),0)),IF(sizing_w03_nsxt_model="Dedicated - HA Cluster",3,1)),
        PRODUCT((IF(AND(sizing_w04_chosen="Included",sizing_w04_nsxt_model&lt;&gt;"Shared"),VLOOKUP(sizing_w04_nsxt_appliance_size,table_nsxt_manager_disk_gb,2,FALSE),0)),IF(sizing_w04_nsxt_model="Dedicated - HA Cluster",3,1)),
        PRODUCT((IF(AND(sizing_w05_chosen="Included",sizing_w05_nsxt_model&lt;&gt;"Shared"),VLOOKUP(sizing_w05_nsxt_appliance_size,table_nsxt_manager_disk_gb,2,FALSE),0)),IF(sizing_w05_nsxt_model="Dedicated - HA Cluster",3,1)),
        PRODUCT((IF(AND(sizing_w06_chosen="Included",sizing_w06_nsxt_model&lt;&gt;"Shared"),VLOOKUP(sizing_w06_nsxt_appliance_size,table_nsxt_manager_disk_gb,2,FALSE),0)),IF(sizing_w06_nsxt_model="Dedicated - HA Cluster",3,1)),
        PRODUCT((IF(AND(sizing_w07_chosen="Included",sizing_w07_nsxt_model&lt;&gt;"Shared"),VLOOKUP(sizing_w07_nsxt_appliance_size,table_nsxt_manager_disk_gb,2,FALSE),0)),IF(sizing_w07_nsxt_model="Dedicated - HA Cluster",3,1)),
        PRODUCT((IF(AND(sizing_w08_chosen="Included",sizing_w08_nsxt_model&lt;&gt;"Shared"),VLOOKUP(sizing_w08_nsxt_appliance_size,table_nsxt_manager_disk_gb,2,FALSE),0)),IF(sizing_w08_nsxt_model="Dedicated - HA Cluster",3,1)),
        PRODUCT((IF(AND(sizing_w09_chosen="Included",sizing_w09_nsxt_model&lt;&gt;"Shared"),VLOOKUP(sizing_w09_nsxt_appliance_size,table_nsxt_manager_disk_gb,2,FALSE),0)),IF(sizing_w09_nsxt_model="Dedicated - HA Cluster",3,1)),
        PRODUCT((IF(AND(sizing_w10_chosen="Included",sizing_w10_nsxt_model&lt;&gt;"Shared"),VLOOKUP(sizing_w10_nsxt_appliance_size,table_nsxt_manager_disk_gb,2,FALSE),0)),IF(sizing_w10_nsxt_model="Dedicated - HA Cluster",3,1)),
        PRODUCT((IF(AND(sizing_w11_chosen="Included",sizing_w11_nsxt_model&lt;&gt;"Shared"),VLOOKUP(sizing_w11_nsxt_appliance_size,table_nsxt_manager_disk_gb,2,FALSE),0)),IF(sizing_w11_nsxt_model="Dedicated - HA Cluster",3,1)),
        PRODUCT((IF(AND(sizing_w12_chosen="Included",sizing_w12_nsxt_model&lt;&gt;"Shared"),VLOOKUP(sizing_w12_nsxt_appliance_size,table_nsxt_manager_disk_gb,2,FALSE),0)),IF(sizing_w12_nsxt_model="Dedicated - HA Cluster",3,1)),
        PRODUCT((IF(AND(sizing_w13_chosen="Included",sizing_w13_nsxt_model&lt;&gt;"Shared"),VLOOKUP(sizing_w13_nsxt_appliance_size,table_nsxt_manager_disk_gb,2,FALSE),0)),IF(sizing_w13_nsxt_model="Dedicated - HA Cluster",3,1)),
        PRODUCT((IF(AND(sizing_w14_chosen="Included",sizing_w14_nsxt_model&lt;&gt;"Shared"),VLOOKUP(sizing_w14_nsxt_appliance_size,table_nsxt_manager_disk_gb,2,FALSE),0)),IF(sizing_w14_nsxt_model="Dedicated - HA Cluster",3,1)),
        PRODUCT((IF(AND(sizing_w15_chosen="Included",sizing_w15_nsxt_model&lt;&gt;"Shared"),VLOOKUP(sizing_w15_nsxt_appliance_size,table_nsxt_manager_disk_gb,2,FALSE),0)),IF(sizing_w15_nsxt_model="Dedicated - HA Cluster",3,1)),
        PRODUCT((IF(AND(sizing_w16_chosen="Included",sizing_w16_nsxt_model&lt;&gt;"Shared"),VLOOKUP(sizing_w16_nsxt_appliance_size,table_nsxt_manager_disk_gb,2,FALSE),0)),IF(sizing_w16_nsxt_model="Dedicated - HA Cluster",3,1)),
        PRODUCT((IF(AND(sizing_w17_chosen="Included",sizing_w17_nsxt_model&lt;&gt;"Shared"),VLOOKUP(sizing_w17_nsxt_appliance_size,table_nsxt_manager_disk_gb,2,FALSE),0)),IF(sizing_w17_nsxt_model="Dedicated - HA Cluster",3,1)),
        PRODUCT((IF(AND(sizing_w18_chosen="Included",sizing_w18_nsxt_model&lt;&gt;"Shared"),VLOOKUP(sizing_w18_nsxt_appliance_size,table_nsxt_manager_disk_gb,2,FALSE),0)),IF(sizing_w18_nsxt_model="Dedicated - HA Cluster",3,1)),
        PRODUCT((IF(AND(sizing_w19_chosen="Included",sizing_w19_nsxt_model&lt;&gt;"Shared"),VLOOKUP(sizing_w19_nsxt_appliance_size,table_nsxt_manager_disk_gb,2,FALSE),0)),IF(sizing_w19_nsxt_model="Dedicated - HA Cluster",3,1)),
        PRODUCT((IF(AND(sizing_w20_chosen="Included",sizing_w20_nsxt_model&lt;&gt;"Shared"),VLOOKUP(sizing_w20_nsxt_appliance_size,table_nsxt_manager_disk_gb,2,FALSE),0)),IF(sizing_w20_nsxt_model="Dedicated - HA Cluster",3,1)),
        PRODUCT((IF(AND(sizing_w21_chosen="Included",sizing_w21_nsxt_model&lt;&gt;"Shared"),VLOOKUP(sizing_w21_nsxt_appliance_size,table_nsxt_manager_disk_gb,2,FALSE),0)),IF(sizing_w21_nsxt_model="Dedicated - HA Cluster",3,1)),
        PRODUCT((IF(AND(sizing_w22_chosen="Included",sizing_w22_nsxt_model&lt;&gt;"Shared"),VLOOKUP(sizing_w22_nsxt_appliance_size,table_nsxt_manager_disk_gb,2,FALSE),0)),IF(sizing_w22_nsxt_model="Dedicated - HA Cluster",3,1)),
        PRODUCT((IF(AND(sizing_w23_chosen="Included",sizing_w23_nsxt_model&lt;&gt;"Shared"),VLOOKUP(sizing_w23_nsxt_appliance_size,table_nsxt_manager_disk_gb,2,FALSE),0)),IF(sizing_w23_nsxt_model="Dedicated - HA Cluster",3,1)),
        PRODUCT((IF(AND(sizing_w24_chosen="Included",sizing_w24_nsxt_model&lt;&gt;"Shared"),VLOOKUP(sizing_w24_nsxt_appliance_size,table_nsxt_manager_disk_gb,2,FALSE),0)),IF(sizing_w24_nsxt_model="Dedicated - HA Cluster",3,1)),,'Static Reference Tables'!D73)</f>
        <v>0</v>
      </c>
      <c r="O16" s="343" t="s">
        <v>3939</v>
      </c>
      <c r="P16" s="344"/>
      <c r="Q16" s="344"/>
      <c r="R16" s="420" t="str">
        <f>CONCATENATE(SUM(L8:L27))</f>
        <v>119</v>
      </c>
      <c r="S16" s="420"/>
      <c r="T16" s="3"/>
      <c r="U16" s="454"/>
      <c r="V16" s="454"/>
      <c r="W16" s="454"/>
      <c r="X16" s="454"/>
      <c r="Y16" s="454"/>
      <c r="Z16" s="454"/>
      <c r="AA16" s="454"/>
      <c r="AB16" s="454"/>
      <c r="AC16" s="360"/>
      <c r="AD16" s="360"/>
      <c r="AE16" s="360"/>
      <c r="AF16" s="360"/>
    </row>
    <row r="17" spans="2:33" ht="20.05" customHeight="1" x14ac:dyDescent="0.45">
      <c r="G17" s="410" t="s">
        <v>3940</v>
      </c>
      <c r="H17" s="411"/>
      <c r="I17" s="412"/>
      <c r="J17" s="337">
        <f>COUNTIF(S36:S59,"&lt;&gt;Excluded")*3</f>
        <v>0</v>
      </c>
      <c r="K17" s="337">
        <f>SUM(
(IF(AND(sizing_w01_chosen="Included",sizing_w01_avi_appliance_size&lt;&gt;"Excluded"),VLOOKUP(sizing_w01_avi_appliance_size,table_avi_lb_cpu,2,FALSE),0))*3,
(IF(AND(sizing_w02_chosen="Included",sizing_w02_avi_appliance_size&lt;&gt;"Excluded"),VLOOKUP(sizing_w02_avi_appliance_size,table_avi_lb_cpu,2,FALSE),0))*3,
(IF(AND(sizing_w03_chosen="Included",sizing_w03_avi_appliance_size&lt;&gt;"Excluded"),VLOOKUP(sizing_w03_avi_appliance_size,table_avi_lb_cpu,2,FALSE),0))*3,
(IF(AND(sizing_w04_chosen="Included",sizing_w04_avi_appliance_size&lt;&gt;"Excluded"),VLOOKUP(sizing_w04_avi_appliance_size,table_avi_lb_cpu,2,FALSE),0))*3,
(IF(AND(sizing_w05_chosen="Included",sizing_w05_avi_appliance_size&lt;&gt;"Excluded"),VLOOKUP(sizing_w05_avi_appliance_size,table_avi_lb_cpu,2,FALSE),0))*3,
(IF(AND(sizing_w06_chosen="Included",sizing_w06_avi_appliance_size&lt;&gt;"Excluded"),VLOOKUP(sizing_w06_avi_appliance_size,table_avi_lb_cpu,2,FALSE),0))*3,
(IF(AND(sizing_w07_chosen="Included",sizing_w07_avi_appliance_size&lt;&gt;"Excluded"),VLOOKUP(sizing_w07_avi_appliance_size,table_avi_lb_cpu,2,FALSE),0))*3,
(IF(AND(sizing_w08_chosen="Included",sizing_w08_avi_appliance_size&lt;&gt;"Excluded"),VLOOKUP(sizing_w08_avi_appliance_size,table_avi_lb_cpu,2,FALSE),0))*3,
(IF(AND(sizing_w09_chosen="Included",sizing_w09_avi_appliance_size&lt;&gt;"Excluded"),VLOOKUP(sizing_w09_avi_appliance_size,table_avi_lb_cpu,2,FALSE),0))*3,
(IF(AND(sizing_w10_chosen="Included",sizing_w10_avi_appliance_size&lt;&gt;"Excluded"),VLOOKUP(sizing_w10_avi_appliance_size,table_avi_lb_cpu,2,FALSE),0))*3,
(IF(AND(sizing_w11_chosen="Included",sizing_w11_avi_appliance_size&lt;&gt;"Excluded"),VLOOKUP(sizing_w11_avi_appliance_size,table_avi_lb_cpu,2,FALSE),0))*3,
(IF(AND(sizing_w12_chosen="Included",sizing_w12_avi_appliance_size&lt;&gt;"Excluded"),VLOOKUP(sizing_w12_avi_appliance_size,table_avi_lb_cpu,2,FALSE),0))*3,
(IF(AND(sizing_w13_chosen="Included",sizing_w13_avi_appliance_size&lt;&gt;"Excluded"),VLOOKUP(sizing_w13_avi_appliance_size,table_avi_lb_cpu,2,FALSE),0))*3,
(IF(AND(sizing_w14_chosen="Included",sizing_w14_avi_appliance_size&lt;&gt;"Excluded"),VLOOKUP(sizing_w14_avi_appliance_size,table_avi_lb_cpu,2,FALSE),0))*3,
(IF(AND(sizing_w15_chosen="Included",sizing_w15_avi_appliance_size&lt;&gt;"Excluded"),VLOOKUP(sizing_w15_avi_appliance_size,table_avi_lb_cpu,2,FALSE),0))*3,
(IF(AND(sizing_w16_chosen="Included",sizing_w16_avi_appliance_size&lt;&gt;"Excluded"),VLOOKUP(sizing_w16_avi_appliance_size,table_avi_lb_cpu,2,FALSE),0))*3,
(IF(AND(sizing_w17_chosen="Included",sizing_w17_avi_appliance_size&lt;&gt;"Excluded"),VLOOKUP(sizing_w17_avi_appliance_size,table_avi_lb_cpu,2,FALSE),0))*3,
(IF(AND(sizing_w18_chosen="Included",sizing_w18_avi_appliance_size&lt;&gt;"Excluded"),VLOOKUP(sizing_w18_avi_appliance_size,table_avi_lb_cpu,2,FALSE),0))*3,
(IF(AND(sizing_w19_chosen="Included",sizing_w19_avi_appliance_size&lt;&gt;"Excluded"),VLOOKUP(sizing_w19_avi_appliance_size,table_avi_lb_cpu,2,FALSE),0))*3,
(IF(AND(sizing_w20_chosen="Included",sizing_w20_avi_appliance_size&lt;&gt;"Excluded"),VLOOKUP(sizing_w20_avi_appliance_size,table_avi_lb_cpu,2,FALSE),0))*3,
(IF(AND(sizing_w21_chosen="Included",sizing_w21_avi_appliance_size&lt;&gt;"Excluded"),VLOOKUP(sizing_w21_avi_appliance_size,table_avi_lb_cpu,2,FALSE),0))*3,
(IF(AND(sizing_w22_chosen="Included",sizing_w22_avi_appliance_size&lt;&gt;"Excluded"),VLOOKUP(sizing_w22_avi_appliance_size,table_avi_lb_cpu,2,FALSE),0))*3,
(IF(AND(sizing_w23_chosen="Included",sizing_w23_avi_appliance_size&lt;&gt;"Excluded"),VLOOKUP(sizing_w23_avi_appliance_size,table_avi_lb_cpu,2,FALSE),0))*3,
(IF(AND(sizing_w24_chosen="Included",sizing_w24_avi_appliance_size&lt;&gt;"Excluded"),VLOOKUP(sizing_w24_avi_appliance_size,table_avi_lb_cpu,2,FALSE),0))*3,
)</f>
        <v>0</v>
      </c>
      <c r="L17" s="337">
        <f>SUM(
    (IF(AND(sizing_w01_chosen="Included",sizing_w01_avi_appliance_size&lt;&gt;"Excluded"),VLOOKUP(sizing_w01_avi_appliance_size,table_avi_lb_ram,2,FALSE),0))*3,
    (IF(AND(sizing_w02_chosen="Included",sizing_w02_avi_appliance_size&lt;&gt;"Excluded"),VLOOKUP(sizing_w02_avi_appliance_size,table_avi_lb_ram,2,FALSE),0))*3,
    (IF(AND(sizing_w03_chosen="Included",sizing_w03_avi_appliance_size&lt;&gt;"Excluded"),VLOOKUP(sizing_w03_avi_appliance_size,table_avi_lb_ram,2,FALSE),0))*3,
    (IF(AND(sizing_w04_chosen="Included",sizing_w04_avi_appliance_size&lt;&gt;"Excluded"),VLOOKUP(sizing_w04_avi_appliance_size,table_avi_lb_ram,2,FALSE),0))*3,
    (IF(AND(sizing_w05_chosen="Included",sizing_w05_avi_appliance_size&lt;&gt;"Excluded"),VLOOKUP(sizing_w05_avi_appliance_size,table_avi_lb_ram,2,FALSE),0))*3,
    (IF(AND(sizing_w06_chosen="Included",sizing_w06_avi_appliance_size&lt;&gt;"Excluded"),VLOOKUP(sizing_w06_avi_appliance_size,table_avi_lb_ram,2,FALSE),0))*3,
    (IF(AND(sizing_w07_chosen="Included",sizing_w07_avi_appliance_size&lt;&gt;"Excluded"),VLOOKUP(sizing_w07_avi_appliance_size,table_avi_lb_ram,2,FALSE),0))*3,
    (IF(AND(sizing_w08_chosen="Included",sizing_w08_avi_appliance_size&lt;&gt;"Excluded"),VLOOKUP(sizing_w08_avi_appliance_size,table_avi_lb_ram,2,FALSE),0))*3,
    (IF(AND(sizing_w09_chosen="Included",sizing_w09_avi_appliance_size&lt;&gt;"Excluded"),VLOOKUP(sizing_w09_avi_appliance_size,table_avi_lb_ram,2,FALSE),0))*3,
    (IF(AND(sizing_w10_chosen="Included",sizing_w10_avi_appliance_size&lt;&gt;"Excluded"),VLOOKUP(sizing_w10_avi_appliance_size,table_avi_lb_ram,2,FALSE),0))*3,
    (IF(AND(sizing_w11_chosen="Included",sizing_w11_avi_appliance_size&lt;&gt;"Excluded"),VLOOKUP(sizing_w11_avi_appliance_size,table_avi_lb_ram,2,FALSE),0))*3,
    (IF(AND(sizing_w12_chosen="Included",sizing_w12_avi_appliance_size&lt;&gt;"Excluded"),VLOOKUP(sizing_w12_avi_appliance_size,table_avi_lb_ram,2,FALSE),0))*3,
    (IF(AND(sizing_w13_chosen="Included",sizing_w13_avi_appliance_size&lt;&gt;"Excluded"),VLOOKUP(sizing_w13_avi_appliance_size,table_avi_lb_ram,2,FALSE),0))*3,
    (IF(AND(sizing_w14_chosen="Included",sizing_w14_avi_appliance_size&lt;&gt;"Excluded"),VLOOKUP(sizing_w14_avi_appliance_size,table_avi_lb_ram,2,FALSE),0))*3,
    (IF(AND(sizing_w15_chosen="Included",sizing_w15_avi_appliance_size&lt;&gt;"Excluded"),VLOOKUP(sizing_w15_avi_appliance_size,table_avi_lb_ram,2,FALSE),0))*3,
    (IF(AND(sizing_w16_chosen="Included",sizing_w16_avi_appliance_size&lt;&gt;"Excluded"),VLOOKUP(sizing_w16_avi_appliance_size,table_avi_lb_ram,2,FALSE),0))*3,
    (IF(AND(sizing_w17_chosen="Included",sizing_w17_avi_appliance_size&lt;&gt;"Excluded"),VLOOKUP(sizing_w17_avi_appliance_size,table_avi_lb_ram,2,FALSE),0))*3,
    (IF(AND(sizing_w18_chosen="Included",sizing_w18_avi_appliance_size&lt;&gt;"Excluded"),VLOOKUP(sizing_w18_avi_appliance_size,table_avi_lb_ram,2,FALSE),0))*3,
    (IF(AND(sizing_w19_chosen="Included",sizing_w19_avi_appliance_size&lt;&gt;"Excluded"),VLOOKUP(sizing_w19_avi_appliance_size,table_avi_lb_ram,2,FALSE),0))*3,
    (IF(AND(sizing_w20_chosen="Included",sizing_w20_avi_appliance_size&lt;&gt;"Excluded"),VLOOKUP(sizing_w20_avi_appliance_size,table_avi_lb_ram,2,FALSE),0))*3,
    (IF(AND(sizing_w21_chosen="Included",sizing_w21_avi_appliance_size&lt;&gt;"Excluded"),VLOOKUP(sizing_w21_avi_appliance_size,table_avi_lb_ram,2,FALSE),0))*3,
    (IF(AND(sizing_w22_chosen="Included",sizing_w22_avi_appliance_size&lt;&gt;"Excluded"),VLOOKUP(sizing_w22_avi_appliance_size,table_avi_lb_ram,2,FALSE),0))*3,
    (IF(AND(sizing_w23_chosen="Included",sizing_w23_avi_appliance_size&lt;&gt;"Excluded"),VLOOKUP(sizing_w23_avi_appliance_size,table_avi_lb_ram,2,FALSE),0))*3,
    (IF(AND(sizing_w24_chosen="Included",sizing_w24_avi_appliance_size&lt;&gt;"Excluded"),VLOOKUP(sizing_w24_avi_appliance_size,table_avi_lb_ram,2,FALSE),0))*3,
    )</f>
        <v>0</v>
      </c>
      <c r="M17" s="337">
        <f>SUM(
    (IF(AND(sizing_w01_chosen="Included",sizing_w01_avi_appliance_size&lt;&gt;"Excluded"),VLOOKUP(sizing_w01_avi_appliance_size,table_avi_lb_disk,2,FALSE),0))*3,
    (IF(AND(sizing_w02_chosen="Included",sizing_w02_avi_appliance_size&lt;&gt;"Excluded"),VLOOKUP(sizing_w02_avi_appliance_size,table_avi_lb_disk,2,FALSE),0))*3,
    (IF(AND(sizing_w03_chosen="Included",sizing_w03_avi_appliance_size&lt;&gt;"Excluded"),VLOOKUP(sizing_w03_avi_appliance_size,table_avi_lb_disk,2,FALSE),0))*3,
    (IF(AND(sizing_w04_chosen="Included",sizing_w04_avi_appliance_size&lt;&gt;"Excluded"),VLOOKUP(sizing_w04_avi_appliance_size,table_avi_lb_disk,2,FALSE),0))*3,
    (IF(AND(sizing_w05_chosen="Included",sizing_w05_avi_appliance_size&lt;&gt;"Excluded"),VLOOKUP(sizing_w05_avi_appliance_size,table_avi_lb_disk,2,FALSE),0))*3,
    (IF(AND(sizing_w06_chosen="Included",sizing_w06_avi_appliance_size&lt;&gt;"Excluded"),VLOOKUP(sizing_w06_avi_appliance_size,table_avi_lb_disk,2,FALSE),0))*3,
    (IF(AND(sizing_w07_chosen="Included",sizing_w07_avi_appliance_size&lt;&gt;"Excluded"),VLOOKUP(sizing_w07_avi_appliance_size,table_avi_lb_disk,2,FALSE),0))*3,
    (IF(AND(sizing_w08_chosen="Included",sizing_w08_avi_appliance_size&lt;&gt;"Excluded"),VLOOKUP(sizing_w08_avi_appliance_size,table_avi_lb_disk,2,FALSE),0))*3,
    (IF(AND(sizing_w09_chosen="Included",sizing_w09_avi_appliance_size&lt;&gt;"Excluded"),VLOOKUP(sizing_w09_avi_appliance_size,table_avi_lb_disk,2,FALSE),0))*3,
    (IF(AND(sizing_w10_chosen="Included",sizing_w10_avi_appliance_size&lt;&gt;"Excluded"),VLOOKUP(sizing_w10_avi_appliance_size,table_avi_lb_disk,2,FALSE),0))*3,
    (IF(AND(sizing_w11_chosen="Included",sizing_w11_avi_appliance_size&lt;&gt;"Excluded"),VLOOKUP(sizing_w11_avi_appliance_size,table_avi_lb_disk,2,FALSE),0))*3,
    (IF(AND(sizing_w12_chosen="Included",sizing_w12_avi_appliance_size&lt;&gt;"Excluded"),VLOOKUP(sizing_w12_avi_appliance_size,table_avi_lb_disk,2,FALSE),0))*3,
    (IF(AND(sizing_w13_chosen="Included",sizing_w13_avi_appliance_size&lt;&gt;"Excluded"),VLOOKUP(sizing_w13_avi_appliance_size,table_avi_lb_disk,2,FALSE),0))*3,
    (IF(AND(sizing_w14_chosen="Included",sizing_w14_avi_appliance_size&lt;&gt;"Excluded"),VLOOKUP(sizing_w14_avi_appliance_size,table_avi_lb_disk,2,FALSE),0))*3,
    (IF(AND(sizing_w15_chosen="Included",sizing_w15_avi_appliance_size&lt;&gt;"Excluded"),VLOOKUP(sizing_w15_avi_appliance_size,table_avi_lb_disk,2,FALSE),0))*3,
    (IF(AND(sizing_w16_chosen="Included",sizing_w16_avi_appliance_size&lt;&gt;"Excluded"),VLOOKUP(sizing_w16_avi_appliance_size,table_avi_lb_disk,2,FALSE),0))*3,
    (IF(AND(sizing_w17_chosen="Included",sizing_w17_avi_appliance_size&lt;&gt;"Excluded"),VLOOKUP(sizing_w17_avi_appliance_size,table_avi_lb_disk,2,FALSE),0))*3,
    (IF(AND(sizing_w18_chosen="Included",sizing_w18_avi_appliance_size&lt;&gt;"Excluded"),VLOOKUP(sizing_w18_avi_appliance_size,table_avi_lb_disk,2,FALSE),0))*3,
    (IF(AND(sizing_w19_chosen="Included",sizing_w19_avi_appliance_size&lt;&gt;"Excluded"),VLOOKUP(sizing_w19_avi_appliance_size,table_avi_lb_disk,2,FALSE),0))*3,
    (IF(AND(sizing_w20_chosen="Included",sizing_w20_avi_appliance_size&lt;&gt;"Excluded"),VLOOKUP(sizing_w20_avi_appliance_size,table_avi_lb_disk,2,FALSE),0))*3,
    (IF(AND(sizing_w21_chosen="Included",sizing_w21_avi_appliance_size&lt;&gt;"Excluded"),VLOOKUP(sizing_w21_avi_appliance_size,table_avi_lb_disk,2,FALSE),0))*3,
    (IF(AND(sizing_w22_chosen="Included",sizing_w22_avi_appliance_size&lt;&gt;"Excluded"),VLOOKUP(sizing_w22_avi_appliance_size,table_avi_lb_disk,2,FALSE),0))*3,
    (IF(AND(sizing_w23_chosen="Included",sizing_w23_avi_appliance_size&lt;&gt;"Excluded"),VLOOKUP(sizing_w23_avi_appliance_size,table_avi_lb_disk,2,FALSE),0))*3,
    (IF(AND(sizing_w24_chosen="Included",sizing_w24_avi_appliance_size&lt;&gt;"Excluded"),VLOOKUP(sizing_w24_avi_appliance_size,table_avi_lb_disk,2,FALSE),0))*3,
    )</f>
        <v>0</v>
      </c>
      <c r="O17" s="343" t="s">
        <v>3941</v>
      </c>
      <c r="P17" s="344"/>
      <c r="Q17" s="344"/>
      <c r="R17" s="420">
        <f>R15+R16</f>
        <v>2841</v>
      </c>
      <c r="S17" s="420"/>
      <c r="T17" s="3"/>
      <c r="U17" s="454"/>
      <c r="V17" s="454"/>
      <c r="W17" s="454"/>
      <c r="X17" s="454"/>
      <c r="Y17" s="454"/>
      <c r="Z17" s="454"/>
      <c r="AA17" s="454"/>
      <c r="AB17" s="454"/>
      <c r="AC17" s="360"/>
      <c r="AD17" s="360"/>
      <c r="AE17" s="360"/>
      <c r="AF17" s="360"/>
    </row>
    <row r="18" spans="2:33" ht="20.05" customHeight="1" x14ac:dyDescent="0.45">
      <c r="B18" s="407" t="s">
        <v>3942</v>
      </c>
      <c r="C18" s="408"/>
      <c r="D18" s="408"/>
      <c r="E18" s="409"/>
      <c r="G18" s="421" t="s">
        <v>3943</v>
      </c>
      <c r="H18" s="421"/>
      <c r="I18" s="421"/>
      <c r="J18" s="337">
        <f>SUM(PRODUCT(9,COUNTIF(V36:V59,"Medium")),PRODUCT(12,COUNTIF(V36:V59,"Large")),PRODUCT(14,COUNTIF(V36:V59,"X-Large")))</f>
        <v>0</v>
      </c>
      <c r="K18" s="99">
        <f>SUM((PRODUCT((VLOOKUP("Medium",table_ssp_cpu,2,FALSE)),COUNTIF(V36:V59,"Medium"))),PRODUCT((VLOOKUP("Large",table_ssp_cpu,2,FALSE)),COUNTIF(V36:V59,"Large")),PRODUCT((VLOOKUP("X-Large",table_ssp_cpu,2,FALSE)),COUNTIF(V36:V59,"X-Large")))</f>
        <v>0</v>
      </c>
      <c r="L18" s="99">
        <f>SUM((PRODUCT((VLOOKUP("Medium",table_ssp_ram,2,FALSE)),COUNTIF(V36:V59,"Medium"))),PRODUCT((VLOOKUP("Large",table_ssp_ram,2,FALSE)),COUNTIF(V36:V59,"Large")),PRODUCT((VLOOKUP("X-Large",table_ssp_ram,2,FALSE)),COUNTIF(V36:V59,"X-Large")))</f>
        <v>0</v>
      </c>
      <c r="M18" s="99">
        <f>SUM((PRODUCT((VLOOKUP("Medium",table_ssp_disk,2,FALSE)),COUNTIF(V36:V59,"Medium"))),PRODUCT((VLOOKUP("Large",table_ssp_disk,2,FALSE)),COUNTIF(V36:V59,"Large")),PRODUCT((VLOOKUP("X-Large",table_ssp_disk,2,FALSE)),COUNTIF(V36:V59,"X-Large")))</f>
        <v>0</v>
      </c>
      <c r="O18" s="343" t="s">
        <v>3944</v>
      </c>
      <c r="P18" s="344"/>
      <c r="Q18" s="344"/>
      <c r="R18" s="420">
        <f>ROUNDUP(IF(R13="vSAN-ESA",R17*1.5,R17*2),0)</f>
        <v>5682</v>
      </c>
      <c r="S18" s="420"/>
      <c r="T18" s="3"/>
      <c r="U18" s="454"/>
      <c r="V18" s="454"/>
      <c r="W18" s="454"/>
      <c r="X18" s="454"/>
      <c r="Y18" s="454"/>
      <c r="Z18" s="454"/>
      <c r="AA18" s="454"/>
      <c r="AB18" s="454"/>
      <c r="AC18" s="360"/>
      <c r="AD18" s="360"/>
      <c r="AE18" s="360"/>
      <c r="AF18" s="360"/>
    </row>
    <row r="19" spans="2:33" ht="20.05" customHeight="1" x14ac:dyDescent="0.45">
      <c r="B19" s="438" t="s">
        <v>3945</v>
      </c>
      <c r="C19" s="443"/>
      <c r="D19" s="439"/>
      <c r="E19" s="348" t="s">
        <v>1268</v>
      </c>
      <c r="G19" s="410" t="s">
        <v>3946</v>
      </c>
      <c r="H19" s="411"/>
      <c r="I19" s="412"/>
      <c r="J19" s="337">
        <f>IF(sizing_vcfops_ha_chosen="Exclude",0,1)</f>
        <v>0</v>
      </c>
      <c r="K19" s="331">
        <f>IF(sizing_vcfops_ha_chosen="Exclude",0,sizing_vcffm_cpu)</f>
        <v>0</v>
      </c>
      <c r="L19" s="331">
        <f>IF(sizing_vcfops_ha_chosen="Exclude",0,sizing_vcffm_ram)</f>
        <v>0</v>
      </c>
      <c r="M19" s="331">
        <f>IF(sizing_vcfops_ha_chosen="Exclude",0,sizing_vcffm_disk)</f>
        <v>0</v>
      </c>
      <c r="O19" s="343" t="s">
        <v>3947</v>
      </c>
      <c r="P19" s="344"/>
      <c r="Q19" s="344"/>
      <c r="R19" s="420">
        <f>ROUNDUP(R18*(1+(sizing_virtual_machine_overhead/100)),0)</f>
        <v>7387</v>
      </c>
      <c r="S19" s="420"/>
      <c r="T19" s="23"/>
      <c r="U19" s="454"/>
      <c r="V19" s="454"/>
      <c r="W19" s="454"/>
      <c r="X19" s="454"/>
      <c r="Y19" s="454"/>
      <c r="Z19" s="454"/>
      <c r="AA19" s="454"/>
      <c r="AB19" s="454"/>
      <c r="AC19" s="360"/>
      <c r="AD19" s="360"/>
      <c r="AE19" s="360"/>
      <c r="AF19" s="360"/>
    </row>
    <row r="20" spans="2:33" ht="20.05" customHeight="1" x14ac:dyDescent="0.45">
      <c r="B20" s="410" t="s">
        <v>3948</v>
      </c>
      <c r="C20" s="411"/>
      <c r="D20" s="412"/>
      <c r="E20" s="106" t="s">
        <v>3949</v>
      </c>
      <c r="G20" s="410" t="s">
        <v>3950</v>
      </c>
      <c r="H20" s="411"/>
      <c r="I20" s="412"/>
      <c r="J20" s="337">
        <f>IF(sizing_vcfops_ha_chosen&lt;&gt;"Exclude",IF(sizing_vcfops_deployment_model_chosen="Deploy HA",3,IF(sizing_vcfops_deployment_model_chosen="Deploy Simple",1,0)),0)</f>
        <v>0</v>
      </c>
      <c r="K20" s="337">
        <f>IF(sizing_vcfops_ha_chosen&lt;&gt;"Exclude",PRODUCT(VLOOKUP(sizing_vcfops_ha_chosen,table_vcfops_appliance_cpu,2,FALSE),J20),0)</f>
        <v>0</v>
      </c>
      <c r="L20" s="337">
        <f>IF(sizing_vcfops_ha_chosen&lt;&gt;"Exclude",PRODUCT(VLOOKUP(sizing_vcfops_ha_chosen,table_vcfops_appliance_ram,2,FALSE),J20),0)</f>
        <v>0</v>
      </c>
      <c r="M20" s="337">
        <f>IF(sizing_vcfops_ha_chosen&lt;&gt;"Exclude",PRODUCT(VLOOKUP(sizing_vcfops_ha_chosen,table_vcfops_appliance_disk,2,FALSE),J20),0)</f>
        <v>0</v>
      </c>
      <c r="O20" s="343" t="s">
        <v>3951</v>
      </c>
      <c r="P20" s="344"/>
      <c r="Q20" s="344"/>
      <c r="R20" s="420">
        <f>IF(OR((sizing_storage_type="FC"),(sizing_storage_type="NFS")),ROUNDUP(R17*(1+(sizing_estimated_growth/100)),0),ROUNDUP(R19*(1+(sizing_estimated_growth/100)),0))</f>
        <v>3126</v>
      </c>
      <c r="S20" s="420"/>
      <c r="U20" s="454"/>
      <c r="V20" s="454"/>
      <c r="W20" s="454"/>
      <c r="X20" s="454"/>
      <c r="Y20" s="454"/>
      <c r="Z20" s="454"/>
      <c r="AA20" s="454"/>
      <c r="AB20" s="454"/>
      <c r="AC20" s="360"/>
      <c r="AD20" s="360"/>
      <c r="AE20" s="360"/>
      <c r="AF20" s="360"/>
    </row>
    <row r="21" spans="2:33" ht="20.05" customHeight="1" x14ac:dyDescent="0.45">
      <c r="B21" s="410" t="s">
        <v>1344</v>
      </c>
      <c r="C21" s="411"/>
      <c r="D21" s="412"/>
      <c r="E21" s="106" t="s">
        <v>13</v>
      </c>
      <c r="G21" s="410" t="s">
        <v>3952</v>
      </c>
      <c r="H21" s="411"/>
      <c r="I21" s="412"/>
      <c r="J21" s="337">
        <f>IF(sizing_vcfops_collector_chosen="Exclude",0,1)</f>
        <v>0</v>
      </c>
      <c r="K21" s="337">
        <f>IF(sizing_vcfops_collector_chosen="Exclude",0,VLOOKUP(sizing_vcfops_collector_chosen,table_vcfo_p_cpu,2,FALSE))</f>
        <v>0</v>
      </c>
      <c r="L21" s="337">
        <f>IF(sizing_vcfops_collector_chosen="Exclude",0,VLOOKUP(sizing_vcfops_collector_chosen,table_vcfo_p_ram,2,FALSE))</f>
        <v>0</v>
      </c>
      <c r="M21" s="337">
        <f>IF(sizing_vcfops_collector_chosen="Exclude",0,VLOOKUP(sizing_vcfops_collector_chosen,table_vcfo_p_disk,2,FALSE))</f>
        <v>0</v>
      </c>
      <c r="O21" s="351" t="s">
        <v>3953</v>
      </c>
      <c r="P21" s="372"/>
      <c r="Q21" s="372"/>
      <c r="R21" s="440" t="str">
        <f>CONCATENATE(ROUNDUP(R20/(calculated_mgmt_host_count-1),0)," GB Disk")</f>
        <v>1042 GB Disk</v>
      </c>
      <c r="S21" s="440"/>
      <c r="U21" s="454"/>
      <c r="V21" s="454"/>
      <c r="W21" s="454"/>
      <c r="X21" s="454"/>
      <c r="Y21" s="454"/>
      <c r="Z21" s="454"/>
      <c r="AA21" s="454"/>
      <c r="AB21" s="454"/>
      <c r="AC21" s="360"/>
      <c r="AD21" s="360"/>
      <c r="AE21" s="360"/>
      <c r="AF21" s="360"/>
    </row>
    <row r="22" spans="2:33" ht="20.05" customHeight="1" x14ac:dyDescent="0.45">
      <c r="B22" s="410" t="s">
        <v>3954</v>
      </c>
      <c r="C22" s="411"/>
      <c r="D22" s="412"/>
      <c r="E22" s="106" t="s">
        <v>13</v>
      </c>
      <c r="G22" s="410" t="s">
        <v>3955</v>
      </c>
      <c r="H22" s="411"/>
      <c r="I22" s="412"/>
      <c r="J22" s="337">
        <f>IF(sizing_vcfauto_chosen="Exclude",0,
IF(sizing_vcfauto_chosen="Small",1,
IF(sizing_vcfauto_chosen="Medium",3,
IF(sizing_vcfauto_chosen="Large",3,)
)))</f>
        <v>0</v>
      </c>
      <c r="K22" s="337">
        <f>IF(sizing_vcfauto_chosen="Exclude",0,PRODUCT(VLOOKUP(sizing_vcfauto_chosen,table_vcfa_appliance_cpu,2,FALSE),J22))</f>
        <v>0</v>
      </c>
      <c r="L22" s="331">
        <f>IF(sizing_vcfauto_chosen="Exclude",0,PRODUCT(VLOOKUP(sizing_vcfauto_chosen,table_vcfa_appliance_ram,2,FALSE),J22))</f>
        <v>0</v>
      </c>
      <c r="M22" s="337">
        <f>IF(sizing_vcfauto_chosen="Exclude",0,PRODUCT(VLOOKUP(sizing_vcfauto_chosen,table_vcfa_appliance_disk,2,FALSE),J22))</f>
        <v>0</v>
      </c>
      <c r="N22" s="6"/>
      <c r="T22" s="6"/>
      <c r="U22" s="454"/>
      <c r="V22" s="454"/>
      <c r="W22" s="454"/>
      <c r="X22" s="454"/>
      <c r="Y22" s="454"/>
      <c r="Z22" s="454"/>
      <c r="AA22" s="454"/>
      <c r="AB22" s="454"/>
      <c r="AC22" s="360"/>
      <c r="AD22" s="360"/>
      <c r="AE22" s="360"/>
      <c r="AF22" s="360"/>
      <c r="AG22" s="360"/>
    </row>
    <row r="23" spans="2:33" ht="20.05" customHeight="1" x14ac:dyDescent="0.45">
      <c r="B23" s="410" t="s">
        <v>3807</v>
      </c>
      <c r="C23" s="411"/>
      <c r="D23" s="412"/>
      <c r="E23" s="106" t="s">
        <v>13</v>
      </c>
      <c r="G23" s="410" t="s">
        <v>3956</v>
      </c>
      <c r="H23" s="411"/>
      <c r="I23" s="412"/>
      <c r="J23" s="337">
        <f>IF(sizing_vcfops_logs_chosen="Exclude",0,IF(sizing_vcfops_deployment_model_chosen="Deploy HA",3,1))</f>
        <v>0</v>
      </c>
      <c r="K23" s="337" t="str">
        <f>IF(sizing_vcfops_logs_chosen="Exclude","0",PRODUCT(IF(sizing_vcfops_logs_chosen="Existing Component",0,IF(sizing_vcfops_deployment_model_chosen="Deploy HA",3,1)),VLOOKUP(sizing_vcfops_logs_chosen,table_vrli_appliance_cpu,2,)))</f>
        <v>0</v>
      </c>
      <c r="L23" s="337" t="str">
        <f>IF(sizing_vcfops_logs_chosen="Exclude","0",PRODUCT(IF(E24="Existing Component",0,IF(sizing_vcfops_deployment_model_chosen="Deploy HA",3,1)),VLOOKUP(E24,table_vrli_appliance_ram,2,)))</f>
        <v>0</v>
      </c>
      <c r="M23" s="337" t="str">
        <f>IF(sizing_vcfops_logs_chosen="Exclude","0",PRODUCT(IF(E24="Existing Component",0,IF(sizing_vcfops_deployment_model_chosen="Deploy HA",3,1)),VLOOKUP(E24,table_vrli_appliance_disk,2,)))</f>
        <v>0</v>
      </c>
      <c r="O23" s="35"/>
      <c r="P23" s="35"/>
      <c r="Q23" s="35"/>
      <c r="R23" s="35"/>
      <c r="S23" s="6"/>
      <c r="T23" s="6"/>
      <c r="U23" s="454"/>
      <c r="V23" s="454"/>
      <c r="W23" s="454"/>
      <c r="X23" s="454"/>
      <c r="Y23" s="454"/>
      <c r="Z23" s="454"/>
      <c r="AA23" s="454"/>
      <c r="AB23" s="454"/>
      <c r="AC23" s="360"/>
      <c r="AD23" s="360"/>
      <c r="AE23" s="360"/>
      <c r="AF23" s="360"/>
      <c r="AG23" s="360"/>
    </row>
    <row r="24" spans="2:33" ht="20.05" customHeight="1" x14ac:dyDescent="0.45">
      <c r="B24" s="421" t="s">
        <v>3957</v>
      </c>
      <c r="C24" s="421"/>
      <c r="D24" s="421"/>
      <c r="E24" s="106" t="s">
        <v>13</v>
      </c>
      <c r="G24" s="410" t="s">
        <v>3958</v>
      </c>
      <c r="H24" s="411"/>
      <c r="I24" s="412"/>
      <c r="J24" s="337">
        <f>IF(sizing_vcfops_net_chosen="Exclude",0,IF(sizing_vcfops_deployment_model_chosen="Deploy HA",3,1))</f>
        <v>0</v>
      </c>
      <c r="K24" s="337" t="str">
        <f>IF(sizing_vcfops_net_chosen="Exclude","0",PRODUCT(VLOOKUP(sizing_vcfops_net_chosen,table_vcfopsnet_appliance_cpu,2,),J24))</f>
        <v>0</v>
      </c>
      <c r="L24" s="337" t="str">
        <f>IF(sizing_vcfops_net_chosen="Exclude","0",PRODUCT(VLOOKUP(sizing_vcfops_net_chosen,table_vcfopsnet_appliance_ram,2,),J24))</f>
        <v>0</v>
      </c>
      <c r="M24" s="337" t="str">
        <f>IF(sizing_vcfops_net_chosen="Exclude","0",PRODUCT(VLOOKUP(sizing_vcfops_net_chosen,table_vcfopsnet_appliance_disk,2,),J24))</f>
        <v>0</v>
      </c>
      <c r="N24" s="6"/>
      <c r="O24" s="35"/>
      <c r="P24" s="35"/>
      <c r="Q24" s="35"/>
      <c r="R24" s="35"/>
      <c r="S24" s="6"/>
      <c r="T24" s="6"/>
      <c r="U24" s="454"/>
      <c r="V24" s="454"/>
      <c r="W24" s="454"/>
      <c r="X24" s="454"/>
      <c r="Y24" s="454"/>
      <c r="Z24" s="454"/>
      <c r="AA24" s="454"/>
      <c r="AB24" s="454"/>
      <c r="AC24" s="360"/>
      <c r="AD24" s="360"/>
      <c r="AE24" s="360"/>
      <c r="AF24" s="360"/>
      <c r="AG24" s="360"/>
    </row>
    <row r="25" spans="2:33" ht="20.05" customHeight="1" x14ac:dyDescent="0.45">
      <c r="B25" s="421" t="s">
        <v>3959</v>
      </c>
      <c r="C25" s="421"/>
      <c r="D25" s="421"/>
      <c r="E25" s="106" t="s">
        <v>13</v>
      </c>
      <c r="G25" s="410" t="s">
        <v>3960</v>
      </c>
      <c r="H25" s="411"/>
      <c r="I25" s="412"/>
      <c r="J25" s="337">
        <f>IF(sizing_vcfops_net_collector_chosen="Exclude",0,1)</f>
        <v>0</v>
      </c>
      <c r="K25" s="337" t="str">
        <f>IF(sizing_vcfops_net_collector_chosen="Exclude","0",PRODUCT(IF(sizing_vcfops_net_collector_chosen="Exclude",0,1),VLOOKUP(sizing_vcfops_net_collector_chosen,table_vcfopsnet_collector_cpu,2,)))</f>
        <v>0</v>
      </c>
      <c r="L25" s="337" t="str">
        <f>IF(sizing_vcfops_net_collector_chosen="Exclude","0",PRODUCT(IF(sizing_vcfops_net_collector_chosen="Exclude",0,1),VLOOKUP(sizing_vcfops_net_collector_chosen,table_vcfopsnet_collector_ram,2,)))</f>
        <v>0</v>
      </c>
      <c r="M25" s="337" t="str">
        <f>IF(sizing_vcfops_net_collector_chosen="Exclude","0",PRODUCT(IF(sizing_vcfops_net_collector_chosen="Excludet",0,1),VLOOKUP(sizing_vcfops_net_collector_chosen,table_vcfopsnet_collector_disk,2,)))</f>
        <v>0</v>
      </c>
      <c r="N25" s="6"/>
      <c r="O25" s="35"/>
      <c r="P25" s="35"/>
      <c r="Q25" s="35"/>
      <c r="R25" s="35"/>
      <c r="S25" s="6"/>
      <c r="T25" s="6"/>
      <c r="U25" s="454"/>
      <c r="V25" s="454"/>
      <c r="W25" s="454"/>
      <c r="X25" s="454"/>
      <c r="Y25" s="454"/>
      <c r="Z25" s="454"/>
      <c r="AA25" s="454"/>
      <c r="AB25" s="454"/>
      <c r="AC25" s="360"/>
      <c r="AD25" s="360"/>
      <c r="AE25" s="360"/>
      <c r="AF25" s="360"/>
      <c r="AG25" s="360"/>
    </row>
    <row r="26" spans="2:33" ht="20.05" customHeight="1" x14ac:dyDescent="0.45">
      <c r="B26" s="421" t="s">
        <v>3961</v>
      </c>
      <c r="C26" s="421"/>
      <c r="D26" s="421"/>
      <c r="E26" s="241" t="s">
        <v>13</v>
      </c>
      <c r="G26" s="343" t="s">
        <v>3962</v>
      </c>
      <c r="H26" s="344"/>
      <c r="I26" s="345"/>
      <c r="J26" s="337">
        <f>IF(OR(sizing_vcfvidb_chosen="Embedded",sizing_vcfvidb_chosen="Exclude"),0,IF(sizing_vcfvidb_chosen="Deploy HA",3,1))</f>
        <v>0</v>
      </c>
      <c r="K26" s="337">
        <f>PRODUCT(VLOOKUP("Medium",table_wsa_appliance_cpu,2,FALSE),J26)</f>
        <v>0</v>
      </c>
      <c r="L26" s="337">
        <f>PRODUCT(VLOOKUP("Medium",table_wsa_appliance_ram,2,FALSE),J26)</f>
        <v>0</v>
      </c>
      <c r="M26" s="337">
        <f>PRODUCT(VLOOKUP("Medium",table_wsa_appliance_disk,2,FALSE),J26)</f>
        <v>0</v>
      </c>
      <c r="N26" s="6"/>
      <c r="O26" s="35"/>
      <c r="P26" s="35"/>
      <c r="Q26" s="35"/>
      <c r="R26" s="35"/>
      <c r="S26" s="6"/>
      <c r="T26" s="6"/>
      <c r="U26" s="454"/>
      <c r="V26" s="454"/>
      <c r="W26" s="454"/>
      <c r="X26" s="454"/>
      <c r="Y26" s="454"/>
      <c r="Z26" s="454"/>
      <c r="AA26" s="454"/>
      <c r="AB26" s="454"/>
      <c r="AC26" s="360"/>
      <c r="AD26" s="360"/>
      <c r="AE26" s="360"/>
      <c r="AF26" s="360"/>
      <c r="AG26" s="360"/>
    </row>
    <row r="27" spans="2:33" ht="20.05" customHeight="1" x14ac:dyDescent="0.45">
      <c r="B27" s="410" t="s">
        <v>3962</v>
      </c>
      <c r="C27" s="411"/>
      <c r="D27" s="412"/>
      <c r="E27" s="106" t="s">
        <v>13</v>
      </c>
      <c r="G27" s="343" t="s">
        <v>3963</v>
      </c>
      <c r="H27" s="344"/>
      <c r="I27" s="345"/>
      <c r="J27" s="337">
        <f>G79</f>
        <v>0</v>
      </c>
      <c r="K27" s="331">
        <f>(SUMPRODUCT('Management Domain Sizing'!$G$71:$G$78,'Management Domain Sizing'!H71:H78))</f>
        <v>0</v>
      </c>
      <c r="L27" s="331">
        <f>(SUMPRODUCT('Management Domain Sizing'!$G$71:$G$78,'Management Domain Sizing'!I71:I78))</f>
        <v>0</v>
      </c>
      <c r="M27" s="331">
        <f>(SUMPRODUCT('Management Domain Sizing'!$G$71:$G$78,'Management Domain Sizing'!J71:J78))</f>
        <v>0</v>
      </c>
      <c r="N27" s="6"/>
      <c r="O27" s="35"/>
      <c r="P27" s="35"/>
      <c r="Q27" s="35"/>
      <c r="R27" s="35"/>
      <c r="S27" s="6"/>
      <c r="T27" s="6"/>
      <c r="U27" s="454"/>
      <c r="V27" s="454"/>
      <c r="W27" s="454"/>
      <c r="X27" s="454"/>
      <c r="Y27" s="454"/>
      <c r="Z27" s="454"/>
      <c r="AA27" s="454"/>
      <c r="AB27" s="454"/>
      <c r="AC27" s="360"/>
      <c r="AD27" s="360"/>
      <c r="AE27" s="360"/>
      <c r="AF27" s="360"/>
      <c r="AG27" s="360"/>
    </row>
    <row r="28" spans="2:33" ht="20.05" customHeight="1" x14ac:dyDescent="0.45">
      <c r="G28" s="351" t="s">
        <v>3964</v>
      </c>
      <c r="H28" s="372"/>
      <c r="I28" s="352"/>
      <c r="J28" s="4">
        <f>SUM(J8:J27)</f>
        <v>7</v>
      </c>
      <c r="K28" s="361" t="str">
        <f>CONCATENATE(SUM(K8:K27)," vCPUs")</f>
        <v>32 vCPUs</v>
      </c>
      <c r="L28" s="361" t="str">
        <f>CONCATENATE(SUM(L8:L27)," GB")</f>
        <v>119 GB</v>
      </c>
      <c r="M28" s="361" t="str">
        <f>CONCATENATE(SUM(M8:M27), " GB")</f>
        <v>2722 GB</v>
      </c>
      <c r="N28" s="6"/>
      <c r="O28" s="35"/>
      <c r="P28" s="35"/>
      <c r="Q28" s="35"/>
      <c r="R28" s="35"/>
      <c r="S28" s="6"/>
      <c r="T28" s="6"/>
      <c r="U28" s="454"/>
      <c r="V28" s="454"/>
      <c r="W28" s="454"/>
      <c r="X28" s="454"/>
      <c r="Y28" s="454"/>
      <c r="Z28" s="454"/>
      <c r="AA28" s="454"/>
      <c r="AB28" s="454"/>
      <c r="AC28" s="360"/>
      <c r="AD28" s="360"/>
      <c r="AE28" s="360"/>
      <c r="AF28" s="360"/>
      <c r="AG28" s="360"/>
    </row>
    <row r="29" spans="2:33" ht="20.05" customHeight="1" x14ac:dyDescent="0.45"/>
    <row r="30" spans="2:33" s="104" customFormat="1" ht="34" customHeight="1" x14ac:dyDescent="0.45">
      <c r="B30" s="340" t="s">
        <v>2724</v>
      </c>
      <c r="C30" s="341"/>
      <c r="D30" s="341"/>
      <c r="E30" s="341"/>
      <c r="F30" s="341"/>
      <c r="G30" s="341"/>
      <c r="H30" s="341"/>
      <c r="I30" s="341"/>
      <c r="J30" s="341"/>
      <c r="K30" s="341"/>
      <c r="L30" s="341"/>
      <c r="M30" s="341"/>
      <c r="N30" s="449"/>
      <c r="O30" s="449"/>
      <c r="P30" s="449"/>
      <c r="Q30" s="449"/>
      <c r="R30" s="449"/>
      <c r="S30" s="449"/>
      <c r="T30" s="449"/>
      <c r="U30" s="449"/>
      <c r="V30" s="449"/>
      <c r="W30" s="449"/>
      <c r="X30" s="449"/>
      <c r="Y30" s="449"/>
      <c r="Z30" s="449"/>
      <c r="AA30" s="449"/>
      <c r="AB30" s="449"/>
    </row>
    <row r="31" spans="2:33" ht="20.05" customHeight="1" x14ac:dyDescent="0.45">
      <c r="B31" s="346" t="s">
        <v>2726</v>
      </c>
      <c r="C31" s="346" t="s">
        <v>3965</v>
      </c>
      <c r="D31" s="438" t="s">
        <v>3966</v>
      </c>
      <c r="E31" s="439"/>
      <c r="F31" s="438" t="s">
        <v>3967</v>
      </c>
      <c r="G31" s="439"/>
      <c r="H31" s="346" t="s">
        <v>3968</v>
      </c>
      <c r="I31" s="438" t="s">
        <v>3969</v>
      </c>
      <c r="J31" s="443"/>
      <c r="K31" s="439"/>
      <c r="L31" s="438" t="s">
        <v>3970</v>
      </c>
      <c r="M31" s="443"/>
      <c r="N31" s="439"/>
      <c r="O31" s="438" t="s">
        <v>3971</v>
      </c>
      <c r="P31" s="439"/>
      <c r="Q31" s="438" t="s">
        <v>3972</v>
      </c>
      <c r="R31" s="443"/>
      <c r="S31" s="443"/>
      <c r="T31" s="439"/>
      <c r="U31" s="413" t="s">
        <v>3973</v>
      </c>
      <c r="V31" s="413"/>
      <c r="W31" s="413"/>
      <c r="X31" s="316" t="s">
        <v>20</v>
      </c>
      <c r="Y31" s="316"/>
      <c r="Z31" s="316"/>
      <c r="AA31" s="316"/>
      <c r="AB31" s="317"/>
    </row>
    <row r="32" spans="2:33" ht="20.05" customHeight="1" x14ac:dyDescent="0.45">
      <c r="B32" s="331" t="s">
        <v>3974</v>
      </c>
      <c r="C32" s="347" t="s">
        <v>3975</v>
      </c>
      <c r="D32" s="347" t="s">
        <v>93</v>
      </c>
      <c r="E32" s="337" t="str">
        <f>CONCATENATE(IF(sizing_m01_included="Included",VLOOKUP(D32,table_vcenter_appliance_cpu,2,FALSE),0)," CPUS ",": ",IF(sizing_m01_included="Included",VLOOKUP(D32,table_vcenter_appliance_ram,2,FALSE),0)," GB")</f>
        <v>8 CPUS : 30 GB</v>
      </c>
      <c r="F32" s="347" t="s">
        <v>852</v>
      </c>
      <c r="G32" s="337" t="str">
        <f>CONCATENATE(IF(sizing_m01_included="Included",VLOOKUP(CONCATENATE(D32,F32),table_vcenter_disk_gb,2,FALSE),0)," GB")</f>
        <v>908 GB</v>
      </c>
      <c r="H32" s="347" t="s">
        <v>3976</v>
      </c>
      <c r="I32" s="347" t="s">
        <v>93</v>
      </c>
      <c r="J32" s="410" t="str">
        <f>CONCATENATE(IF(AND(sizing_m01_included="Included",mgmt_nsxt_appliance_size_chosen&lt;&gt;"Shared"),
VLOOKUP(sizing_m01_nsxt_appliance_size,table_nsxt_manager_cpu,2,FALSE),0), " CPUS : ",IF(AND(sizing_m01_included="Included",mgmt_nsxt_appliance_size_chosen&lt;&gt;"Shared"),
VLOOKUP(sizing_m01_nsxt_appliance_size,table_nsxt_manager_ram,2,FALSE),0)," GB : ",IF(AND(sizing_m01_included="Included",mgmt_nsxt_appliance_size_chosen&lt;&gt;"Shared"),
VLOOKUP(sizing_m01_nsxt_appliance_size,table_nsxt_manager_disk_gb,2,FALSE),0)," GB")</f>
        <v>6 CPUS : 24 GB : 300 GB</v>
      </c>
      <c r="K32" s="412"/>
      <c r="L32" s="347" t="s">
        <v>2480</v>
      </c>
      <c r="M32" s="410" t="str">
        <f>IF(sizing_m01_nsxt_edge_size="Excluded","0 GB : 0 RAM : 0 GB",(CONCATENATE(IF(sizing_m01_included="Included",VLOOKUP(sizing_m01_nsxt_edge_size,table_nsxt_edge_cpu,2,FALSE),0)," CPUs : ",IF(sizing_m01_included="Included",VLOOKUP(sizing_m01_nsxt_edge_size,table_nsxt_edge_ram,2,FALSE),0)," GB: ",IF(sizing_m01_included="Included",VLOOKUP(sizing_m01_nsxt_edge_size,table_nsxt_edge_disk_gb,2,FALSE),0)," GB ")))</f>
        <v>0 GB : 0 RAM : 0 GB</v>
      </c>
      <c r="N32" s="412"/>
      <c r="O32" s="347" t="s">
        <v>2480</v>
      </c>
      <c r="P32" s="337" t="str">
        <f>CONCATENATE(IF(sizing_m01_nsxt_gm_appliance_size&lt;&gt;"Excluded",VLOOKUP(sizing_m01_nsxt_gm_appliance_size,table_nsxt_manager_cpu,2,FALSE),0)," CPU : ",IF(sizing_m01_nsxt_gm_appliance_size&lt;&gt;"Excluded",VLOOKUP(sizing_m01_nsxt_gm_appliance_size,table_nsxt_manager_ram,2,FALSE),0)," GB : ",IF(sizing_m01_nsxt_gm_appliance_size&lt;&gt;"Excluded",VLOOKUP(sizing_m01_nsxt_gm_appliance_size,table_nsxt_manager_disk_gb,2,FALSE),0)," GB")</f>
        <v>0 CPU : 0 GB : 0 GB</v>
      </c>
      <c r="Q32" s="347" t="s">
        <v>2480</v>
      </c>
      <c r="R32" s="410" t="str">
        <f>IF(sizing_mgmt_avi_lb_appliance_size="Exclude","0 GB : 0 RAM : 0 GB",CONCATENATE(IF(AND(sizing_m01_included="Included",sizing_mgmt_avi_lb_appliance_size&lt;&gt;"Excluded"),VLOOKUP(sizing_mgmt_avi_lb_appliance_size,table_avi_lb_cpu,2,FALSE),0)," CPUs : ",IF(AND(sizing_m01_included="Included",sizing_mgmt_avi_lb_appliance_size&lt;&gt;"Excluded"),VLOOKUP(sizing_mgmt_avi_lb_appliance_size,table_avi_lb_ram,2,FALSE),0)," GB : ",IF(AND(sizing_m01_included="Included",sizing_mgmt_avi_lb_appliance_size&lt;&gt;"Excluded"),VLOOKUP(sizing_mgmt_avi_lb_appliance_size,table_avi_lb_disk,2,FALSE),0)," GB"))</f>
        <v>0 CPUs : 0 GB : 0 GB</v>
      </c>
      <c r="S32" s="411"/>
      <c r="T32" s="412"/>
      <c r="U32" s="347" t="s">
        <v>2480</v>
      </c>
      <c r="V32" s="421" t="str">
        <f>CONCATENATE(IF(sizing_m01_ssp_chosen&lt;&gt;"Excluded",VLOOKUP(sizing_m01_ssp_chosen,table_ssp_cpu,2,FALSE),0)," CPUs : ",IF(sizing_m01_ssp_chosen&lt;&gt;"Excluded",VLOOKUP(sizing_m01_ssp_chosen,table_ssp_ram,2,FALSE),0), " GB : ",IF(sizing_m01_ssp_chosen&lt;&gt;"Excluded",VLOOKUP(sizing_m01_ssp_chosen,table_ssp_disk,2,FALSE),0)," GB")</f>
        <v>0 CPUs : 0 GB : 0 GB</v>
      </c>
      <c r="W32" s="421"/>
      <c r="X32" s="344" t="str">
        <f>IF(sizing_m01_included="Included",CONCATENATE("vCenter ",VLOOKUP(mgmt_vcenter_appliance_size_chosen,vcenter_sizing_limits,2,FALSE)," | NSX ",VLOOKUP(sizing_m01_nsxt_appliance_size,nsx_sizing_limits,2,FALSE)),"")</f>
        <v>vCenter 100 Hosts 1000 VMs | NSX 128 Hosts - 5 vSphere Clusters</v>
      </c>
      <c r="Y32" s="344"/>
      <c r="Z32" s="344"/>
      <c r="AA32" s="344"/>
      <c r="AB32" s="345"/>
    </row>
    <row r="33" spans="2:28" ht="20.05" customHeight="1" x14ac:dyDescent="0.45">
      <c r="G33" s="3"/>
      <c r="I33" s="2"/>
    </row>
    <row r="34" spans="2:28" s="104" customFormat="1" ht="34" customHeight="1" x14ac:dyDescent="0.45">
      <c r="B34" s="340" t="s">
        <v>3977</v>
      </c>
      <c r="C34" s="341"/>
      <c r="D34" s="107"/>
      <c r="E34" s="107"/>
      <c r="F34" s="107"/>
      <c r="G34" s="107"/>
      <c r="H34" s="107"/>
      <c r="I34" s="107"/>
      <c r="J34" s="107"/>
      <c r="K34" s="107"/>
      <c r="L34" s="107"/>
      <c r="M34" s="107"/>
      <c r="N34" s="107"/>
      <c r="O34" s="107"/>
      <c r="P34" s="357"/>
      <c r="Q34" s="357"/>
      <c r="R34" s="444"/>
      <c r="S34" s="444"/>
      <c r="T34" s="444"/>
      <c r="U34" s="444"/>
      <c r="V34" s="444"/>
      <c r="W34" s="444"/>
      <c r="X34" s="444"/>
      <c r="Y34" s="444"/>
      <c r="Z34" s="444"/>
      <c r="AA34" s="444"/>
      <c r="AB34" s="444"/>
    </row>
    <row r="35" spans="2:28" ht="20.05" customHeight="1" x14ac:dyDescent="0.45">
      <c r="B35" s="346" t="s">
        <v>2726</v>
      </c>
      <c r="C35" s="346" t="s">
        <v>3965</v>
      </c>
      <c r="D35" s="413" t="s">
        <v>3978</v>
      </c>
      <c r="E35" s="413"/>
      <c r="F35" s="438" t="s">
        <v>3979</v>
      </c>
      <c r="G35" s="439"/>
      <c r="H35" s="346" t="s">
        <v>3968</v>
      </c>
      <c r="I35" s="413" t="s">
        <v>3980</v>
      </c>
      <c r="J35" s="413"/>
      <c r="K35" s="413"/>
      <c r="L35" s="346" t="s">
        <v>3981</v>
      </c>
      <c r="M35" s="438" t="s">
        <v>3982</v>
      </c>
      <c r="N35" s="443"/>
      <c r="O35" s="439"/>
      <c r="P35" s="413" t="s">
        <v>3983</v>
      </c>
      <c r="Q35" s="413"/>
      <c r="R35" s="413"/>
      <c r="S35" s="413" t="s">
        <v>3972</v>
      </c>
      <c r="T35" s="413"/>
      <c r="U35" s="413"/>
      <c r="V35" s="438" t="s">
        <v>3984</v>
      </c>
      <c r="W35" s="439"/>
      <c r="X35" s="438" t="s">
        <v>20</v>
      </c>
      <c r="Y35" s="443"/>
      <c r="Z35" s="443"/>
      <c r="AA35" s="443"/>
      <c r="AB35" s="439"/>
    </row>
    <row r="36" spans="2:28" ht="20.05" customHeight="1" x14ac:dyDescent="0.45">
      <c r="B36" s="331" t="s">
        <v>3985</v>
      </c>
      <c r="C36" s="108" t="s">
        <v>2480</v>
      </c>
      <c r="D36" s="347" t="s">
        <v>93</v>
      </c>
      <c r="E36" s="337" t="str">
        <f>CONCATENATE(IF(sizing_w01_chosen="Included",VLOOKUP(sizing_w01_vcenter_appliance_size,table_vcenter_appliance_cpu,2,FALSE),0)," CPUs ",": ",IF(sizing_w01_chosen="Included",VLOOKUP(sizing_w01_vcenter_appliance_size,table_vcenter_appliance_ram,2,FALSE),0)," GB")</f>
        <v>0 CPUs : 0 GB</v>
      </c>
      <c r="F36" s="347" t="s">
        <v>852</v>
      </c>
      <c r="G36" s="337" t="str">
        <f>CONCATENATE(IF(sizing_w01_chosen="Included",VLOOKUP(CONCATENATE(sizing_w01_vcenter_appliance_size,sizing_w01_vcenter_storage_size),table_vcenter_disk_gb,2,FALSE),0)," GB")</f>
        <v>0 GB</v>
      </c>
      <c r="H36" s="347" t="s">
        <v>3976</v>
      </c>
      <c r="I36" s="347" t="s">
        <v>751</v>
      </c>
      <c r="J36" s="410" t="str">
        <f>CONCATENATE(IF(sizing_w01_chosen="Included",VLOOKUP(sizing_w01_nsxt_appliance_size,table_nsxt_manager_cpu,2,FALSE),0)," CPUs : ",IF(sizing_w01_chosen="Included",VLOOKUP(sizing_w01_nsxt_appliance_size,table_nsxt_manager_ram,2,FALSE),0), " GB : ",IF(sizing_w01_chosen="Included",VLOOKUP(sizing_w01_nsxt_appliance_size,table_nsxt_manager_disk_gb,2,FALSE),0)," GB")</f>
        <v>0 CPUs : 0 GB : 0 GB</v>
      </c>
      <c r="K36" s="412"/>
      <c r="L36" s="347" t="s">
        <v>2480</v>
      </c>
      <c r="M36" s="347" t="s">
        <v>751</v>
      </c>
      <c r="N36" s="436" t="str">
        <f>CONCATENATE(IF(AND(sizing_w01_gm_chosen&lt;&gt;"Excluded",sizing_w01_gm_chosen&lt;&gt;"Connect Instance"),VLOOKUP(sizing_w01_nsxt_gm_appliance_size,table_nsxt_manager_cpu,2,FALSE),0)," CPUs : ",IF(AND(sizing_w01_gm_chosen&lt;&gt;"Excluded",sizing_w01_gm_chosen&lt;&gt;"Connect Instance"),VLOOKUP(sizing_w01_nsxt_gm_appliance_size,table_nsxt_manager_ram,2,FALSE),0)," GB : ",IF(AND(sizing_w01_gm_chosen&lt;&gt;"Excluded",sizing_w01_gm_chosen&lt;&gt;"Connect Instance"),VLOOKUP(sizing_w01_nsxt_gm_appliance_size,table_nsxt_manager_disk_gb,2,FALSE),0)," GB")</f>
        <v>0 CPUs : 0 GB : 0 GB</v>
      </c>
      <c r="O36" s="437"/>
      <c r="P36" s="347" t="s">
        <v>13</v>
      </c>
      <c r="Q36" s="421" t="str">
        <f>(CONCATENATE(IF(AND(sizing_w01_chosen="Included",sizing_w01_spr_chosen="Include"),VLOOKUP(wld_srm_vm_size_chosen,table_srm_cpu,2,FALSE),0)," CPUs :",IF(AND(sizing_w01_chosen="Included",sizing_w01_spr_chosen="Include"),VLOOKUP(wld_srm_vm_size_chosen,table_srm_ram,2,FALSE),0)," GB : ",IF(AND(sizing_w01_chosen="Included",sizing_w01_spr_chosen="Include"),VLOOKUP(wld_srm_vm_size_chosen,table_srm_disk,2,FALSE),0)," GB"))</f>
        <v>0 CPUs :0 GB : 0 GB</v>
      </c>
      <c r="R36" s="421"/>
      <c r="S36" s="315" t="s">
        <v>2480</v>
      </c>
      <c r="T36" s="460" t="str">
        <f>CONCATENATE(IF(AND(sizing_w01_chosen="Included",sizing_w01_avi_appliance_size&lt;&gt;"Excluded"),VLOOKUP(sizing_w01_avi_appliance_size,table_avi_lb_cpu,2,FALSE),0), " CPUs : ",IF(AND(sizing_w01_chosen="Included",sizing_w01_avi_appliance_size&lt;&gt;"Excluded"),VLOOKUP(sizing_w01_avi_appliance_size,table_avi_lb_ram,2,FALSE),0), " GB : ",IF(AND(sizing_w01_chosen="Included",sizing_w01_avi_appliance_size&lt;&gt;"Excluded"),VLOOKUP(sizing_w01_avi_appliance_size,table_avi_lb_disk,2,FALSE),0)," GB")</f>
        <v>0 CPUs : 0 GB : 0 GB</v>
      </c>
      <c r="U36" s="461"/>
      <c r="V36" s="347" t="s">
        <v>2480</v>
      </c>
      <c r="W36" s="337" t="str">
        <f>CONCATENATE(IF(sizing_w01_ssp_chosen&lt;&gt;"Excluded",VLOOKUP(sizing_w01_ssp_chosen,table_ssp_cpu,2,FALSE),0)," CPUs : ",IF(sizing_w01_ssp_chosen&lt;&gt;"Excluded",VLOOKUP(sizing_w01_ssp_chosen,table_ssp_ram,2,FALSE),0), " GB : ",IF(sizing_w01_ssp_chosen&lt;&gt;"Excluded",VLOOKUP(sizing_w01_ssp_chosen,table_ssp_disk,2,FALSE),0)," GB")</f>
        <v>0 CPUs : 0 GB : 0 GB</v>
      </c>
      <c r="X36" s="410" t="str">
        <f>IF(sizing_w01_chosen="Included",CONCATENATE("vCenter:",VLOOKUP(sizing_w01_vcenter_appliance_size,vcenter_sizing_limits,2,FALSE)," | NSX LM ",VLOOKUP(sizing_w01_nsxt_appliance_size,nsx_sizing_limits,2,FALSE)),"")</f>
        <v/>
      </c>
      <c r="Y36" s="411"/>
      <c r="Z36" s="411"/>
      <c r="AA36" s="411"/>
      <c r="AB36" s="412"/>
    </row>
    <row r="37" spans="2:28" ht="20.05" customHeight="1" x14ac:dyDescent="0.45">
      <c r="B37" s="331" t="s">
        <v>3986</v>
      </c>
      <c r="C37" s="108" t="s">
        <v>2480</v>
      </c>
      <c r="D37" s="109" t="s">
        <v>93</v>
      </c>
      <c r="E37" s="337" t="str">
        <f>CONCATENATE(IF(sizing_w02_chosen="Included",VLOOKUP(sizing_w02_vcenter_appliance_size,table_vcenter_appliance_cpu,2,FALSE),0)," CPUs ",": ",IF(sizing_w02_chosen="Included",VLOOKUP(sizing_w02_vcenter_appliance_size,table_vcenter_appliance_ram,2,FALSE),0)," GB")</f>
        <v>0 CPUs : 0 GB</v>
      </c>
      <c r="F37" s="109" t="s">
        <v>852</v>
      </c>
      <c r="G37" s="337" t="str">
        <f>CONCATENATE(IF(sizing_w02_chosen="Included",VLOOKUP(CONCATENATE(sizing_w02_vcenter_appliance_size,sizing_w02_vcenter_storage_size),table_vcenter_disk_gb,2,FALSE),0)," GB")</f>
        <v>0 GB</v>
      </c>
      <c r="H37" s="109" t="s">
        <v>2632</v>
      </c>
      <c r="I37" s="109" t="s">
        <v>751</v>
      </c>
      <c r="J37" s="410" t="str">
        <f>CONCATENATE(IF(AND(sizing_w02_chosen="Included",sizing_w02_nsxt_model&lt;&gt;"Shared"),VLOOKUP(sizing_w02_nsxt_appliance_size,table_nsxt_manager_cpu,2,FALSE),0)," CPUs : ",IF(AND(sizing_w02_chosen="Included",sizing_w02_nsxt_model&lt;&gt;"Shared"),VLOOKUP(sizing_w02_nsxt_appliance_size,table_nsxt_manager_ram,2,FALSE),0), " GB : ",IF(AND(sizing_w02_chosen="Included",sizing_w02_nsxt_model&lt;&gt;"Shared"),VLOOKUP(sizing_w02_nsxt_appliance_size,table_nsxt_manager_disk_gb,2,FALSE),0)," GB")</f>
        <v>0 CPUs : 0 GB : 0 GB</v>
      </c>
      <c r="K37" s="412"/>
      <c r="L37" s="102" t="s">
        <v>2480</v>
      </c>
      <c r="M37" s="102" t="s">
        <v>751</v>
      </c>
      <c r="N37" s="436" t="str">
        <f>CONCATENATE(IF(AND(sizing_w02_gm_chosen&lt;&gt;"Excluded",sizing_w02_gm_chosen&lt;&gt;"Connect Instance"),VLOOKUP(sizing_w02_nsxt_gm_appliance_size,table_nsxt_manager_cpu,2,FALSE),0)," CPUs : ",IF(AND(sizing_w02_gm_chosen&lt;&gt;"Excluded",sizing_w02_gm_chosen&lt;&gt;"Connect Instance"),VLOOKUP(sizing_w02_nsxt_gm_appliance_size,table_nsxt_manager_ram,2,FALSE),0)," GB : ",IF(AND(sizing_w02_gm_chosen&lt;&gt;"Excluded",sizing_w02_gm_chosen&lt;&gt;"Connect Instance"),VLOOKUP(sizing_w02_nsxt_gm_appliance_size,table_nsxt_manager_disk_gb,2,FALSE),0)," GB")</f>
        <v>0 CPUs : 0 GB : 0 GB</v>
      </c>
      <c r="O37" s="437"/>
      <c r="P37" s="102" t="s">
        <v>13</v>
      </c>
      <c r="Q37" s="420" t="str">
        <f>(CONCATENATE(IF(AND(sizing_w02_chosen="Included",sizing_w02_spr_chosen="Include"),VLOOKUP(wld_srm_vm_size_chosen,table_srm_cpu,2,FALSE),0)," CPUs :",IF(AND(sizing_w02_chosen="Included",sizing_w02_spr_chosen="Include"),VLOOKUP(wld_srm_vm_size_chosen,table_srm_ram,2,FALSE),0)," GB : ",IF(AND(sizing_w02_chosen="Included",sizing_w02_spr_chosen="Include"),VLOOKUP(wld_srm_vm_size_chosen,table_srm_disk,2,FALSE),0)," GB"))</f>
        <v>0 CPUs :0 GB : 0 GB</v>
      </c>
      <c r="R37" s="420"/>
      <c r="S37" s="110" t="s">
        <v>2480</v>
      </c>
      <c r="T37" s="421" t="str">
        <f>CONCATENATE(IF(AND(sizing_w02_chosen="Included",sizing_w02_avi_appliance_size&lt;&gt;"Excluded"),VLOOKUP(sizing_w02_avi_appliance_size,table_avi_lb_cpu,2,FALSE),0), " CPUs : ",IF(AND(sizing_w02_chosen="Included",sizing_w02_avi_appliance_size&lt;&gt;"Excluded"),VLOOKUP(sizing_w02_avi_appliance_size,table_avi_lb_ram,2,FALSE),0), " GB : ",IF(AND(sizing_w02_chosen="Included",sizing_w02_avi_appliance_size&lt;&gt;"Excluded"),VLOOKUP(sizing_w02_avi_appliance_size,table_avi_lb_disk,2,FALSE),0)," GB")</f>
        <v>0 CPUs : 0 GB : 0 GB</v>
      </c>
      <c r="U37" s="410"/>
      <c r="V37" s="347" t="s">
        <v>2480</v>
      </c>
      <c r="W37" s="337" t="str">
        <f>CONCATENATE(IF(sizing_w02_ssp_chosen&lt;&gt;"Excluded",VLOOKUP(sizing_w02_ssp_chosen,table_ssp_cpu,2,FALSE),0)," CPUs : ",IF(sizing_w02_ssp_chosen&lt;&gt;"Excluded",VLOOKUP(sizing_w02_ssp_chosen,table_ssp_ram,2,FALSE),0), " GB : ",IF(sizing_w02_ssp_chosen&lt;&gt;"Excluded",VLOOKUP(sizing_w02_ssp_chosen,table_ssp_disk,2,FALSE),0)," GB")</f>
        <v>0 CPUs : 0 GB : 0 GB</v>
      </c>
      <c r="X37" s="410" t="str">
        <f>IF(sizing_w02_chosen="Included",CONCATENATE("vCenter:",VLOOKUP(sizing_w02_vcenter_appliance_size,vcenter_sizing_limits,2,FALSE)," | NSX LM ",VLOOKUP(sizing_w02_nsxt_appliance_size,nsx_sizing_limits,2,FALSE)),"")</f>
        <v/>
      </c>
      <c r="Y37" s="411"/>
      <c r="Z37" s="411"/>
      <c r="AA37" s="411"/>
      <c r="AB37" s="412"/>
    </row>
    <row r="38" spans="2:28" ht="20.05" customHeight="1" x14ac:dyDescent="0.45">
      <c r="B38" s="331" t="s">
        <v>3987</v>
      </c>
      <c r="C38" s="111" t="s">
        <v>2480</v>
      </c>
      <c r="D38" s="109" t="s">
        <v>93</v>
      </c>
      <c r="E38" s="337" t="str">
        <f>CONCATENATE(IF(sizing_w03_chosen="Included",VLOOKUP(sizing_w03_vcenter_appliance_size,table_vcenter_appliance_cpu,2,FALSE),0)," CPUs ",": ",IF(sizing_w03_chosen="Included",VLOOKUP(sizing_w03_vcenter_appliance_size,table_vcenter_appliance_ram,2,FALSE),0)," GB")</f>
        <v>0 CPUs : 0 GB</v>
      </c>
      <c r="F38" s="109" t="s">
        <v>852</v>
      </c>
      <c r="G38" s="337" t="str">
        <f>CONCATENATE(IF(sizing_w03_chosen="Included",VLOOKUP(CONCATENATE(sizing_w03_vcenter_appliance_size,sizing_w03_vcenter_storage_size),table_vcenter_disk_gb,2,FALSE),0)," GB")</f>
        <v>0 GB</v>
      </c>
      <c r="H38" s="109" t="s">
        <v>2632</v>
      </c>
      <c r="I38" s="109" t="s">
        <v>751</v>
      </c>
      <c r="J38" s="410" t="str">
        <f>CONCATENATE(IF(AND(sizing_w03_chosen="Included",sizing_w03_nsxt_model&lt;&gt;"Shared"),VLOOKUP(sizing_w03_nsxt_appliance_size,table_nsxt_manager_cpu,2,FALSE),0)," CPUs : ",IF(AND(sizing_w03_chosen="Included",sizing_w03_nsxt_model&lt;&gt;"Shared"),VLOOKUP(sizing_w03_nsxt_appliance_size,table_nsxt_manager_ram,2,FALSE),0), " GB : ",IF(AND(sizing_w03_chosen="Included",sizing_w03_nsxt_model&lt;&gt;"Shared"),VLOOKUP(sizing_w03_nsxt_appliance_size,table_nsxt_manager_disk_gb,2,FALSE),0)," GB")</f>
        <v>0 CPUs : 0 GB : 0 GB</v>
      </c>
      <c r="K38" s="412"/>
      <c r="L38" s="102" t="s">
        <v>2480</v>
      </c>
      <c r="M38" s="347" t="s">
        <v>751</v>
      </c>
      <c r="N38" s="436" t="str">
        <f>CONCATENATE(IF(AND(sizing_w03_gm_chosen&lt;&gt;"Excluded",sizing_w03_gm_chosen&lt;&gt;"Connect Instance"),VLOOKUP(sizing_w03_nsxt_gm_appliance_size,table_nsxt_manager_cpu,2,FALSE),0)," CPUs : ",IF(AND(sizing_w03_gm_chosen&lt;&gt;"Excluded",sizing_w03_gm_chosen&lt;&gt;"Connect Instance"),VLOOKUP(sizing_w03_nsxt_gm_appliance_size,table_nsxt_manager_ram,2,FALSE),0)," GB : ",IF(AND(sizing_w03_gm_chosen&lt;&gt;"Excluded",sizing_w03_gm_chosen&lt;&gt;"Connect Instance"),VLOOKUP(sizing_w03_nsxt_gm_appliance_size,table_nsxt_manager_disk_gb,2,FALSE),0)," GB")</f>
        <v>0 CPUs : 0 GB : 0 GB</v>
      </c>
      <c r="O38" s="437"/>
      <c r="P38" s="102" t="s">
        <v>13</v>
      </c>
      <c r="Q38" s="420" t="str">
        <f>(CONCATENATE(IF(AND(sizing_w03_chosen="Included",sizing_w03_spr_chosen="Include"),VLOOKUP(wld_srm_vm_size_chosen,table_srm_cpu,2,FALSE),0)," CPUs :",IF(AND(sizing_w03_chosen="Included",sizing_w03_spr_chosen="Include"),VLOOKUP(wld_srm_vm_size_chosen,table_srm_ram,2,FALSE),0)," GB : ",IF(AND(sizing_w03_chosen="Included",sizing_w03_spr_chosen="Include"),VLOOKUP(wld_srm_vm_size_chosen,table_srm_disk,2,FALSE),0)," GB"))</f>
        <v>0 CPUs :0 GB : 0 GB</v>
      </c>
      <c r="R38" s="420"/>
      <c r="S38" s="110" t="s">
        <v>2480</v>
      </c>
      <c r="T38" s="420" t="str">
        <f>CONCATENATE(IF(AND(sizing_w03_chosen="Included",sizing_w03_avi_appliance_size&lt;&gt;"Excluded"),VLOOKUP(sizing_w03_avi_appliance_size,table_avi_lb_cpu,2,FALSE),0), " CPUs : ",IF(AND(sizing_w03_chosen="Included",sizing_w03_avi_appliance_size&lt;&gt;"Excluded"),VLOOKUP(sizing_w03_avi_appliance_size,table_avi_lb_ram,2,FALSE),0), " GB : ",IF(AND(sizing_w03_chosen="Included",sizing_w03_avi_appliance_size&lt;&gt;"Excluded"),VLOOKUP(sizing_w03_avi_appliance_size,table_avi_lb_disk,2,FALSE),0)," GB")</f>
        <v>0 CPUs : 0 GB : 0 GB</v>
      </c>
      <c r="U38" s="430"/>
      <c r="V38" s="347" t="s">
        <v>2480</v>
      </c>
      <c r="W38" s="337" t="str">
        <f>CONCATENATE(IF(sizing_w03_ssp_chosen&lt;&gt;"Excluded",VLOOKUP(sizing_w03_ssp_chosen,table_ssp_cpu,2,FALSE),0)," CPUs : ",IF(sizing_w03_ssp_chosen&lt;&gt;"Excluded",VLOOKUP(sizing_w03_ssp_chosen,table_ssp_ram,2,FALSE),0), " GB : ",IF(sizing_w03_ssp_chosen&lt;&gt;"Excluded",VLOOKUP(sizing_w03_ssp_chosen,table_ssp_disk,2,FALSE),0)," GB")</f>
        <v>0 CPUs : 0 GB : 0 GB</v>
      </c>
      <c r="X38" s="410" t="str">
        <f>IF(sizing_w03_chosen="Included",CONCATENATE("vCenter:",VLOOKUP(sizing_w03_vcenter_appliance_size,vcenter_sizing_limits,2,FALSE)," | NSX LM ",VLOOKUP(sizing_w03_nsxt_appliance_size,nsx_sizing_limits,2,FALSE)),"")</f>
        <v/>
      </c>
      <c r="Y38" s="411"/>
      <c r="Z38" s="411"/>
      <c r="AA38" s="411"/>
      <c r="AB38" s="412"/>
    </row>
    <row r="39" spans="2:28" ht="20.05" customHeight="1" x14ac:dyDescent="0.45">
      <c r="B39" s="331" t="s">
        <v>3988</v>
      </c>
      <c r="C39" s="111" t="s">
        <v>2480</v>
      </c>
      <c r="D39" s="109" t="s">
        <v>93</v>
      </c>
      <c r="E39" s="337" t="str">
        <f>CONCATENATE(IF(sizing_w04_chosen="Included",VLOOKUP(sizing_w04_vcenter_appliance_size,table_vcenter_appliance_cpu,2,FALSE),0)," CPUs ",": ",IF(sizing_w04_chosen="Included",VLOOKUP(sizing_w04_vcenter_appliance_size,table_vcenter_appliance_ram,2,FALSE),0)," GB")</f>
        <v>0 CPUs : 0 GB</v>
      </c>
      <c r="F39" s="109" t="s">
        <v>852</v>
      </c>
      <c r="G39" s="337" t="str">
        <f>CONCATENATE(IF(sizing_w04_chosen="Included",VLOOKUP(CONCATENATE(sizing_w04_vcenter_appliance_size,sizing_w04_vcenter_storage_size),table_vcenter_disk_gb,2,FALSE),0)," GB")</f>
        <v>0 GB</v>
      </c>
      <c r="H39" s="109" t="s">
        <v>2632</v>
      </c>
      <c r="I39" s="109" t="s">
        <v>751</v>
      </c>
      <c r="J39" s="410" t="str">
        <f>CONCATENATE(IF(AND(sizing_w04_chosen="Included",sizing_w04_nsxt_model&lt;&gt;"Shared"),VLOOKUP(sizing_w04_nsxt_appliance_size,table_nsxt_manager_cpu,2,FALSE),0)," CPUs : ",IF(AND(sizing_w04_chosen="Included",sizing_w04_nsxt_model&lt;&gt;"Shared"),VLOOKUP(sizing_w04_nsxt_appliance_size,table_nsxt_manager_ram,2,FALSE),0), " GB : ",IF(AND(sizing_w04_chosen="Included",sizing_w04_nsxt_model&lt;&gt;"Shared"),VLOOKUP(sizing_w04_nsxt_appliance_size,table_nsxt_manager_disk_gb,2,FALSE),0)," GB")</f>
        <v>0 CPUs : 0 GB : 0 GB</v>
      </c>
      <c r="K39" s="412"/>
      <c r="L39" s="102" t="s">
        <v>2480</v>
      </c>
      <c r="M39" s="347" t="s">
        <v>751</v>
      </c>
      <c r="N39" s="436" t="str">
        <f>CONCATENATE(IF(AND(sizing_w04_gm_chosen&lt;&gt;"Excluded",sizing_w04_gm_chosen&lt;&gt;"Connect Instance"),VLOOKUP(sizing_w04_nsxt_gm_appliance_size,table_nsxt_manager_cpu,2,FALSE),0)," CPUs : ",IF(AND(sizing_w04_gm_chosen&lt;&gt;"Excluded",sizing_w04_gm_chosen&lt;&gt;"Connect Instance"),VLOOKUP(sizing_w04_nsxt_gm_appliance_size,table_nsxt_manager_ram,2,FALSE),0)," GB : ",IF(AND(sizing_w04_gm_chosen&lt;&gt;"Excluded",sizing_w04_gm_chosen&lt;&gt;"Connect Instance"),VLOOKUP(sizing_w04_nsxt_gm_appliance_size,table_nsxt_manager_disk_gb,2,FALSE),0)," GB")</f>
        <v>0 CPUs : 0 GB : 0 GB</v>
      </c>
      <c r="O39" s="437"/>
      <c r="P39" s="102" t="s">
        <v>13</v>
      </c>
      <c r="Q39" s="420" t="str">
        <f>(CONCATENATE(IF(AND(sizing_w04_chosen="Included",sizing_w04_spr_chosen="Include"),VLOOKUP(wld_srm_vm_size_chosen,table_srm_cpu,2,FALSE),0)," CPUs :",IF(AND(sizing_w04_chosen="Included",sizing_w04_spr_chosen="Include"),VLOOKUP(wld_srm_vm_size_chosen,table_srm_ram,2,FALSE),0)," GB : ",IF(AND(sizing_w04_chosen="Included",sizing_w04_spr_chosen="Include"),VLOOKUP(wld_srm_vm_size_chosen,table_srm_disk,2,FALSE),0)," GB"))</f>
        <v>0 CPUs :0 GB : 0 GB</v>
      </c>
      <c r="R39" s="420"/>
      <c r="S39" s="102" t="s">
        <v>2480</v>
      </c>
      <c r="T39" s="420" t="str">
        <f>CONCATENATE(IF(AND(sizing_w04_chosen="Included",sizing_w04_avi_appliance_size&lt;&gt;"Excluded"),VLOOKUP(sizing_w04_avi_appliance_size,table_avi_lb_cpu,2,FALSE),0), " CPUs : ",IF(AND(sizing_w04_chosen="Included",sizing_w04_avi_appliance_size&lt;&gt;"Excluded"),VLOOKUP(sizing_w04_avi_appliance_size,table_avi_lb_ram,2,FALSE),0), " GB : ",IF(AND(sizing_w04_chosen="Included",sizing_w04_avi_appliance_size&lt;&gt;"Excluded"),VLOOKUP(sizing_w04_avi_appliance_size,table_avi_lb_disk,2,FALSE),0)," GB")</f>
        <v>0 CPUs : 0 GB : 0 GB</v>
      </c>
      <c r="U39" s="430"/>
      <c r="V39" s="347" t="s">
        <v>2480</v>
      </c>
      <c r="W39" s="337" t="str">
        <f>CONCATENATE(IF(sizing_w04_ssp_chosen&lt;&gt;"Excluded",VLOOKUP(sizing_w04_ssp_chosen,table_ssp_cpu,2,FALSE),0)," CPUs : ",IF(sizing_w04_ssp_chosen&lt;&gt;"Excluded",VLOOKUP(sizing_w04_ssp_chosen,table_ssp_ram,2,FALSE),0), " GB : ",IF(sizing_w04_ssp_chosen&lt;&gt;"Excluded",VLOOKUP(sizing_w04_ssp_chosen,table_ssp_disk,2,FALSE),0)," GB")</f>
        <v>0 CPUs : 0 GB : 0 GB</v>
      </c>
      <c r="X39" s="410" t="str">
        <f>IF(sizing_w04_chosen="Included",CONCATENATE("vCenter:",VLOOKUP(sizing_w04_vcenter_appliance_size,vcenter_sizing_limits,2,FALSE)," | NSX LM ",VLOOKUP(sizing_w04_nsxt_appliance_size,nsx_sizing_limits,2,FALSE)),"")</f>
        <v/>
      </c>
      <c r="Y39" s="411"/>
      <c r="Z39" s="411"/>
      <c r="AA39" s="411"/>
      <c r="AB39" s="412"/>
    </row>
    <row r="40" spans="2:28" ht="20.05" customHeight="1" x14ac:dyDescent="0.45">
      <c r="B40" s="331" t="s">
        <v>3989</v>
      </c>
      <c r="C40" s="111" t="s">
        <v>2480</v>
      </c>
      <c r="D40" s="109" t="s">
        <v>93</v>
      </c>
      <c r="E40" s="100" t="str">
        <f>CONCATENATE(IF(sizing_w05_chosen="Included",VLOOKUP(sizing_w05_vcenter_appliance_size,table_vcenter_appliance_cpu,2,FALSE),0)," CPUs ",": ",IF(sizing_w05_chosen="Included",VLOOKUP(sizing_w05_vcenter_appliance_size,table_vcenter_appliance_ram,2,FALSE),0)," GB")</f>
        <v>0 CPUs : 0 GB</v>
      </c>
      <c r="F40" s="109" t="s">
        <v>852</v>
      </c>
      <c r="G40" s="100" t="str">
        <f>CONCATENATE(IF(sizing_w05_chosen="Included",VLOOKUP(CONCATENATE(sizing_w05_vcenter_appliance_size,sizing_w05_vcenter_storage_size),table_vcenter_disk_gb,2,FALSE),0)," GB")</f>
        <v>0 GB</v>
      </c>
      <c r="H40" s="109" t="s">
        <v>2632</v>
      </c>
      <c r="I40" s="109" t="s">
        <v>751</v>
      </c>
      <c r="J40" s="441" t="str">
        <f>CONCATENATE(IF(AND(sizing_w05_chosen="Included",sizing_w05_nsxt_model&lt;&gt;"Shared"),VLOOKUP(sizing_w05_nsxt_appliance_size,table_nsxt_manager_cpu,2,FALSE),0)," CPUs : ",IF(AND(sizing_w05_chosen="Included",sizing_w05_nsxt_model&lt;&gt;"Shared"),VLOOKUP(sizing_w05_nsxt_appliance_size,table_nsxt_manager_ram,2,FALSE),0), " GB : ",IF(AND(sizing_w05_chosen="Included",sizing_w05_nsxt_model&lt;&gt;"Shared"),VLOOKUP(sizing_w05_nsxt_appliance_size,table_nsxt_manager_disk_gb,2,FALSE),0)," GB")</f>
        <v>0 CPUs : 0 GB : 0 GB</v>
      </c>
      <c r="K40" s="442"/>
      <c r="L40" s="102" t="s">
        <v>2480</v>
      </c>
      <c r="M40" s="347" t="s">
        <v>751</v>
      </c>
      <c r="N40" s="436" t="str">
        <f>CONCATENATE(IF(AND(sizing_w05_gm_chosen&lt;&gt;"Excluded",sizing_w05_gm_chosen&lt;&gt;"Connect Instance"),VLOOKUP(sizing_w05_nsxt_gm_appliance_size,table_nsxt_manager_cpu,2,FALSE),0)," CPUs : ",IF(AND(sizing_w05_gm_chosen&lt;&gt;"Excluded",sizing_w05_gm_chosen&lt;&gt;"Connect Instance"),VLOOKUP(sizing_w05_nsxt_gm_appliance_size,table_nsxt_manager_ram,2,FALSE),0)," GB : ",IF(AND(sizing_w05_gm_chosen&lt;&gt;"Excluded",sizing_w05_gm_chosen&lt;&gt;"Connect Instance"),VLOOKUP(sizing_w05_nsxt_gm_appliance_size,table_nsxt_manager_disk_gb,2,FALSE),0)," GB")</f>
        <v>0 CPUs : 0 GB : 0 GB</v>
      </c>
      <c r="O40" s="437"/>
      <c r="P40" s="102" t="s">
        <v>13</v>
      </c>
      <c r="Q40" s="420" t="str">
        <f>(CONCATENATE(IF(AND(sizing_w05_chosen="Included",sizing_w05_spr_chosen="Include"),VLOOKUP(wld_srm_vm_size_chosen,table_srm_cpu,2,FALSE),0)," CPUs :",IF(AND(sizing_w05_chosen="Included",sizing_w05_spr_chosen="Include"),VLOOKUP(wld_srm_vm_size_chosen,table_srm_ram,2,FALSE),0)," GB : ",IF(AND(sizing_w05_chosen="Included",sizing_w05_spr_chosen="Include"),VLOOKUP(wld_srm_vm_size_chosen,table_srm_disk,2,FALSE),0)," GB"))</f>
        <v>0 CPUs :0 GB : 0 GB</v>
      </c>
      <c r="R40" s="420"/>
      <c r="S40" s="102" t="s">
        <v>2480</v>
      </c>
      <c r="T40" s="420" t="str">
        <f>CONCATENATE(IF(AND(sizing_w05_chosen="Included",sizing_w05_avi_appliance_size&lt;&gt;"Excluded"),VLOOKUP(sizing_w05_avi_appliance_size,table_avi_lb_cpu,2,FALSE),0), " CPUs : ",IF(AND(sizing_w05_chosen="Included",sizing_w05_avi_appliance_size&lt;&gt;"Excluded"),VLOOKUP(sizing_w05_avi_appliance_size,table_avi_lb_ram,2,FALSE),0), " GB : ",IF(AND(sizing_w05_chosen="Included",sizing_w05_avi_appliance_size&lt;&gt;"Excluded"),VLOOKUP(sizing_w05_avi_appliance_size,table_avi_lb_disk,2,FALSE),0)," GB")</f>
        <v>0 CPUs : 0 GB : 0 GB</v>
      </c>
      <c r="U40" s="430"/>
      <c r="V40" s="347" t="s">
        <v>2480</v>
      </c>
      <c r="W40" s="337" t="str">
        <f>CONCATENATE(IF(sizing_w05_ssp_chosen&lt;&gt;"Excluded",VLOOKUP(sizing_w05_ssp_chosen,table_ssp_cpu,2,FALSE),0)," CPUs : ",IF(sizing_w05_ssp_chosen&lt;&gt;"Excluded",VLOOKUP(sizing_w05_ssp_chosen,table_ssp_ram,2,FALSE),0), " GB : ",IF(sizing_w05_ssp_chosen&lt;&gt;"Excluded",VLOOKUP(sizing_w05_ssp_chosen,table_ssp_disk,2,FALSE),0)," GB")</f>
        <v>0 CPUs : 0 GB : 0 GB</v>
      </c>
      <c r="X40" s="410" t="str">
        <f>IF(sizing_w05_chosen="Included",CONCATENATE("vCenter:",VLOOKUP(sizing_w05_vcenter_appliance_size,vcenter_sizing_limits,2,FALSE)," | NSX LM ",VLOOKUP(sizing_w05_nsxt_appliance_size,nsx_sizing_limits,2,FALSE)),"")</f>
        <v/>
      </c>
      <c r="Y40" s="411"/>
      <c r="Z40" s="411"/>
      <c r="AA40" s="411"/>
      <c r="AB40" s="412"/>
    </row>
    <row r="41" spans="2:28" ht="20.05" customHeight="1" x14ac:dyDescent="0.45">
      <c r="B41" s="331" t="s">
        <v>3990</v>
      </c>
      <c r="C41" s="111" t="s">
        <v>2480</v>
      </c>
      <c r="D41" s="109" t="s">
        <v>93</v>
      </c>
      <c r="E41" s="100" t="str">
        <f>CONCATENATE(IF(sizing_w06_chosen="Included",VLOOKUP(sizing_w06_vcenter_appliance_size,table_vcenter_appliance_cpu,2,FALSE),0)," CPUs ",": ",IF(sizing_w06_chosen="Included",VLOOKUP(sizing_w06_vcenter_appliance_size,table_vcenter_appliance_ram,2,FALSE),0)," GB")</f>
        <v>0 CPUs : 0 GB</v>
      </c>
      <c r="F41" s="109" t="s">
        <v>852</v>
      </c>
      <c r="G41" s="100" t="str">
        <f>CONCATENATE(IF(sizing_w06_chosen="Included",VLOOKUP(CONCATENATE(sizing_w06_vcenter_appliance_size,sizing_w06_vcenter_storage_size),table_vcenter_disk_gb,2,FALSE),0)," GB")</f>
        <v>0 GB</v>
      </c>
      <c r="H41" s="109" t="s">
        <v>2632</v>
      </c>
      <c r="I41" s="109" t="s">
        <v>751</v>
      </c>
      <c r="J41" s="441" t="str">
        <f>CONCATENATE(IF(AND(sizing_w06_chosen="Included",sizing_w06_nsxt_model&lt;&gt;"Shared"),VLOOKUP(sizing_w06_nsxt_appliance_size,table_nsxt_manager_cpu,2,FALSE),0)," CPUs : ",IF(AND(sizing_w06_chosen="Included",sizing_w06_nsxt_model&lt;&gt;"Shared"),VLOOKUP(sizing_w06_nsxt_appliance_size,table_nsxt_manager_ram,2,FALSE),0), " GB : ",IF(AND(sizing_w06_chosen="Included",sizing_w06_nsxt_model&lt;&gt;"Shared"),VLOOKUP(sizing_w06_nsxt_appliance_size,table_nsxt_manager_disk_gb,2,FALSE),0)," GB")</f>
        <v>0 CPUs : 0 GB : 0 GB</v>
      </c>
      <c r="K41" s="442"/>
      <c r="L41" s="102" t="s">
        <v>2480</v>
      </c>
      <c r="M41" s="347" t="s">
        <v>751</v>
      </c>
      <c r="N41" s="436" t="str">
        <f>CONCATENATE(IF(AND(sizing_w06_gm_chosen&lt;&gt;"Excluded",sizing_w06_gm_chosen&lt;&gt;"Connect Instance"),VLOOKUP(sizing_w06_nsxt_gm_appliance_size,table_nsxt_manager_cpu,2,FALSE),0)," CPUs : ",IF(AND(sizing_w06_gm_chosen&lt;&gt;"Excluded",sizing_w06_gm_chosen&lt;&gt;"Connect Instance"),VLOOKUP(sizing_w06_nsxt_gm_appliance_size,table_nsxt_manager_ram,2,FALSE),0)," GB : ",IF(AND(sizing_w06_gm_chosen&lt;&gt;"Excluded",sizing_w06_gm_chosen&lt;&gt;"Connect Instance"),VLOOKUP(sizing_w06_nsxt_gm_appliance_size,table_nsxt_manager_disk_gb,2,FALSE),0)," GB")</f>
        <v>0 CPUs : 0 GB : 0 GB</v>
      </c>
      <c r="O41" s="437"/>
      <c r="P41" s="102" t="s">
        <v>13</v>
      </c>
      <c r="Q41" s="420" t="str">
        <f>(CONCATENATE(IF(AND(sizing_w06_chosen="Included",sizing_w06_spr_chosen="Include"),VLOOKUP(wld_srm_vm_size_chosen,table_srm_cpu,2,FALSE),0)," CPUs :",IF(AND(sizing_w06_chosen="Included",sizing_w06_spr_chosen="Include"),VLOOKUP(wld_srm_vm_size_chosen,table_srm_ram,2,FALSE),0)," GB : ",IF(AND(sizing_w06_chosen="Included",sizing_w06_spr_chosen="Include"),VLOOKUP(wld_srm_vm_size_chosen,table_srm_disk,2,FALSE),0)," GB"))</f>
        <v>0 CPUs :0 GB : 0 GB</v>
      </c>
      <c r="R41" s="420"/>
      <c r="S41" s="102" t="s">
        <v>2480</v>
      </c>
      <c r="T41" s="420" t="str">
        <f>CONCATENATE(IF(AND(sizing_w06_chosen="Included",sizing_w06_avi_appliance_size&lt;&gt;"Excluded"),VLOOKUP(sizing_w06_avi_appliance_size,table_avi_lb_cpu,2,FALSE),0), " CPUs : ",IF(AND(sizing_w06_chosen="Included",sizing_w06_avi_appliance_size&lt;&gt;"Excluded"),VLOOKUP(sizing_w06_avi_appliance_size,table_avi_lb_ram,2,FALSE),0), " GB : ",IF(AND(sizing_w06_chosen="Included",sizing_w06_avi_appliance_size&lt;&gt;"Excluded"),VLOOKUP(sizing_w06_avi_appliance_size,table_avi_lb_disk,2,FALSE),0)," GB")</f>
        <v>0 CPUs : 0 GB : 0 GB</v>
      </c>
      <c r="U41" s="430"/>
      <c r="V41" s="347" t="s">
        <v>2480</v>
      </c>
      <c r="W41" s="337" t="str">
        <f>CONCATENATE(IF(sizing_w06_ssp_chosen&lt;&gt;"Excluded",VLOOKUP(sizing_w06_ssp_chosen,table_ssp_cpu,2,FALSE),0)," CPUs : ",IF(sizing_w06_ssp_chosen&lt;&gt;"Excluded",VLOOKUP(sizing_w06_ssp_chosen,table_ssp_ram,2,FALSE),0), " GB : ",IF(sizing_w06_ssp_chosen&lt;&gt;"Excluded",VLOOKUP(sizing_w06_ssp_chosen,table_ssp_disk,2,FALSE),0)," GB")</f>
        <v>0 CPUs : 0 GB : 0 GB</v>
      </c>
      <c r="X41" s="410" t="str">
        <f>IF(sizing_w06_chosen="Included",CONCATENATE("vCenter:",VLOOKUP(sizing_w06_vcenter_appliance_size,vcenter_sizing_limits,2,FALSE)," | NSX LM ",VLOOKUP(sizing_w06_nsxt_appliance_size,nsx_sizing_limits,2,FALSE)),"")</f>
        <v/>
      </c>
      <c r="Y41" s="411"/>
      <c r="Z41" s="411"/>
      <c r="AA41" s="411"/>
      <c r="AB41" s="412"/>
    </row>
    <row r="42" spans="2:28" ht="20.05" customHeight="1" x14ac:dyDescent="0.45">
      <c r="B42" s="331" t="s">
        <v>3991</v>
      </c>
      <c r="C42" s="111" t="s">
        <v>2480</v>
      </c>
      <c r="D42" s="109" t="s">
        <v>93</v>
      </c>
      <c r="E42" s="100" t="str">
        <f>CONCATENATE(IF(sizing_w07_chosen="Included",VLOOKUP(sizing_w07_vcenter_appliance_size,table_vcenter_appliance_cpu,2,FALSE),0)," CPUs ",": ",IF(sizing_w07_chosen="Included",VLOOKUP(sizing_w07_vcenter_appliance_size,table_vcenter_appliance_ram,2,FALSE),0)," GB")</f>
        <v>0 CPUs : 0 GB</v>
      </c>
      <c r="F42" s="109" t="s">
        <v>852</v>
      </c>
      <c r="G42" s="100" t="str">
        <f>CONCATENATE(IF(sizing_w07_chosen="Included",VLOOKUP(CONCATENATE(sizing_w07_vcenter_appliance_size,sizing_w07_vcenter_storage_size),table_vcenter_disk_gb,2,FALSE),0)," GB")</f>
        <v>0 GB</v>
      </c>
      <c r="H42" s="109" t="s">
        <v>2632</v>
      </c>
      <c r="I42" s="109" t="s">
        <v>751</v>
      </c>
      <c r="J42" s="441" t="str">
        <f>CONCATENATE(IF(AND(sizing_w07_chosen="Included",sizing_w07_nsxt_model&lt;&gt;"Shared"),VLOOKUP(sizing_w07_nsxt_appliance_size,table_nsxt_manager_cpu,2,FALSE),0)," CPUs : ",IF(AND(sizing_w07_chosen="Included",sizing_w07_nsxt_model&lt;&gt;"Shared"),VLOOKUP(sizing_w07_nsxt_appliance_size,table_nsxt_manager_ram,2,FALSE),0), " GB : ",IF(AND(sizing_w07_chosen="Included",sizing_w07_nsxt_model&lt;&gt;"Shared"),VLOOKUP(sizing_w07_nsxt_appliance_size,table_nsxt_manager_disk_gb,2,FALSE),0)," GB")</f>
        <v>0 CPUs : 0 GB : 0 GB</v>
      </c>
      <c r="K42" s="442"/>
      <c r="L42" s="102" t="s">
        <v>2480</v>
      </c>
      <c r="M42" s="347" t="s">
        <v>751</v>
      </c>
      <c r="N42" s="436" t="str">
        <f>CONCATENATE(IF(AND(sizing_w07_gm_chosen&lt;&gt;"Excluded",sizing_w07_gm_chosen&lt;&gt;"Connect Instance"),VLOOKUP(sizing_w07_nsxt_gm_appliance_size,table_nsxt_manager_cpu,2,FALSE),0)," CPUs : ",IF(AND(sizing_w07_gm_chosen&lt;&gt;"Excluded",sizing_w07_gm_chosen&lt;&gt;"Connect Instance"),VLOOKUP(sizing_w07_nsxt_gm_appliance_size,table_nsxt_manager_ram,2,FALSE),0)," GB : ",IF(AND(sizing_w07_gm_chosen&lt;&gt;"Excluded",sizing_w07_gm_chosen&lt;&gt;"Connect Instance"),VLOOKUP(sizing_w07_nsxt_gm_appliance_size,table_nsxt_manager_disk_gb,2,FALSE),0)," GB")</f>
        <v>0 CPUs : 0 GB : 0 GB</v>
      </c>
      <c r="O42" s="437"/>
      <c r="P42" s="102" t="s">
        <v>13</v>
      </c>
      <c r="Q42" s="420" t="str">
        <f>(CONCATENATE(IF(AND(sizing_w07_chosen="Included",sizing_w07_spr_chosen="Include"),VLOOKUP(wld_srm_vm_size_chosen,table_srm_cpu,2,FALSE),0)," CPUs :",IF(AND(sizing_w07_chosen="Included",sizing_w07_spr_chosen="Include"),VLOOKUP(wld_srm_vm_size_chosen,table_srm_ram,2,FALSE),0)," GB : ",IF(AND(sizing_w07_chosen="Included",sizing_w07_spr_chosen="Include"),VLOOKUP(wld_srm_vm_size_chosen,table_srm_disk,2,FALSE),0)," GB"))</f>
        <v>0 CPUs :0 GB : 0 GB</v>
      </c>
      <c r="R42" s="420"/>
      <c r="S42" s="102" t="s">
        <v>2480</v>
      </c>
      <c r="T42" s="420" t="str">
        <f>CONCATENATE(IF(AND(sizing_w07_chosen="Included",sizing_w07_avi_appliance_size&lt;&gt;"Excluded"),VLOOKUP(sizing_w07_avi_appliance_size,table_avi_lb_cpu,2,FALSE),0), " CPUs : ",IF(AND(sizing_w07_chosen="Included",sizing_w07_avi_appliance_size&lt;&gt;"Excluded"),VLOOKUP(sizing_w07_avi_appliance_size,table_avi_lb_ram,2,FALSE),0), " GB : ",IF(AND(sizing_w07_chosen="Included",sizing_w07_avi_appliance_size&lt;&gt;"Excluded"),VLOOKUP(sizing_w07_avi_appliance_size,table_avi_lb_disk,2,FALSE),0)," GB")</f>
        <v>0 CPUs : 0 GB : 0 GB</v>
      </c>
      <c r="U42" s="430"/>
      <c r="V42" s="347" t="s">
        <v>2480</v>
      </c>
      <c r="W42" s="337" t="str">
        <f>CONCATENATE(IF(sizing_w07_ssp_chosen&lt;&gt;"Excluded",VLOOKUP(sizing_w07_ssp_chosen,table_ssp_cpu,2,FALSE),0)," CPUs : ",IF(sizing_w07_ssp_chosen&lt;&gt;"Excluded",VLOOKUP(sizing_w07_ssp_chosen,table_ssp_ram,2,FALSE),0), " GB : ",IF(sizing_w07_ssp_chosen&lt;&gt;"Excluded",VLOOKUP(sizing_w07_ssp_chosen,table_ssp_disk,2,FALSE),0)," GB")</f>
        <v>0 CPUs : 0 GB : 0 GB</v>
      </c>
      <c r="X42" s="410" t="str">
        <f>IF(sizing_w07_chosen="Included",CONCATENATE("vCenter:",VLOOKUP(sizing_w07_vcenter_appliance_size,vcenter_sizing_limits,2,FALSE)," | NSX LM ",VLOOKUP(sizing_w07_nsxt_appliance_size,nsx_sizing_limits,2,FALSE)),"")</f>
        <v/>
      </c>
      <c r="Y42" s="411"/>
      <c r="Z42" s="411"/>
      <c r="AA42" s="411"/>
      <c r="AB42" s="412"/>
    </row>
    <row r="43" spans="2:28" ht="20.05" customHeight="1" x14ac:dyDescent="0.45">
      <c r="B43" s="331" t="s">
        <v>3992</v>
      </c>
      <c r="C43" s="111" t="s">
        <v>2480</v>
      </c>
      <c r="D43" s="109" t="s">
        <v>93</v>
      </c>
      <c r="E43" s="100" t="str">
        <f>CONCATENATE(IF(sizing_w08_chosen="Included",VLOOKUP(sizing_w08_vcenter_appliance_size,table_vcenter_appliance_cpu,2,FALSE),0)," CPUs ",": ",IF(sizing_w08_chosen="Included",VLOOKUP(sizing_w08_vcenter_appliance_size,table_vcenter_appliance_ram,2,FALSE),0)," GB")</f>
        <v>0 CPUs : 0 GB</v>
      </c>
      <c r="F43" s="109" t="s">
        <v>852</v>
      </c>
      <c r="G43" s="100" t="str">
        <f>CONCATENATE(IF(sizing_w08_chosen="Included",VLOOKUP(CONCATENATE(sizing_w08_vcenter_appliance_size,sizing_w08_vcenter_storage_size),table_vcenter_disk_gb,2,FALSE),0)," GB")</f>
        <v>0 GB</v>
      </c>
      <c r="H43" s="109" t="s">
        <v>2632</v>
      </c>
      <c r="I43" s="109" t="s">
        <v>751</v>
      </c>
      <c r="J43" s="441" t="str">
        <f>CONCATENATE(IF(AND(sizing_w08_chosen="Included",sizing_w08_nsxt_model&lt;&gt;"Shared"),VLOOKUP(sizing_w08_nsxt_appliance_size,table_nsxt_manager_cpu,2,FALSE),0)," CPUs : ",IF(AND(sizing_w08_chosen="Included",sizing_w08_nsxt_model&lt;&gt;"Shared"),VLOOKUP(sizing_w08_nsxt_appliance_size,table_nsxt_manager_ram,2,FALSE),0), " GB : ",IF(AND(sizing_w08_chosen="Included",sizing_w08_nsxt_model&lt;&gt;"Shared"),VLOOKUP(sizing_w08_nsxt_appliance_size,table_nsxt_manager_disk_gb,2,FALSE),0)," GB")</f>
        <v>0 CPUs : 0 GB : 0 GB</v>
      </c>
      <c r="K43" s="442"/>
      <c r="L43" s="102" t="s">
        <v>2480</v>
      </c>
      <c r="M43" s="347" t="s">
        <v>751</v>
      </c>
      <c r="N43" s="436" t="str">
        <f>CONCATENATE(IF(AND(sizing_w08_gm_chosen&lt;&gt;"Excluded",sizing_w08_gm_chosen&lt;&gt;"Connect Instance"),VLOOKUP(sizing_w08_nsxt_gm_appliance_size,table_nsxt_manager_cpu,2,FALSE),0)," CPUs : ",IF(AND(sizing_w08_gm_chosen&lt;&gt;"Excluded",sizing_w08_gm_chosen&lt;&gt;"Connect Instance"),VLOOKUP(sizing_w08_nsxt_gm_appliance_size,table_nsxt_manager_ram,2,FALSE),0)," GB : ",IF(AND(sizing_w08_gm_chosen&lt;&gt;"Excluded",sizing_w08_gm_chosen&lt;&gt;"Connect Instance"),VLOOKUP(sizing_w08_nsxt_gm_appliance_size,table_nsxt_manager_disk_gb,2,FALSE),0)," GB")</f>
        <v>0 CPUs : 0 GB : 0 GB</v>
      </c>
      <c r="O43" s="437"/>
      <c r="P43" s="102" t="s">
        <v>13</v>
      </c>
      <c r="Q43" s="420" t="str">
        <f>(CONCATENATE(IF(AND(sizing_w08_chosen="Included",sizing_w08_spr_chosen="Include"),VLOOKUP(wld_srm_vm_size_chosen,table_srm_cpu,2,FALSE),0)," CPUs :",IF(AND(sizing_w08_chosen="Included",sizing_w08_spr_chosen="Include"),VLOOKUP(wld_srm_vm_size_chosen,table_srm_ram,2,FALSE),0)," GB : ",IF(AND(sizing_w08_chosen="Included",sizing_w08_spr_chosen="Include"),VLOOKUP(wld_srm_vm_size_chosen,table_srm_disk,2,FALSE),0)," GB"))</f>
        <v>0 CPUs :0 GB : 0 GB</v>
      </c>
      <c r="R43" s="420"/>
      <c r="S43" s="102" t="s">
        <v>2480</v>
      </c>
      <c r="T43" s="420" t="str">
        <f>CONCATENATE(IF(AND(sizing_w08_chosen="Included",sizing_w08_avi_appliance_size&lt;&gt;"Excluded"),VLOOKUP(sizing_w08_avi_appliance_size,table_avi_lb_cpu,2,FALSE),0), " CPUs : ",IF(AND(sizing_w08_chosen="Included",sizing_w08_avi_appliance_size&lt;&gt;"Excluded"),VLOOKUP(sizing_w08_avi_appliance_size,table_avi_lb_ram,2,FALSE),0), " GB : ",IF(AND(sizing_w08_chosen="Included",sizing_w08_avi_appliance_size&lt;&gt;"Excluded"),VLOOKUP(sizing_w08_avi_appliance_size,table_avi_lb_disk,2,FALSE),0)," GB")</f>
        <v>0 CPUs : 0 GB : 0 GB</v>
      </c>
      <c r="U43" s="430"/>
      <c r="V43" s="347" t="s">
        <v>2480</v>
      </c>
      <c r="W43" s="337" t="str">
        <f>CONCATENATE(IF(sizing_w08_ssp_chosen&lt;&gt;"Excluded",VLOOKUP(sizing_w08_ssp_chosen,table_ssp_cpu,2,FALSE),0)," CPUs : ",IF(sizing_w08_ssp_chosen&lt;&gt;"Excluded",VLOOKUP(sizing_w08_ssp_chosen,table_ssp_ram,2,FALSE),0), " GB : ",IF(sizing_w08_ssp_chosen&lt;&gt;"Excluded",VLOOKUP(sizing_w08_ssp_chosen,table_ssp_disk,2,FALSE),0)," GB")</f>
        <v>0 CPUs : 0 GB : 0 GB</v>
      </c>
      <c r="X43" s="410" t="str">
        <f>IF(sizing_w08_chosen="Included",CONCATENATE("vCenter:",VLOOKUP(sizing_w08_vcenter_appliance_size,vcenter_sizing_limits,2,FALSE)," | NSX LM ",VLOOKUP(sizing_w08_nsxt_appliance_size,nsx_sizing_limits,2,FALSE)),"")</f>
        <v/>
      </c>
      <c r="Y43" s="411"/>
      <c r="Z43" s="411"/>
      <c r="AA43" s="411"/>
      <c r="AB43" s="412"/>
    </row>
    <row r="44" spans="2:28" ht="20.05" customHeight="1" x14ac:dyDescent="0.45">
      <c r="B44" s="331" t="s">
        <v>3993</v>
      </c>
      <c r="C44" s="111" t="s">
        <v>2480</v>
      </c>
      <c r="D44" s="109" t="s">
        <v>93</v>
      </c>
      <c r="E44" s="100" t="str">
        <f>CONCATENATE(IF(sizing_w09_chosen="Included",VLOOKUP(sizing_w09_vcenter_appliance_size,table_vcenter_appliance_cpu,2,FALSE),0)," CPUs ",": ",IF(sizing_w09_chosen="Included",VLOOKUP(sizing_w09_vcenter_appliance_size,table_vcenter_appliance_ram,2,FALSE),0)," GB")</f>
        <v>0 CPUs : 0 GB</v>
      </c>
      <c r="F44" s="109" t="s">
        <v>852</v>
      </c>
      <c r="G44" s="100" t="str">
        <f>CONCATENATE(IF(sizing_w09_chosen="Included",VLOOKUP(CONCATENATE(sizing_w09_vcenter_appliance_size,sizing_w09_vcenter_storage_size),table_vcenter_disk_gb,2,FALSE),0)," GB")</f>
        <v>0 GB</v>
      </c>
      <c r="H44" s="109" t="s">
        <v>2632</v>
      </c>
      <c r="I44" s="109" t="s">
        <v>751</v>
      </c>
      <c r="J44" s="441" t="str">
        <f>CONCATENATE(IF(AND(sizing_w09_chosen="Included",sizing_w09_nsxt_model&lt;&gt;"Shared"),VLOOKUP(sizing_w09_nsxt_appliance_size,table_nsxt_manager_cpu,2,FALSE),0)," CPUs : ",IF(AND(sizing_w09_chosen="Included",sizing_w09_nsxt_model&lt;&gt;"Shared"),VLOOKUP(sizing_w09_nsxt_appliance_size,table_nsxt_manager_ram,2,FALSE),0), " GB : ",IF(AND(sizing_w09_chosen="Included",sizing_w09_nsxt_model&lt;&gt;"Shared"),VLOOKUP(sizing_w09_nsxt_appliance_size,table_nsxt_manager_disk_gb,2,FALSE),0)," GB")</f>
        <v>0 CPUs : 0 GB : 0 GB</v>
      </c>
      <c r="K44" s="442"/>
      <c r="L44" s="102" t="s">
        <v>2480</v>
      </c>
      <c r="M44" s="347" t="s">
        <v>751</v>
      </c>
      <c r="N44" s="436" t="str">
        <f>CONCATENATE(IF(AND(sizing_w09_gm_chosen&lt;&gt;"Excluded",sizing_w09_gm_chosen&lt;&gt;"Connect Instance"),VLOOKUP(sizing_w09_nsxt_gm_appliance_size,table_nsxt_manager_cpu,2,FALSE),0)," CPUs : ",IF(AND(sizing_w09_gm_chosen&lt;&gt;"Excluded",sizing_w09_gm_chosen&lt;&gt;"Connect Instance"),VLOOKUP(sizing_w09_nsxt_gm_appliance_size,table_nsxt_manager_ram,2,FALSE),0)," GB : ",IF(AND(sizing_w09_gm_chosen&lt;&gt;"Excluded",sizing_w09_gm_chosen&lt;&gt;"Connect Instance"),VLOOKUP(sizing_w09_nsxt_gm_appliance_size,table_nsxt_manager_disk_gb,2,FALSE),0)," GB")</f>
        <v>0 CPUs : 0 GB : 0 GB</v>
      </c>
      <c r="O44" s="437"/>
      <c r="P44" s="102" t="s">
        <v>13</v>
      </c>
      <c r="Q44" s="420" t="str">
        <f>(CONCATENATE(IF(AND(sizing_w09_chosen="Included",sizing_w09_spr_chosen="Include"),VLOOKUP(wld_srm_vm_size_chosen,table_srm_cpu,2,FALSE),0)," CPUs :",IF(AND(sizing_w09_chosen="Included",sizing_w09_spr_chosen="Include"),VLOOKUP(wld_srm_vm_size_chosen,table_srm_ram,2,FALSE),0)," GB : ",IF(AND(sizing_w09_chosen="Included",sizing_w09_spr_chosen="Include"),VLOOKUP(wld_srm_vm_size_chosen,table_srm_disk,2,FALSE),0)," GB"))</f>
        <v>0 CPUs :0 GB : 0 GB</v>
      </c>
      <c r="R44" s="420"/>
      <c r="S44" s="102" t="s">
        <v>2480</v>
      </c>
      <c r="T44" s="420" t="str">
        <f>CONCATENATE(IF(AND(sizing_w09_chosen="Included",sizing_w09_avi_appliance_size&lt;&gt;"Excluded"),VLOOKUP(sizing_w09_avi_appliance_size,table_avi_lb_cpu,2,FALSE),0), " CPUs : ",IF(AND(sizing_w09_chosen="Included",sizing_w09_avi_appliance_size&lt;&gt;"Excluded"),VLOOKUP(sizing_w09_avi_appliance_size,table_avi_lb_ram,2,FALSE),0), " GB : ",IF(AND(sizing_w09_chosen="Included",sizing_w09_avi_appliance_size&lt;&gt;"Excluded"),VLOOKUP(sizing_w09_avi_appliance_size,table_avi_lb_disk,2,FALSE),0)," GB")</f>
        <v>0 CPUs : 0 GB : 0 GB</v>
      </c>
      <c r="U44" s="430"/>
      <c r="V44" s="347" t="s">
        <v>2480</v>
      </c>
      <c r="W44" s="337" t="str">
        <f>CONCATENATE(IF(sizing_w09_ssp_chosen&lt;&gt;"Excluded",VLOOKUP(sizing_w09_ssp_chosen,table_ssp_cpu,2,FALSE),0)," CPUs : ",IF(sizing_w09_ssp_chosen&lt;&gt;"Excluded",VLOOKUP(sizing_w09_ssp_chosen,table_ssp_ram,2,FALSE),0), " GB : ",IF(sizing_w09_ssp_chosen&lt;&gt;"Excluded",VLOOKUP(sizing_w09_ssp_chosen,table_ssp_disk,2,FALSE),0)," GB")</f>
        <v>0 CPUs : 0 GB : 0 GB</v>
      </c>
      <c r="X44" s="410" t="str">
        <f>IF(sizing_w09_chosen="Included",CONCATENATE("vCenter:",VLOOKUP(sizing_w09_vcenter_appliance_size,vcenter_sizing_limits,2,FALSE)," | NSX LM ",VLOOKUP(sizing_w09_nsxt_appliance_size,nsx_sizing_limits,2,FALSE)),"")</f>
        <v/>
      </c>
      <c r="Y44" s="411"/>
      <c r="Z44" s="411"/>
      <c r="AA44" s="411"/>
      <c r="AB44" s="412"/>
    </row>
    <row r="45" spans="2:28" ht="20.05" customHeight="1" x14ac:dyDescent="0.45">
      <c r="B45" s="331" t="s">
        <v>3994</v>
      </c>
      <c r="C45" s="111" t="s">
        <v>2480</v>
      </c>
      <c r="D45" s="109" t="s">
        <v>93</v>
      </c>
      <c r="E45" s="100" t="str">
        <f>CONCATENATE(IF(sizing_w10_chosen="Included",VLOOKUP(sizing_w10_vcenter_appliance_size,table_vcenter_appliance_cpu,2,FALSE),0)," CPUs ",": ",IF(sizing_w10_chosen="Included",VLOOKUP(sizing_w10_vcenter_appliance_size,table_vcenter_appliance_ram,2,FALSE),0)," GB")</f>
        <v>0 CPUs : 0 GB</v>
      </c>
      <c r="F45" s="109" t="s">
        <v>852</v>
      </c>
      <c r="G45" s="100" t="str">
        <f>CONCATENATE(IF(sizing_w10_chosen="Included",VLOOKUP(CONCATENATE(sizing_w10_vcenter_appliance_size,sizing_w10_vcenter_storage_size),table_vcenter_disk_gb,2,FALSE),0)," GB")</f>
        <v>0 GB</v>
      </c>
      <c r="H45" s="109" t="s">
        <v>2632</v>
      </c>
      <c r="I45" s="109" t="s">
        <v>751</v>
      </c>
      <c r="J45" s="441" t="str">
        <f>CONCATENATE(IF(AND(sizing_w10_chosen="Included",sizing_w10_nsxt_model&lt;&gt;"Shared"),VLOOKUP(sizing_w10_nsxt_appliance_size,table_nsxt_manager_cpu,2,FALSE),0)," CPUs : ",IF(AND(sizing_w10_chosen="Included",sizing_w10_nsxt_model&lt;&gt;"Shared"),VLOOKUP(sizing_w10_nsxt_appliance_size,table_nsxt_manager_ram,2,FALSE),0), " GB : ",IF(AND(sizing_w10_chosen="Included",sizing_w10_nsxt_model&lt;&gt;"Shared"),VLOOKUP(sizing_w10_nsxt_appliance_size,table_nsxt_manager_disk_gb,2,FALSE),0)," GB")</f>
        <v>0 CPUs : 0 GB : 0 GB</v>
      </c>
      <c r="K45" s="442"/>
      <c r="L45" s="102" t="s">
        <v>2480</v>
      </c>
      <c r="M45" s="347" t="s">
        <v>751</v>
      </c>
      <c r="N45" s="436" t="str">
        <f>CONCATENATE(IF(AND(sizing_w10_gm_chosen&lt;&gt;"Excluded",sizing_w10_gm_chosen&lt;&gt;"Connect Instance"),VLOOKUP(sizing_w10_nsxt_gm_appliance_size,table_nsxt_manager_cpu,2,FALSE),0)," CPUs : ",IF(AND(sizing_w10_gm_chosen&lt;&gt;"Excluded",sizing_w10_gm_chosen&lt;&gt;"Connect Instance"),VLOOKUP(sizing_w10_nsxt_gm_appliance_size,table_nsxt_manager_ram,2,FALSE),0)," GB : ",IF(AND(sizing_w10_gm_chosen&lt;&gt;"Excluded",sizing_w10_gm_chosen&lt;&gt;"Connect Instance"),VLOOKUP(sizing_w10_nsxt_gm_appliance_size,table_nsxt_manager_disk_gb,2,FALSE),0)," GB")</f>
        <v>0 CPUs : 0 GB : 0 GB</v>
      </c>
      <c r="O45" s="437"/>
      <c r="P45" s="102" t="s">
        <v>13</v>
      </c>
      <c r="Q45" s="420" t="str">
        <f>(CONCATENATE(IF(AND(sizing_w10_chosen="Included",sizing_w10_spr_chosen="Include"),VLOOKUP(wld_srm_vm_size_chosen,table_srm_cpu,2,FALSE),0)," CPUs :",IF(AND(sizing_w10_chosen="Included",sizing_w10_spr_chosen="Include"),VLOOKUP(wld_srm_vm_size_chosen,table_srm_ram,2,FALSE),0)," GB : ",IF(AND(sizing_w10_chosen="Included",sizing_w10_spr_chosen="Include"),VLOOKUP(wld_srm_vm_size_chosen,table_srm_disk,2,FALSE),0)," GB"))</f>
        <v>0 CPUs :0 GB : 0 GB</v>
      </c>
      <c r="R45" s="420"/>
      <c r="S45" s="102" t="s">
        <v>2480</v>
      </c>
      <c r="T45" s="420" t="str">
        <f>CONCATENATE(IF(AND(sizing_w10_chosen="Included",sizing_w10_avi_appliance_size&lt;&gt;"Excluded"),VLOOKUP(sizing_w10_avi_appliance_size,table_avi_lb_cpu,2,FALSE),0), " CPUs : ",IF(AND(sizing_w10_chosen="Included",sizing_w10_avi_appliance_size&lt;&gt;"Excluded"),VLOOKUP(sizing_w10_avi_appliance_size,table_avi_lb_ram,2,FALSE),0), " GB : ",IF(AND(sizing_w10_chosen="Included",sizing_w10_avi_appliance_size&lt;&gt;"Excluded"),VLOOKUP(sizing_w10_avi_appliance_size,table_avi_lb_disk,2,FALSE),0)," GB")</f>
        <v>0 CPUs : 0 GB : 0 GB</v>
      </c>
      <c r="U45" s="430"/>
      <c r="V45" s="347" t="s">
        <v>2480</v>
      </c>
      <c r="W45" s="337" t="str">
        <f>CONCATENATE(IF(sizing_w10_ssp_chosen&lt;&gt;"Excluded",VLOOKUP(sizing_w10_ssp_chosen,table_ssp_cpu,2,FALSE),0)," CPUs : ",IF(sizing_w10_ssp_chosen&lt;&gt;"Excluded",VLOOKUP(sizing_w10_ssp_chosen,table_ssp_ram,2,FALSE),0), " GB : ",IF(sizing_w10_ssp_chosen&lt;&gt;"Excluded",VLOOKUP(sizing_w10_ssp_chosen,table_ssp_disk,2,FALSE),0)," GB")</f>
        <v>0 CPUs : 0 GB : 0 GB</v>
      </c>
      <c r="X45" s="410" t="str">
        <f>IF(sizing_w10_chosen="Included",CONCATENATE("vCenter:",VLOOKUP(sizing_w10_vcenter_appliance_size,vcenter_sizing_limits,2,FALSE)," | NSX LM ",VLOOKUP(sizing_w10_nsxt_appliance_size,nsx_sizing_limits,2,FALSE)),"")</f>
        <v/>
      </c>
      <c r="Y45" s="411"/>
      <c r="Z45" s="411"/>
      <c r="AA45" s="411"/>
      <c r="AB45" s="412"/>
    </row>
    <row r="46" spans="2:28" ht="20.05" customHeight="1" x14ac:dyDescent="0.45">
      <c r="B46" s="331" t="s">
        <v>3995</v>
      </c>
      <c r="C46" s="111" t="s">
        <v>2480</v>
      </c>
      <c r="D46" s="109" t="s">
        <v>93</v>
      </c>
      <c r="E46" s="100" t="str">
        <f>CONCATENATE(IF(sizing_w11_chosen="Included",VLOOKUP(sizing_w11_vcenter_appliance_size,table_vcenter_appliance_cpu,2,FALSE),0)," CPUs ",": ",IF(sizing_w11_chosen="Included",VLOOKUP(sizing_w11_vcenter_appliance_size,table_vcenter_appliance_ram,2,FALSE),0)," GB")</f>
        <v>0 CPUs : 0 GB</v>
      </c>
      <c r="F46" s="109" t="s">
        <v>852</v>
      </c>
      <c r="G46" s="100" t="str">
        <f>CONCATENATE(IF(sizing_w11_chosen="Included",VLOOKUP(CONCATENATE(sizing_w11_vcenter_appliance_size,sizing_w11_vcenter_storage_size),table_vcenter_disk_gb,2,FALSE),0)," GB")</f>
        <v>0 GB</v>
      </c>
      <c r="H46" s="109" t="s">
        <v>2632</v>
      </c>
      <c r="I46" s="109" t="s">
        <v>751</v>
      </c>
      <c r="J46" s="441" t="str">
        <f>CONCATENATE(IF(AND(sizing_w11_chosen="Included",sizing_w11_nsxt_model&lt;&gt;"Shared"),VLOOKUP(sizing_w11_nsxt_appliance_size,table_nsxt_manager_cpu,2,FALSE),0)," CPUs : ",IF(AND(sizing_w11_chosen="Included",sizing_w11_nsxt_model&lt;&gt;"Shared"),VLOOKUP(sizing_w11_nsxt_appliance_size,table_nsxt_manager_ram,2,FALSE),0), " GB : ",IF(AND(sizing_w11_chosen="Included",sizing_w11_nsxt_model&lt;&gt;"Shared"),VLOOKUP(sizing_w11_nsxt_appliance_size,table_nsxt_manager_disk_gb,2,FALSE),0)," GB")</f>
        <v>0 CPUs : 0 GB : 0 GB</v>
      </c>
      <c r="K46" s="442"/>
      <c r="L46" s="102" t="s">
        <v>2480</v>
      </c>
      <c r="M46" s="347" t="s">
        <v>751</v>
      </c>
      <c r="N46" s="436" t="str">
        <f>CONCATENATE(IF(AND(sizing_w11_gm_chosen&lt;&gt;"Excluded",sizing_w11_gm_chosen&lt;&gt;"Connect Instance"),VLOOKUP(sizing_w11_nsxt_gm_appliance_size,table_nsxt_manager_cpu,2,FALSE),0)," CPUs : ",IF(AND(sizing_w11_gm_chosen&lt;&gt;"Excluded",sizing_w11_gm_chosen&lt;&gt;"Connect Instance"),VLOOKUP(sizing_w11_nsxt_gm_appliance_size,table_nsxt_manager_ram,2,FALSE),0)," GB : ",IF(AND(sizing_w11_gm_chosen&lt;&gt;"Excluded",sizing_w11_gm_chosen&lt;&gt;"Connect Instance"),VLOOKUP(sizing_w11_nsxt_gm_appliance_size,table_nsxt_manager_disk_gb,2,FALSE),0)," GB")</f>
        <v>0 CPUs : 0 GB : 0 GB</v>
      </c>
      <c r="O46" s="437"/>
      <c r="P46" s="102" t="s">
        <v>13</v>
      </c>
      <c r="Q46" s="420" t="str">
        <f>(CONCATENATE(IF(AND(sizing_w11_chosen="Included",sizing_w11_spr_chosen="Include"),VLOOKUP(wld_srm_vm_size_chosen,table_srm_cpu,2,FALSE),0)," CPUs :",IF(AND(sizing_w11_chosen="Included",sizing_w11_spr_chosen="Include"),VLOOKUP(wld_srm_vm_size_chosen,table_srm_ram,2,FALSE),0)," GB : ",IF(AND(sizing_w11_chosen="Included",sizing_w11_spr_chosen="Include"),VLOOKUP(wld_srm_vm_size_chosen,table_srm_disk,2,FALSE),0)," GB"))</f>
        <v>0 CPUs :0 GB : 0 GB</v>
      </c>
      <c r="R46" s="420"/>
      <c r="S46" s="102" t="s">
        <v>2480</v>
      </c>
      <c r="T46" s="420" t="str">
        <f>CONCATENATE(IF(AND(sizing_w11_chosen="Included",sizing_w11_avi_appliance_size&lt;&gt;"Excluded"),VLOOKUP(sizing_w11_avi_appliance_size,table_avi_lb_cpu,2,FALSE),0), " CPUs : ",IF(AND(sizing_w11_chosen="Included",sizing_w11_avi_appliance_size&lt;&gt;"Excluded"),VLOOKUP(sizing_w11_avi_appliance_size,table_avi_lb_ram,2,FALSE),0), " GB : ",IF(AND(sizing_w11_chosen="Included",sizing_w11_avi_appliance_size&lt;&gt;"Excluded"),VLOOKUP(sizing_w11_avi_appliance_size,table_avi_lb_disk,2,FALSE),0)," GB")</f>
        <v>0 CPUs : 0 GB : 0 GB</v>
      </c>
      <c r="U46" s="430"/>
      <c r="V46" s="347" t="s">
        <v>2480</v>
      </c>
      <c r="W46" s="337" t="str">
        <f>CONCATENATE(IF(sizing_w11_ssp_chosen&lt;&gt;"Excluded",VLOOKUP(sizing_w11_ssp_chosen,table_ssp_cpu,2,FALSE),0)," CPUs : ",IF(sizing_w11_ssp_chosen&lt;&gt;"Excluded",VLOOKUP(sizing_w11_ssp_chosen,table_ssp_ram,2,FALSE),0), " GB : ",IF(sizing_w11_ssp_chosen&lt;&gt;"Excluded",VLOOKUP(sizing_w11_ssp_chosen,table_ssp_disk,2,FALSE),0)," GB")</f>
        <v>0 CPUs : 0 GB : 0 GB</v>
      </c>
      <c r="X46" s="410" t="str">
        <f>IF(sizing_w11_chosen="Included",CONCATENATE("vCenter:",VLOOKUP(sizing_w11_vcenter_appliance_size,vcenter_sizing_limits,2,FALSE)," | NSX LM ",VLOOKUP(sizing_w01_nsxt_appliance_size,nsx_sizing_limits,2,FALSE)),"")</f>
        <v/>
      </c>
      <c r="Y46" s="411"/>
      <c r="Z46" s="411"/>
      <c r="AA46" s="411"/>
      <c r="AB46" s="412"/>
    </row>
    <row r="47" spans="2:28" ht="20.05" customHeight="1" x14ac:dyDescent="0.45">
      <c r="B47" s="331" t="s">
        <v>3996</v>
      </c>
      <c r="C47" s="111" t="s">
        <v>2480</v>
      </c>
      <c r="D47" s="109" t="s">
        <v>93</v>
      </c>
      <c r="E47" s="100" t="str">
        <f>CONCATENATE(IF(sizing_w12_chosen="Included",VLOOKUP(sizing_w12_vcenter_appliance_size,table_vcenter_appliance_cpu,2,FALSE),0)," CPUs ",": ",IF(sizing_w12_chosen="Included",VLOOKUP(sizing_w12_vcenter_appliance_size,table_vcenter_appliance_ram,2,FALSE),0)," GB")</f>
        <v>0 CPUs : 0 GB</v>
      </c>
      <c r="F47" s="109" t="s">
        <v>852</v>
      </c>
      <c r="G47" s="100" t="str">
        <f>CONCATENATE(IF(sizing_w12_chosen="Included",VLOOKUP(CONCATENATE(sizing_w12_vcenter_appliance_size,sizing_w12_vcenter_storage_size),table_vcenter_disk_gb,2,FALSE),0)," GB")</f>
        <v>0 GB</v>
      </c>
      <c r="H47" s="109" t="s">
        <v>2632</v>
      </c>
      <c r="I47" s="109" t="s">
        <v>751</v>
      </c>
      <c r="J47" s="441" t="str">
        <f>CONCATENATE(IF(AND(sizing_w12_chosen="Included",sizing_w12_nsxt_model&lt;&gt;"Shared"),VLOOKUP(sizing_w12_nsxt_appliance_size,table_nsxt_manager_cpu,2,FALSE),0)," CPUs : ",IF(AND(sizing_w12_chosen="Included",sizing_w12_nsxt_model&lt;&gt;"Shared"),VLOOKUP(sizing_w12_nsxt_appliance_size,table_nsxt_manager_ram,2,FALSE),0), " GB : ",IF(AND(sizing_w12_chosen="Included",sizing_w12_nsxt_model&lt;&gt;"Shared"),VLOOKUP(sizing_w12_nsxt_appliance_size,table_nsxt_manager_disk_gb,2,FALSE),0)," GB")</f>
        <v>0 CPUs : 0 GB : 0 GB</v>
      </c>
      <c r="K47" s="442"/>
      <c r="L47" s="102" t="s">
        <v>2480</v>
      </c>
      <c r="M47" s="347" t="s">
        <v>751</v>
      </c>
      <c r="N47" s="436" t="str">
        <f>CONCATENATE(IF(AND(sizing_w12_gm_chosen&lt;&gt;"Excluded",sizing_w12_gm_chosen&lt;&gt;"Connect Instance"),VLOOKUP(sizing_w12_nsxt_gm_appliance_size,table_nsxt_manager_cpu,2,FALSE),0)," CPUs : ",IF(AND(sizing_w12_gm_chosen&lt;&gt;"Excluded",sizing_w12_gm_chosen&lt;&gt;"Connect Instance"),VLOOKUP(sizing_w12_nsxt_gm_appliance_size,table_nsxt_manager_ram,2,FALSE),0)," GB : ",IF(AND(sizing_w12_gm_chosen&lt;&gt;"Excluded",sizing_w12_gm_chosen&lt;&gt;"Connect Instance"),VLOOKUP(sizing_w12_nsxt_gm_appliance_size,table_nsxt_manager_disk_gb,2,FALSE),0)," GB")</f>
        <v>0 CPUs : 0 GB : 0 GB</v>
      </c>
      <c r="O47" s="437"/>
      <c r="P47" s="102" t="s">
        <v>13</v>
      </c>
      <c r="Q47" s="420" t="str">
        <f>(CONCATENATE(IF(AND(sizing_w12_chosen="Included",sizing_w12_spr_chosen="Include"),VLOOKUP(wld_srm_vm_size_chosen,table_srm_cpu,2,FALSE),0)," CPUs :",IF(AND(sizing_w12_chosen="Included",sizing_w12_spr_chosen="Include"),VLOOKUP(wld_srm_vm_size_chosen,table_srm_ram,2,FALSE),0)," GB : ",IF(AND(sizing_w12_chosen="Included",sizing_w12_spr_chosen="Include"),VLOOKUP(wld_srm_vm_size_chosen,table_srm_disk,2,FALSE),0)," GB"))</f>
        <v>0 CPUs :0 GB : 0 GB</v>
      </c>
      <c r="R47" s="420"/>
      <c r="S47" s="102" t="s">
        <v>2480</v>
      </c>
      <c r="T47" s="420" t="str">
        <f>CONCATENATE(IF(AND(sizing_w12_chosen="Included",sizing_w12_avi_appliance_size&lt;&gt;"Excluded"),VLOOKUP(sizing_w12_avi_appliance_size,table_avi_lb_cpu,2,FALSE),0), " CPUs : ",IF(AND(sizing_w12_chosen="Included",sizing_w12_avi_appliance_size&lt;&gt;"Excluded"),VLOOKUP(sizing_w12_avi_appliance_size,table_avi_lb_ram,2,FALSE),0), " GB : ",IF(AND(sizing_w12_chosen="Included",sizing_w12_avi_appliance_size&lt;&gt;"Excluded"),VLOOKUP(sizing_w12_avi_appliance_size,table_avi_lb_disk,2,FALSE),0)," GB")</f>
        <v>0 CPUs : 0 GB : 0 GB</v>
      </c>
      <c r="U47" s="430"/>
      <c r="V47" s="347" t="s">
        <v>2480</v>
      </c>
      <c r="W47" s="337" t="str">
        <f>CONCATENATE(IF(sizing_w12_ssp_chosen&lt;&gt;"Excluded",VLOOKUP(sizing_w12_ssp_chosen,table_ssp_cpu,2,FALSE),0)," CPUs : ",IF(sizing_w12_ssp_chosen&lt;&gt;"Excluded",VLOOKUP(sizing_w12_ssp_chosen,table_ssp_ram,2,FALSE),0), " GB : ",IF(sizing_w12_ssp_chosen&lt;&gt;"Excluded",VLOOKUP(sizing_w12_ssp_chosen,table_ssp_disk,2,FALSE),0)," GB")</f>
        <v>0 CPUs : 0 GB : 0 GB</v>
      </c>
      <c r="X47" s="410" t="str">
        <f>IF(sizing_w12_chosen="Included",CONCATENATE("vCenter:",VLOOKUP(sizing_w12_vcenter_appliance_size,vcenter_sizing_limits,2,FALSE)," | NSX LM ",VLOOKUP(sizing_w12_nsxt_appliance_size,nsx_sizing_limits,2,FALSE)),"")</f>
        <v/>
      </c>
      <c r="Y47" s="411"/>
      <c r="Z47" s="411"/>
      <c r="AA47" s="411"/>
      <c r="AB47" s="412"/>
    </row>
    <row r="48" spans="2:28" ht="20.05" customHeight="1" x14ac:dyDescent="0.45">
      <c r="B48" s="331" t="s">
        <v>3997</v>
      </c>
      <c r="C48" s="111" t="s">
        <v>2480</v>
      </c>
      <c r="D48" s="109" t="s">
        <v>93</v>
      </c>
      <c r="E48" s="100" t="str">
        <f>CONCATENATE(IF(sizing_w13_chosen="Included",VLOOKUP(sizing_w13_vcenter_appliance_size,table_vcenter_appliance_cpu,2,FALSE),0)," CPUs ",": ",IF(sizing_w13_chosen="Included",VLOOKUP(sizing_w13_vcenter_appliance_size,table_vcenter_appliance_ram,2,FALSE),0)," GB")</f>
        <v>0 CPUs : 0 GB</v>
      </c>
      <c r="F48" s="109" t="s">
        <v>852</v>
      </c>
      <c r="G48" s="100" t="str">
        <f>CONCATENATE(IF(sizing_w13_chosen="Included",VLOOKUP(CONCATENATE(sizing_w13_vcenter_appliance_size,sizing_w13_vcenter_storage_size),table_vcenter_disk_gb,2,FALSE),0)," GB")</f>
        <v>0 GB</v>
      </c>
      <c r="H48" s="109" t="s">
        <v>2632</v>
      </c>
      <c r="I48" s="109" t="s">
        <v>751</v>
      </c>
      <c r="J48" s="441" t="str">
        <f>CONCATENATE(IF(AND(sizing_w13_chosen="Included",sizing_w13_nsxt_model&lt;&gt;"Shared"),VLOOKUP(sizing_w13_nsxt_appliance_size,table_nsxt_manager_cpu,2,FALSE),0)," CPUs : ",IF(AND(sizing_w13_chosen="Included",sizing_w13_nsxt_model&lt;&gt;"Shared"),VLOOKUP(sizing_w13_nsxt_appliance_size,table_nsxt_manager_ram,2,FALSE),0), " GB : ",IF(AND(sizing_w13_chosen="Included",sizing_w13_nsxt_model&lt;&gt;"Shared"),VLOOKUP(sizing_w13_nsxt_appliance_size,table_nsxt_manager_disk_gb,2,FALSE),0)," GB")</f>
        <v>0 CPUs : 0 GB : 0 GB</v>
      </c>
      <c r="K48" s="442"/>
      <c r="L48" s="102" t="s">
        <v>2480</v>
      </c>
      <c r="M48" s="347" t="s">
        <v>751</v>
      </c>
      <c r="N48" s="436" t="str">
        <f>CONCATENATE(IF(AND(sizing_w13_gm_chosen&lt;&gt;"Excluded",sizing_w13_gm_chosen&lt;&gt;"Connect Instance"),VLOOKUP(sizing_w13_nsxt_gm_appliance_size,table_nsxt_manager_cpu,2,FALSE),0)," CPUs : ",IF(AND(sizing_w13_gm_chosen&lt;&gt;"Excluded",sizing_w13_gm_chosen&lt;&gt;"Connect Instance"),VLOOKUP(sizing_w13_nsxt_gm_appliance_size,table_nsxt_manager_ram,2,FALSE),0)," GB : ",IF(AND(sizing_w13_gm_chosen&lt;&gt;"Excluded",sizing_w13_gm_chosen&lt;&gt;"Connect Instance"),VLOOKUP(sizing_w13_nsxt_gm_appliance_size,table_nsxt_manager_disk_gb,2,FALSE),0)," GB")</f>
        <v>0 CPUs : 0 GB : 0 GB</v>
      </c>
      <c r="O48" s="437"/>
      <c r="P48" s="102" t="s">
        <v>13</v>
      </c>
      <c r="Q48" s="420" t="str">
        <f>(CONCATENATE(IF(AND(sizing_w13_chosen="Included",sizing_w13_spr_chosen="Include"),VLOOKUP(wld_srm_vm_size_chosen,table_srm_cpu,2,FALSE),0)," CPUs :",IF(AND(sizing_w13_chosen="Included",sizing_w13_spr_chosen="Include"),VLOOKUP(wld_srm_vm_size_chosen,table_srm_ram,2,FALSE),0)," GB : ",IF(AND(sizing_w13_chosen="Included",sizing_w13_spr_chosen="Include"),VLOOKUP(wld_srm_vm_size_chosen,table_srm_disk,2,FALSE),0)," GB"))</f>
        <v>0 CPUs :0 GB : 0 GB</v>
      </c>
      <c r="R48" s="420"/>
      <c r="S48" s="102" t="s">
        <v>2480</v>
      </c>
      <c r="T48" s="420" t="str">
        <f>CONCATENATE(IF(AND(sizing_w13_chosen="Included",sizing_w13_avi_appliance_size&lt;&gt;"Excluded"),VLOOKUP(sizing_w13_avi_appliance_size,table_avi_lb_cpu,2,FALSE),0), " CPUs : ",IF(AND(sizing_w13_chosen="Included",sizing_w13_avi_appliance_size&lt;&gt;"Excluded"),VLOOKUP(sizing_w13_avi_appliance_size,table_avi_lb_ram,2,FALSE),0), " GB : ",IF(AND(sizing_w13_chosen="Included",sizing_w13_avi_appliance_size&lt;&gt;"Excluded"),VLOOKUP(sizing_w13_avi_appliance_size,table_avi_lb_disk,2,FALSE),0)," GB")</f>
        <v>0 CPUs : 0 GB : 0 GB</v>
      </c>
      <c r="U48" s="430"/>
      <c r="V48" s="347" t="s">
        <v>2480</v>
      </c>
      <c r="W48" s="337" t="str">
        <f>CONCATENATE(IF(sizing_w13_ssp_chosen&lt;&gt;"Excluded",VLOOKUP(sizing_w13_ssp_chosen,table_ssp_cpu,2,FALSE),0)," CPUs : ",IF(sizing_w13_ssp_chosen&lt;&gt;"Excluded",VLOOKUP(sizing_w13_ssp_chosen,table_ssp_ram,2,FALSE),0), " GB : ",IF(sizing_w13_ssp_chosen&lt;&gt;"Excluded",VLOOKUP(sizing_w13_ssp_chosen,table_ssp_disk,2,FALSE),0)," GB")</f>
        <v>0 CPUs : 0 GB : 0 GB</v>
      </c>
      <c r="X48" s="410" t="str">
        <f>IF(sizing_w13_chosen="Included",CONCATENATE("vCenter:",VLOOKUP(sizing_w13_vcenter_appliance_size,vcenter_sizing_limits,2,FALSE)," | NSX LM ",VLOOKUP(sizing_w13_nsxt_appliance_size,nsx_sizing_limits,2,FALSE)),"")</f>
        <v/>
      </c>
      <c r="Y48" s="411"/>
      <c r="Z48" s="411"/>
      <c r="AA48" s="411"/>
      <c r="AB48" s="412"/>
    </row>
    <row r="49" spans="1:28" ht="20.05" customHeight="1" x14ac:dyDescent="0.45">
      <c r="B49" s="331" t="s">
        <v>3998</v>
      </c>
      <c r="C49" s="111" t="s">
        <v>2480</v>
      </c>
      <c r="D49" s="109" t="s">
        <v>93</v>
      </c>
      <c r="E49" s="100" t="str">
        <f>CONCATENATE(IF(sizing_w14_chosen="Included",VLOOKUP(sizing_w14_vcenter_appliance_size,table_vcenter_appliance_cpu,2,FALSE),0)," CPUs ",": ",IF(sizing_w14_chosen="Included",VLOOKUP(sizing_w14_vcenter_appliance_size,table_vcenter_appliance_ram,2,FALSE),0)," GB")</f>
        <v>0 CPUs : 0 GB</v>
      </c>
      <c r="F49" s="109" t="s">
        <v>852</v>
      </c>
      <c r="G49" s="100" t="str">
        <f>CONCATENATE(IF(sizing_w14_chosen="Included",VLOOKUP(CONCATENATE(sizing_w14_vcenter_appliance_size,sizing_w14_vcenter_storage_size),table_vcenter_disk_gb,2,FALSE),0)," GB")</f>
        <v>0 GB</v>
      </c>
      <c r="H49" s="109" t="s">
        <v>2632</v>
      </c>
      <c r="I49" s="109" t="s">
        <v>751</v>
      </c>
      <c r="J49" s="441" t="str">
        <f>CONCATENATE(IF(AND(sizing_w14_chosen="Included",sizing_w14_nsxt_model&lt;&gt;"Shared"),VLOOKUP(sizing_w14_nsxt_appliance_size,table_nsxt_manager_cpu,2,FALSE),0)," CPUs : ",IF(AND(sizing_w14_chosen="Included",sizing_w14_nsxt_model&lt;&gt;"Shared"),VLOOKUP(sizing_w14_nsxt_appliance_size,table_nsxt_manager_ram,2,FALSE),0), " GB : ",IF(AND(sizing_w14_chosen="Included",sizing_w14_nsxt_model&lt;&gt;"Shared"),VLOOKUP(sizing_w14_nsxt_appliance_size,table_nsxt_manager_disk_gb,2,FALSE),0)," GB")</f>
        <v>0 CPUs : 0 GB : 0 GB</v>
      </c>
      <c r="K49" s="442"/>
      <c r="L49" s="102" t="s">
        <v>2480</v>
      </c>
      <c r="M49" s="347" t="s">
        <v>751</v>
      </c>
      <c r="N49" s="436" t="str">
        <f>CONCATENATE(IF(AND(sizing_w14_gm_chosen&lt;&gt;"Excluded",sizing_w14_gm_chosen&lt;&gt;"Connect Instance"),VLOOKUP(sizing_w14_nsxt_gm_appliance_size,table_nsxt_manager_cpu,2,FALSE),0)," CPUs : ",IF(AND(sizing_w14_gm_chosen&lt;&gt;"Excluded",sizing_w14_gm_chosen&lt;&gt;"Connect Instance"),VLOOKUP(sizing_w14_nsxt_gm_appliance_size,table_nsxt_manager_ram,2,FALSE),0)," GB : ",IF(AND(sizing_w14_gm_chosen&lt;&gt;"Excluded",sizing_w14_gm_chosen&lt;&gt;"Connect Instance"),VLOOKUP(sizing_w14_nsxt_gm_appliance_size,table_nsxt_manager_disk_gb,2,FALSE),0)," GB")</f>
        <v>0 CPUs : 0 GB : 0 GB</v>
      </c>
      <c r="O49" s="437"/>
      <c r="P49" s="102" t="s">
        <v>13</v>
      </c>
      <c r="Q49" s="420" t="str">
        <f>(CONCATENATE(IF(AND(sizing_w14_chosen="Included",sizing_w14_spr_chosen="Include"),VLOOKUP(wld_srm_vm_size_chosen,table_srm_cpu,2,FALSE),0)," CPUs :",IF(AND(sizing_w14_chosen="Included",sizing_w14_spr_chosen="Include"),VLOOKUP(wld_srm_vm_size_chosen,table_srm_ram,2,FALSE),0)," GB : ",IF(AND(sizing_w14_chosen="Included",sizing_w14_spr_chosen="Include"),VLOOKUP(wld_srm_vm_size_chosen,table_srm_disk,2,FALSE),0)," GB"))</f>
        <v>0 CPUs :0 GB : 0 GB</v>
      </c>
      <c r="R49" s="420"/>
      <c r="S49" s="102" t="s">
        <v>2480</v>
      </c>
      <c r="T49" s="420" t="str">
        <f>CONCATENATE(IF(AND(sizing_w14_chosen="Included",sizing_w14_avi_appliance_size&lt;&gt;"Excluded"),VLOOKUP(sizing_w14_avi_appliance_size,table_avi_lb_cpu,2,FALSE),0), " CPUs : ",IF(AND(sizing_w14_chosen="Included",sizing_w14_avi_appliance_size&lt;&gt;"Excluded"),VLOOKUP(sizing_w14_avi_appliance_size,table_avi_lb_ram,2,FALSE),0), " GB : ",IF(AND(sizing_w14_chosen="Included",sizing_w14_avi_appliance_size&lt;&gt;"Excluded"),VLOOKUP(sizing_w14_avi_appliance_size,table_avi_lb_disk,2,FALSE),0)," GB")</f>
        <v>0 CPUs : 0 GB : 0 GB</v>
      </c>
      <c r="U49" s="430"/>
      <c r="V49" s="347" t="s">
        <v>2480</v>
      </c>
      <c r="W49" s="337" t="str">
        <f>CONCATENATE(IF(sizing_w14_ssp_chosen&lt;&gt;"Excluded",VLOOKUP(sizing_w14_ssp_chosen,table_ssp_cpu,2,FALSE),0)," CPUs : ",IF(sizing_w14_ssp_chosen&lt;&gt;"Excluded",VLOOKUP(sizing_w14_ssp_chosen,table_ssp_ram,2,FALSE),0), " GB : ",IF(sizing_w14_ssp_chosen&lt;&gt;"Excluded",VLOOKUP(sizing_w14_ssp_chosen,table_ssp_disk,2,FALSE),0)," GB")</f>
        <v>0 CPUs : 0 GB : 0 GB</v>
      </c>
      <c r="X49" s="410" t="str">
        <f>IF(sizing_w14_chosen="Included",CONCATENATE("vCenter:",VLOOKUP(sizing_w14_vcenter_appliance_size,vcenter_sizing_limits,2,FALSE)," | NSX LM ",VLOOKUP(sizing_w14_nsxt_appliance_size,nsx_sizing_limits,2,FALSE)),"")</f>
        <v/>
      </c>
      <c r="Y49" s="411"/>
      <c r="Z49" s="411"/>
      <c r="AA49" s="411"/>
      <c r="AB49" s="412"/>
    </row>
    <row r="50" spans="1:28" ht="20.05" customHeight="1" x14ac:dyDescent="0.45">
      <c r="B50" s="331" t="s">
        <v>3999</v>
      </c>
      <c r="C50" s="111" t="s">
        <v>2480</v>
      </c>
      <c r="D50" s="109" t="s">
        <v>93</v>
      </c>
      <c r="E50" s="100" t="str">
        <f>CONCATENATE(IF(sizing_w15_chosen="Included",VLOOKUP(sizing_w15_vcenter_appliance_size,table_vcenter_appliance_cpu,2,FALSE),0)," CPUs ",": ",IF(sizing_w15_chosen="Included",VLOOKUP(sizing_w15_vcenter_appliance_size,table_vcenter_appliance_ram,2,FALSE),0)," GB")</f>
        <v>0 CPUs : 0 GB</v>
      </c>
      <c r="F50" s="109" t="s">
        <v>852</v>
      </c>
      <c r="G50" s="100" t="str">
        <f>CONCATENATE(IF(sizing_w15_chosen="Included",VLOOKUP(CONCATENATE(sizing_w15_vcenter_appliance_size,sizing_w15_vcenter_storage_size),table_vcenter_disk_gb,2,FALSE),0)," GB")</f>
        <v>0 GB</v>
      </c>
      <c r="H50" s="109" t="s">
        <v>2632</v>
      </c>
      <c r="I50" s="109" t="s">
        <v>751</v>
      </c>
      <c r="J50" s="441" t="str">
        <f>CONCATENATE(IF(AND(sizing_w15_chosen="Included",sizing_w15_nsxt_model&lt;&gt;"Shared"),VLOOKUP(sizing_w15_nsxt_appliance_size,table_nsxt_manager_cpu,2,FALSE),0)," CPUs : ",IF(AND(sizing_w15_chosen="Included",sizing_w15_nsxt_model&lt;&gt;"Shared"),VLOOKUP(sizing_w15_nsxt_appliance_size,table_nsxt_manager_ram,2,FALSE),0), " GB : ",IF(AND(sizing_w15_chosen="Included",sizing_w15_nsxt_model&lt;&gt;"Shared"),VLOOKUP(sizing_w15_nsxt_appliance_size,table_nsxt_manager_disk_gb,2,FALSE),0)," GB")</f>
        <v>0 CPUs : 0 GB : 0 GB</v>
      </c>
      <c r="K50" s="442"/>
      <c r="L50" s="102" t="s">
        <v>2480</v>
      </c>
      <c r="M50" s="347" t="s">
        <v>751</v>
      </c>
      <c r="N50" s="436" t="str">
        <f>CONCATENATE(IF(AND(sizing_w15_gm_chosen&lt;&gt;"Excluded",sizing_w15_gm_chosen&lt;&gt;"Connect Instance"),VLOOKUP(sizing_w15_nsxt_gm_appliance_size,table_nsxt_manager_cpu,2,FALSE),0)," CPUs : ",IF(AND(sizing_w15_gm_chosen&lt;&gt;"Excluded",sizing_w15_gm_chosen&lt;&gt;"Connect Instance"),VLOOKUP(sizing_w15_nsxt_gm_appliance_size,table_nsxt_manager_ram,2,FALSE),0)," GB : ",IF(AND(sizing_w15_gm_chosen&lt;&gt;"Excluded",sizing_w15_gm_chosen&lt;&gt;"Connect Instance"),VLOOKUP(sizing_w15_nsxt_gm_appliance_size,table_nsxt_manager_disk_gb,2,FALSE),0)," GB")</f>
        <v>0 CPUs : 0 GB : 0 GB</v>
      </c>
      <c r="O50" s="437"/>
      <c r="P50" s="102" t="s">
        <v>13</v>
      </c>
      <c r="Q50" s="420" t="str">
        <f>(CONCATENATE(IF(AND(sizing_w15_chosen="Included",sizing_w15_spr_chosen="Include"),VLOOKUP(wld_srm_vm_size_chosen,table_srm_cpu,2,FALSE),0)," CPUs :",IF(AND(sizing_w15_chosen="Included",sizing_w15_spr_chosen="Include"),VLOOKUP(wld_srm_vm_size_chosen,table_srm_ram,2,FALSE),0)," GB : ",IF(AND(sizing_w15_chosen="Included",sizing_w15_spr_chosen="Include"),VLOOKUP(wld_srm_vm_size_chosen,table_srm_disk,2,FALSE),0)," GB"))</f>
        <v>0 CPUs :0 GB : 0 GB</v>
      </c>
      <c r="R50" s="420"/>
      <c r="S50" s="102" t="s">
        <v>2480</v>
      </c>
      <c r="T50" s="420" t="str">
        <f>CONCATENATE(IF(AND(sizing_w15_chosen="Included",sizing_w15_avi_appliance_size&lt;&gt;"Excluded"),VLOOKUP(sizing_w15_avi_appliance_size,table_avi_lb_cpu,2,FALSE),0), " CPUs : ",IF(AND(sizing_w15_chosen="Included",sizing_w15_avi_appliance_size&lt;&gt;"Excluded"),VLOOKUP(sizing_w15_avi_appliance_size,table_avi_lb_ram,2,FALSE),0), " GB : ",IF(AND(sizing_w15_chosen="Included",sizing_w15_avi_appliance_size&lt;&gt;"Excluded"),VLOOKUP(sizing_w15_avi_appliance_size,table_avi_lb_disk,2,FALSE),0)," GB")</f>
        <v>0 CPUs : 0 GB : 0 GB</v>
      </c>
      <c r="U50" s="430"/>
      <c r="V50" s="347" t="s">
        <v>2480</v>
      </c>
      <c r="W50" s="337" t="str">
        <f>CONCATENATE(IF(sizing_w15_ssp_chosen&lt;&gt;"Excluded",VLOOKUP(sizing_w15_ssp_chosen,table_ssp_cpu,2,FALSE),0)," CPUs : ",IF(sizing_w15_ssp_chosen&lt;&gt;"Excluded",VLOOKUP(sizing_w15_ssp_chosen,table_ssp_ram,2,FALSE),0), " GB : ",IF(sizing_w15_ssp_chosen&lt;&gt;"Excluded",VLOOKUP(sizing_w15_ssp_chosen,table_ssp_disk,2,FALSE),0)," GB")</f>
        <v>0 CPUs : 0 GB : 0 GB</v>
      </c>
      <c r="X50" s="410" t="str">
        <f>IF(sizing_w15_chosen="Included",CONCATENATE("vCenter:",VLOOKUP(sizing_w15_vcenter_appliance_size,vcenter_sizing_limits,2,FALSE)," | NSX LM ",VLOOKUP(sizing_w15_nsxt_appliance_size,nsx_sizing_limits,2,FALSE)),"")</f>
        <v/>
      </c>
      <c r="Y50" s="411"/>
      <c r="Z50" s="411"/>
      <c r="AA50" s="411"/>
      <c r="AB50" s="412"/>
    </row>
    <row r="51" spans="1:28" ht="20.05" customHeight="1" x14ac:dyDescent="0.45">
      <c r="B51" s="331" t="s">
        <v>4000</v>
      </c>
      <c r="C51" s="111" t="s">
        <v>2480</v>
      </c>
      <c r="D51" s="109" t="s">
        <v>93</v>
      </c>
      <c r="E51" s="100" t="str">
        <f>CONCATENATE(IF(sizing_w16_chosen="Included",VLOOKUP(sizing_w16_vcenter_appliance_size,table_vcenter_appliance_cpu,2,FALSE),0)," CPUs ",": ",IF(sizing_w16_chosen="Included",VLOOKUP(sizing_w16_vcenter_appliance_size,table_vcenter_appliance_ram,2,FALSE),0)," GB")</f>
        <v>0 CPUs : 0 GB</v>
      </c>
      <c r="F51" s="109" t="s">
        <v>852</v>
      </c>
      <c r="G51" s="100" t="str">
        <f>CONCATENATE(IF(sizing_w16_chosen="Included",VLOOKUP(CONCATENATE(sizing_w16_vcenter_appliance_size,sizing_w16_vcenter_storage_size),table_vcenter_disk_gb,2,FALSE),0)," GB")</f>
        <v>0 GB</v>
      </c>
      <c r="H51" s="109" t="s">
        <v>2632</v>
      </c>
      <c r="I51" s="109" t="s">
        <v>751</v>
      </c>
      <c r="J51" s="441" t="str">
        <f>CONCATENATE(IF(AND(sizing_w16_chosen="Included",sizing_w16_nsxt_model&lt;&gt;"Shared"),VLOOKUP(sizing_w16_nsxt_appliance_size,table_nsxt_manager_cpu,2,FALSE),0)," CPUs : ",IF(AND(sizing_w16_chosen="Included",sizing_w16_nsxt_model&lt;&gt;"Shared"),VLOOKUP(sizing_w16_nsxt_appliance_size,table_nsxt_manager_ram,2,FALSE),0), " GB : ",IF(AND(sizing_w16_chosen="Included",sizing_w16_nsxt_model&lt;&gt;"Shared"),VLOOKUP(sizing_w16_nsxt_appliance_size,table_nsxt_manager_disk_gb,2,FALSE),0)," GB")</f>
        <v>0 CPUs : 0 GB : 0 GB</v>
      </c>
      <c r="K51" s="442"/>
      <c r="L51" s="102" t="s">
        <v>2480</v>
      </c>
      <c r="M51" s="347" t="s">
        <v>751</v>
      </c>
      <c r="N51" s="436" t="str">
        <f>CONCATENATE(IF(AND(sizing_w16_gm_chosen&lt;&gt;"Excluded",sizing_w16_gm_chosen&lt;&gt;"Connect Instance"),VLOOKUP(sizing_w16_nsxt_gm_appliance_size,table_nsxt_manager_cpu,2,FALSE),0)," CPUs : ",IF(AND(sizing_w16_gm_chosen&lt;&gt;"Excluded",sizing_w16_gm_chosen&lt;&gt;"Connect Instance"),VLOOKUP(sizing_w16_nsxt_gm_appliance_size,table_nsxt_manager_ram,2,FALSE),0)," GB : ",IF(AND(sizing_w16_gm_chosen&lt;&gt;"Excluded",sizing_w16_gm_chosen&lt;&gt;"Connect Instance"),VLOOKUP(sizing_w16_nsxt_gm_appliance_size,table_nsxt_manager_disk_gb,2,FALSE),0)," GB")</f>
        <v>0 CPUs : 0 GB : 0 GB</v>
      </c>
      <c r="O51" s="437"/>
      <c r="P51" s="102" t="s">
        <v>13</v>
      </c>
      <c r="Q51" s="420" t="str">
        <f>(CONCATENATE(IF(AND(sizing_w16_chosen="Included",sizing_w16_spr_chosen="Include"),VLOOKUP(wld_srm_vm_size_chosen,table_srm_cpu,2,FALSE),0)," CPUs :",IF(AND(sizing_w16_chosen="Included",sizing_w16_spr_chosen="Include"),VLOOKUP(wld_srm_vm_size_chosen,table_srm_ram,2,FALSE),0)," GB : ",IF(AND(sizing_w16_chosen="Included",sizing_w16_spr_chosen="Include"),VLOOKUP(wld_srm_vm_size_chosen,table_srm_disk,2,FALSE),0)," GB"))</f>
        <v>0 CPUs :0 GB : 0 GB</v>
      </c>
      <c r="R51" s="420"/>
      <c r="S51" s="102" t="s">
        <v>2480</v>
      </c>
      <c r="T51" s="420" t="str">
        <f>CONCATENATE(IF(AND(sizing_w16_chosen="Included",sizing_w16_avi_appliance_size&lt;&gt;"Excluded"),VLOOKUP(sizing_w16_avi_appliance_size,table_avi_lb_cpu,2,FALSE),0), " CPUs : ",IF(AND(sizing_w16_chosen="Included",sizing_w16_avi_appliance_size&lt;&gt;"Excluded"),VLOOKUP(sizing_w16_avi_appliance_size,table_avi_lb_ram,2,FALSE),0), " GB : ",IF(AND(sizing_w16_chosen="Included",sizing_w16_avi_appliance_size&lt;&gt;"Excluded"),VLOOKUP(sizing_w16_avi_appliance_size,table_avi_lb_disk,2,FALSE),0)," GB")</f>
        <v>0 CPUs : 0 GB : 0 GB</v>
      </c>
      <c r="U51" s="430"/>
      <c r="V51" s="347" t="s">
        <v>2480</v>
      </c>
      <c r="W51" s="337" t="str">
        <f>CONCATENATE(IF(sizing_w16_ssp_chosen&lt;&gt;"Excluded",VLOOKUP(sizing_w16_ssp_chosen,table_ssp_cpu,2,FALSE),0)," CPUs : ",IF(sizing_w16_ssp_chosen&lt;&gt;"Excluded",VLOOKUP(sizing_w16_ssp_chosen,table_ssp_ram,2,FALSE),0), " GB : ",IF(sizing_w16_ssp_chosen&lt;&gt;"Excluded",VLOOKUP(sizing_w16_ssp_chosen,table_ssp_disk,2,FALSE),0)," GB")</f>
        <v>0 CPUs : 0 GB : 0 GB</v>
      </c>
      <c r="X51" s="410" t="str">
        <f>IF(sizing_w16_chosen="Included",CONCATENATE("vCenter:",VLOOKUP(sizing_w16_vcenter_appliance_size,vcenter_sizing_limits,2,FALSE)," | NSX LM ",VLOOKUP(sizing_w16_nsxt_appliance_size,nsx_sizing_limits,2,FALSE)),"")</f>
        <v/>
      </c>
      <c r="Y51" s="411"/>
      <c r="Z51" s="411"/>
      <c r="AA51" s="411"/>
      <c r="AB51" s="412"/>
    </row>
    <row r="52" spans="1:28" ht="20.05" customHeight="1" x14ac:dyDescent="0.45">
      <c r="B52" s="331" t="s">
        <v>4001</v>
      </c>
      <c r="C52" s="111" t="s">
        <v>2480</v>
      </c>
      <c r="D52" s="109" t="s">
        <v>93</v>
      </c>
      <c r="E52" s="100" t="str">
        <f>CONCATENATE(IF(sizing_w17_chosen="Included",VLOOKUP(sizing_w17_vcenter_appliance_size,table_vcenter_appliance_cpu,2,FALSE),0)," CPUs ",": ",IF(sizing_w17_chosen="Included",VLOOKUP(sizing_w17_vcenter_appliance_size,table_vcenter_appliance_ram,2,FALSE),0)," GB")</f>
        <v>0 CPUs : 0 GB</v>
      </c>
      <c r="F52" s="109" t="s">
        <v>852</v>
      </c>
      <c r="G52" s="100" t="str">
        <f>CONCATENATE(IF(sizing_w17_chosen="Included",VLOOKUP(CONCATENATE(sizing_w17_vcenter_appliance_size,sizing_w17_vcenter_storage_size),table_vcenter_disk_gb,2,FALSE),0)," GB")</f>
        <v>0 GB</v>
      </c>
      <c r="H52" s="109" t="s">
        <v>2632</v>
      </c>
      <c r="I52" s="109" t="s">
        <v>751</v>
      </c>
      <c r="J52" s="441" t="str">
        <f>CONCATENATE(IF(AND(sizing_w17_chosen="Included",sizing_w17_nsxt_model&lt;&gt;"Shared"),VLOOKUP(sizing_w17_nsxt_appliance_size,table_nsxt_manager_cpu,2,FALSE),0)," CPUs : ",IF(AND(sizing_w17_chosen="Included",sizing_w17_nsxt_model&lt;&gt;"Shared"),VLOOKUP(sizing_w17_nsxt_appliance_size,table_nsxt_manager_ram,2,FALSE),0), " GB : ",IF(AND(sizing_w17_chosen="Included",sizing_w17_nsxt_model&lt;&gt;"Shared"),VLOOKUP(sizing_w17_nsxt_appliance_size,table_nsxt_manager_disk_gb,2,FALSE),0)," GB")</f>
        <v>0 CPUs : 0 GB : 0 GB</v>
      </c>
      <c r="K52" s="442"/>
      <c r="L52" s="102" t="s">
        <v>2480</v>
      </c>
      <c r="M52" s="347" t="s">
        <v>751</v>
      </c>
      <c r="N52" s="436" t="str">
        <f>CONCATENATE(IF(AND(sizing_w17_gm_chosen&lt;&gt;"Excluded",sizing_w17_gm_chosen&lt;&gt;"Connect Instance"),VLOOKUP(sizing_w17_nsxt_gm_appliance_size,table_nsxt_manager_cpu,2,FALSE),0)," CPUs : ",IF(AND(sizing_w17_gm_chosen&lt;&gt;"Excluded",sizing_w17_gm_chosen&lt;&gt;"Connect Instance"),VLOOKUP(sizing_w17_nsxt_gm_appliance_size,table_nsxt_manager_ram,2,FALSE),0)," GB : ",IF(AND(sizing_w17_gm_chosen&lt;&gt;"Excluded",sizing_w17_gm_chosen&lt;&gt;"Connect Instance"),VLOOKUP(sizing_w17_nsxt_gm_appliance_size,table_nsxt_manager_disk_gb,2,FALSE),0)," GB")</f>
        <v>0 CPUs : 0 GB : 0 GB</v>
      </c>
      <c r="O52" s="437"/>
      <c r="P52" s="102" t="s">
        <v>13</v>
      </c>
      <c r="Q52" s="420" t="str">
        <f>(CONCATENATE(IF(AND(sizing_w17_chosen="Included",sizing_w17_spr_chosen="Include"),VLOOKUP(wld_srm_vm_size_chosen,table_srm_cpu,2,FALSE),0)," CPUs :",IF(AND(sizing_w17_chosen="Included",sizing_w17_spr_chosen="Include"),VLOOKUP(wld_srm_vm_size_chosen,table_srm_ram,2,FALSE),0)," GB : ",IF(AND(sizing_w17_chosen="Included",sizing_w17_spr_chosen="Include"),VLOOKUP(wld_srm_vm_size_chosen,table_srm_disk,2,FALSE),0)," GB"))</f>
        <v>0 CPUs :0 GB : 0 GB</v>
      </c>
      <c r="R52" s="420"/>
      <c r="S52" s="102" t="s">
        <v>2480</v>
      </c>
      <c r="T52" s="420" t="str">
        <f>CONCATENATE(IF(AND(sizing_w17_chosen="Included",sizing_w17_avi_appliance_size&lt;&gt;"Excluded"),VLOOKUP(sizing_w17_avi_appliance_size,table_avi_lb_cpu,2,FALSE),0), " CPUs : ",IF(AND(sizing_w17_chosen="Included",sizing_w17_avi_appliance_size&lt;&gt;"Excluded"),VLOOKUP(sizing_w17_avi_appliance_size,table_avi_lb_ram,2,FALSE),0), " GB : ",IF(AND(sizing_w17_chosen="Included",sizing_w17_avi_appliance_size&lt;&gt;"Excluded"),VLOOKUP(sizing_w17_avi_appliance_size,table_avi_lb_disk,2,FALSE),0)," GB")</f>
        <v>0 CPUs : 0 GB : 0 GB</v>
      </c>
      <c r="U52" s="430"/>
      <c r="V52" s="347" t="s">
        <v>2480</v>
      </c>
      <c r="W52" s="337" t="str">
        <f>CONCATENATE(IF(sizing_w17_ssp_chosen&lt;&gt;"Excluded",VLOOKUP(sizing_w17_ssp_chosen,table_ssp_cpu,2,FALSE),0)," CPUs : ",IF(sizing_w17_ssp_chosen&lt;&gt;"Excluded",VLOOKUP(sizing_w17_ssp_chosen,table_ssp_ram,2,FALSE),0), " GB : ",IF(sizing_w17_ssp_chosen&lt;&gt;"Excluded",VLOOKUP(sizing_w17_ssp_chosen,table_ssp_disk,2,FALSE),0)," GB")</f>
        <v>0 CPUs : 0 GB : 0 GB</v>
      </c>
      <c r="X52" s="410" t="str">
        <f>IF(sizing_w17_chosen="Included",CONCATENATE("vCenter:",VLOOKUP(sizing_w17_vcenter_appliance_size,vcenter_sizing_limits,2,FALSE)," | NSX LM ",VLOOKUP(sizing_w17_nsxt_appliance_size,nsx_sizing_limits,2,FALSE)),"")</f>
        <v/>
      </c>
      <c r="Y52" s="411"/>
      <c r="Z52" s="411"/>
      <c r="AA52" s="411"/>
      <c r="AB52" s="412"/>
    </row>
    <row r="53" spans="1:28" ht="20.05" customHeight="1" x14ac:dyDescent="0.45">
      <c r="B53" s="331" t="s">
        <v>4002</v>
      </c>
      <c r="C53" s="111" t="s">
        <v>2480</v>
      </c>
      <c r="D53" s="109" t="s">
        <v>93</v>
      </c>
      <c r="E53" s="100" t="str">
        <f>CONCATENATE(IF(sizing_w18_chosen="Included",VLOOKUP(sizing_w18_vcenter_appliance_size,table_vcenter_appliance_cpu,2,FALSE),0)," CPUs ",": ",IF(sizing_w18_chosen="Included",VLOOKUP(sizing_w18_vcenter_appliance_size,table_vcenter_appliance_ram,2,FALSE),0)," GB")</f>
        <v>0 CPUs : 0 GB</v>
      </c>
      <c r="F53" s="109" t="s">
        <v>852</v>
      </c>
      <c r="G53" s="100" t="str">
        <f>CONCATENATE(IF(sizing_w18_chosen="Included",VLOOKUP(CONCATENATE(sizing_w18_vcenter_appliance_size,sizing_w18_vcenter_storage_size),table_vcenter_disk_gb,2,FALSE),0)," GB")</f>
        <v>0 GB</v>
      </c>
      <c r="H53" s="109" t="s">
        <v>2632</v>
      </c>
      <c r="I53" s="109" t="s">
        <v>751</v>
      </c>
      <c r="J53" s="441" t="str">
        <f>CONCATENATE(IF(AND(sizing_w18_chosen="Included",sizing_w18_nsxt_model&lt;&gt;"Shared"),VLOOKUP(sizing_w18_nsxt_appliance_size,table_nsxt_manager_cpu,2,FALSE),0)," CPUs : ",IF(AND(sizing_w18_chosen="Included",sizing_w18_nsxt_model&lt;&gt;"Shared"),VLOOKUP(sizing_w18_nsxt_appliance_size,table_nsxt_manager_ram,2,FALSE),0), " GB : ",IF(AND(sizing_w18_chosen="Included",sizing_w18_nsxt_model&lt;&gt;"Shared"),VLOOKUP(sizing_w18_nsxt_appliance_size,table_nsxt_manager_disk_gb,2,FALSE),0)," GB")</f>
        <v>0 CPUs : 0 GB : 0 GB</v>
      </c>
      <c r="K53" s="442"/>
      <c r="L53" s="102" t="s">
        <v>2480</v>
      </c>
      <c r="M53" s="347" t="s">
        <v>751</v>
      </c>
      <c r="N53" s="436" t="str">
        <f>CONCATENATE(IF(AND(sizing_w18_gm_chosen&lt;&gt;"Excluded",sizing_w18_gm_chosen&lt;&gt;"Connect Instance"),VLOOKUP(sizing_w18_nsxt_gm_appliance_size,table_nsxt_manager_cpu,2,FALSE),0)," CPUs : ",IF(AND(sizing_w18_gm_chosen&lt;&gt;"Excluded",sizing_w18_gm_chosen&lt;&gt;"Connect Instance"),VLOOKUP(sizing_w18_nsxt_gm_appliance_size,table_nsxt_manager_ram,2,FALSE),0)," GB : ",IF(AND(sizing_w18_gm_chosen&lt;&gt;"Excluded",sizing_w18_gm_chosen&lt;&gt;"Connect Instance"),VLOOKUP(sizing_w18_nsxt_gm_appliance_size,table_nsxt_manager_disk_gb,2,FALSE),0)," GB")</f>
        <v>0 CPUs : 0 GB : 0 GB</v>
      </c>
      <c r="O53" s="437"/>
      <c r="P53" s="102" t="s">
        <v>13</v>
      </c>
      <c r="Q53" s="420" t="str">
        <f>(CONCATENATE(IF(AND(sizing_w18_chosen="Included",sizing_w18_spr_chosen="Include"),VLOOKUP(wld_srm_vm_size_chosen,table_srm_cpu,2,FALSE),0)," CPUs :",IF(AND(sizing_w18_chosen="Included",sizing_w18_spr_chosen="Include"),VLOOKUP(wld_srm_vm_size_chosen,table_srm_ram,2,FALSE),0)," GB : ",IF(AND(sizing_w18_chosen="Included",sizing_w18_spr_chosen="Include"),VLOOKUP(wld_srm_vm_size_chosen,table_srm_disk,2,FALSE),0)," GB"))</f>
        <v>0 CPUs :0 GB : 0 GB</v>
      </c>
      <c r="R53" s="420"/>
      <c r="S53" s="102" t="s">
        <v>2480</v>
      </c>
      <c r="T53" s="420" t="str">
        <f>CONCATENATE(IF(AND(sizing_w18_chosen="Included",sizing_w18_avi_appliance_size&lt;&gt;"Excluded"),VLOOKUP(sizing_w18_avi_appliance_size,table_avi_lb_cpu,2,FALSE),0), " CPUs : ",IF(AND(sizing_w18_chosen="Included",sizing_w18_avi_appliance_size&lt;&gt;"Excluded"),VLOOKUP(sizing_w18_avi_appliance_size,table_avi_lb_ram,2,FALSE),0), " GB : ",IF(AND(sizing_w18_chosen="Included",sizing_w18_avi_appliance_size&lt;&gt;"Excluded"),VLOOKUP(sizing_w18_avi_appliance_size,table_avi_lb_disk,2,FALSE),0)," GB")</f>
        <v>0 CPUs : 0 GB : 0 GB</v>
      </c>
      <c r="U53" s="430"/>
      <c r="V53" s="347" t="s">
        <v>2480</v>
      </c>
      <c r="W53" s="337" t="str">
        <f>CONCATENATE(IF(sizing_w18_ssp_chosen&lt;&gt;"Excluded",VLOOKUP(sizing_w18_ssp_chosen,table_ssp_cpu,2,FALSE),0)," CPUs : ",IF(sizing_w18_ssp_chosen&lt;&gt;"Excluded",VLOOKUP(sizing_w18_ssp_chosen,table_ssp_ram,2,FALSE),0), " GB : ",IF(sizing_w18_ssp_chosen&lt;&gt;"Excluded",VLOOKUP(sizing_w18_ssp_chosen,table_ssp_disk,2,FALSE),0)," GB")</f>
        <v>0 CPUs : 0 GB : 0 GB</v>
      </c>
      <c r="X53" s="410" t="str">
        <f>IF(sizing_w18_chosen="Included",CONCATENATE("vCenter:",VLOOKUP(sizing_w18_vcenter_appliance_size,vcenter_sizing_limits,2,FALSE)," | NSX LM ",VLOOKUP(sizing_w18_nsxt_appliance_size,nsx_sizing_limits,2,FALSE)),"")</f>
        <v/>
      </c>
      <c r="Y53" s="411"/>
      <c r="Z53" s="411"/>
      <c r="AA53" s="411"/>
      <c r="AB53" s="412"/>
    </row>
    <row r="54" spans="1:28" ht="20.05" customHeight="1" x14ac:dyDescent="0.45">
      <c r="B54" s="331" t="s">
        <v>4003</v>
      </c>
      <c r="C54" s="111" t="s">
        <v>2480</v>
      </c>
      <c r="D54" s="109" t="s">
        <v>93</v>
      </c>
      <c r="E54" s="100" t="str">
        <f>CONCATENATE(IF(sizing_w19_chosen="Included",VLOOKUP(sizing_w19_vcenter_appliance_size,table_vcenter_appliance_cpu,2,FALSE),0)," CPUs ",": ",IF(sizing_w19_chosen="Included",VLOOKUP(sizing_w19_vcenter_appliance_size,table_vcenter_appliance_ram,2,FALSE),0)," GB")</f>
        <v>0 CPUs : 0 GB</v>
      </c>
      <c r="F54" s="109" t="s">
        <v>852</v>
      </c>
      <c r="G54" s="100" t="str">
        <f>CONCATENATE(IF(sizing_w19_chosen="Included",VLOOKUP(CONCATENATE(sizing_w19_vcenter_appliance_size,sizing_w19_vcenter_storage_size),table_vcenter_disk_gb,2,FALSE),0)," GB")</f>
        <v>0 GB</v>
      </c>
      <c r="H54" s="109" t="s">
        <v>2632</v>
      </c>
      <c r="I54" s="109" t="s">
        <v>751</v>
      </c>
      <c r="J54" s="441" t="str">
        <f>CONCATENATE(IF(AND(sizing_w19_chosen="Included",sizing_w19_nsxt_model&lt;&gt;"Shared"),VLOOKUP(sizing_w19_nsxt_appliance_size,table_nsxt_manager_cpu,2,FALSE),0)," CPUs : ",IF(AND(sizing_w19_chosen="Included",sizing_w19_nsxt_model&lt;&gt;"Shared"),VLOOKUP(sizing_w19_nsxt_appliance_size,table_nsxt_manager_ram,2,FALSE),0), " GB : ",IF(AND(sizing_w19_chosen="Included",sizing_w19_nsxt_model&lt;&gt;"Shared"),VLOOKUP(sizing_w19_nsxt_appliance_size,table_nsxt_manager_disk_gb,2,FALSE),0)," GB")</f>
        <v>0 CPUs : 0 GB : 0 GB</v>
      </c>
      <c r="K54" s="442"/>
      <c r="L54" s="102" t="s">
        <v>2480</v>
      </c>
      <c r="M54" s="347" t="s">
        <v>751</v>
      </c>
      <c r="N54" s="436" t="str">
        <f>CONCATENATE(IF(AND(sizing_w19_gm_chosen&lt;&gt;"Excluded",sizing_w19_gm_chosen&lt;&gt;"Connect Instance"),VLOOKUP(sizing_w19_nsxt_gm_appliance_size,table_nsxt_manager_cpu,2,FALSE),0)," CPUs : ",IF(AND(sizing_w19_gm_chosen&lt;&gt;"Excluded",sizing_w19_gm_chosen&lt;&gt;"Connect Instance"),VLOOKUP(sizing_w19_nsxt_gm_appliance_size,table_nsxt_manager_ram,2,FALSE),0)," GB : ",IF(AND(sizing_w19_gm_chosen&lt;&gt;"Excluded",sizing_w19_gm_chosen&lt;&gt;"Connect Instance"),VLOOKUP(sizing_w19_nsxt_gm_appliance_size,table_nsxt_manager_disk_gb,2,FALSE),0)," GB")</f>
        <v>0 CPUs : 0 GB : 0 GB</v>
      </c>
      <c r="O54" s="437"/>
      <c r="P54" s="102" t="s">
        <v>13</v>
      </c>
      <c r="Q54" s="420" t="str">
        <f>(CONCATENATE(IF(AND(sizing_w19_chosen="Included",sizing_w19_spr_chosen="Include"),VLOOKUP(wld_srm_vm_size_chosen,table_srm_cpu,2,FALSE),0)," CPUs :",IF(AND(sizing_w19_chosen="Included",sizing_w19_spr_chosen="Include"),VLOOKUP(wld_srm_vm_size_chosen,table_srm_ram,2,FALSE),0)," GB : ",IF(AND(sizing_w19_chosen="Included",sizing_w19_spr_chosen="Include"),VLOOKUP(wld_srm_vm_size_chosen,table_srm_disk,2,FALSE),0)," GB"))</f>
        <v>0 CPUs :0 GB : 0 GB</v>
      </c>
      <c r="R54" s="420"/>
      <c r="S54" s="102" t="s">
        <v>2480</v>
      </c>
      <c r="T54" s="420" t="str">
        <f>CONCATENATE(IF(AND(sizing_w19_chosen="Included",sizing_w19_avi_appliance_size&lt;&gt;"Excluded"),VLOOKUP(sizing_w19_avi_appliance_size,table_avi_lb_cpu,2,FALSE),0), " CPUs : ",IF(AND(sizing_w19_chosen="Included",sizing_w19_avi_appliance_size&lt;&gt;"Excluded"),VLOOKUP(sizing_w19_avi_appliance_size,table_avi_lb_ram,2,FALSE),0), " GB : ",IF(AND(sizing_w19_chosen="Included",sizing_w19_avi_appliance_size&lt;&gt;"Excluded"),VLOOKUP(sizing_w19_avi_appliance_size,table_avi_lb_disk,2,FALSE),0)," GB")</f>
        <v>0 CPUs : 0 GB : 0 GB</v>
      </c>
      <c r="U54" s="430"/>
      <c r="V54" s="347" t="s">
        <v>2480</v>
      </c>
      <c r="W54" s="337" t="str">
        <f>CONCATENATE(IF(sizing_w19_ssp_chosen&lt;&gt;"Excluded",VLOOKUP(sizing_w19_ssp_chosen,table_ssp_cpu,2,FALSE),0)," CPUs : ",IF(sizing_w19_ssp_chosen&lt;&gt;"Excluded",VLOOKUP(sizing_w19_ssp_chosen,table_ssp_ram,2,FALSE),0), " GB : ",IF(sizing_w19_ssp_chosen&lt;&gt;"Excluded",VLOOKUP(sizing_w19_ssp_chosen,table_ssp_disk,2,FALSE),0)," GB")</f>
        <v>0 CPUs : 0 GB : 0 GB</v>
      </c>
      <c r="X54" s="410" t="str">
        <f>IF(sizing_w19_chosen="Included",CONCATENATE("vCenter:",VLOOKUP(sizing_w19_vcenter_appliance_size,vcenter_sizing_limits,2,FALSE)," | NSX LM ",VLOOKUP(sizing_w19_nsxt_appliance_size,nsx_sizing_limits,2,FALSE)),"")</f>
        <v/>
      </c>
      <c r="Y54" s="411"/>
      <c r="Z54" s="411"/>
      <c r="AA54" s="411"/>
      <c r="AB54" s="412"/>
    </row>
    <row r="55" spans="1:28" ht="20.05" customHeight="1" x14ac:dyDescent="0.45">
      <c r="B55" s="331" t="s">
        <v>4004</v>
      </c>
      <c r="C55" s="111" t="s">
        <v>2480</v>
      </c>
      <c r="D55" s="109" t="s">
        <v>93</v>
      </c>
      <c r="E55" s="100" t="str">
        <f>CONCATENATE(IF(sizing_w20_chosen="Included",VLOOKUP(sizing_w20_vcenter_appliance_size,table_vcenter_appliance_cpu,2,FALSE),0)," CPUs ",": ",IF(sizing_w20_chosen="Included",VLOOKUP(sizing_w20_vcenter_appliance_size,table_vcenter_appliance_ram,2,FALSE),0)," GB")</f>
        <v>0 CPUs : 0 GB</v>
      </c>
      <c r="F55" s="109" t="s">
        <v>852</v>
      </c>
      <c r="G55" s="100" t="str">
        <f>CONCATENATE(IF(sizing_w20_chosen="Included",VLOOKUP(CONCATENATE(sizing_w20_vcenter_appliance_size,sizing_w20_vcenter_storage_size),table_vcenter_disk_gb,2,FALSE),0)," GB")</f>
        <v>0 GB</v>
      </c>
      <c r="H55" s="109" t="s">
        <v>2632</v>
      </c>
      <c r="I55" s="109" t="s">
        <v>751</v>
      </c>
      <c r="J55" s="441" t="str">
        <f>CONCATENATE(IF(AND(sizing_w20_chosen="Included",sizing_w20_nsxt_model&lt;&gt;"Shared"),VLOOKUP(sizing_w20_nsxt_appliance_size,table_nsxt_manager_cpu,2,FALSE),0)," CPUs : ",IF(AND(sizing_w20_chosen="Included",sizing_w20_nsxt_model&lt;&gt;"Shared"),VLOOKUP(sizing_w20_nsxt_appliance_size,table_nsxt_manager_ram,2,FALSE),0), " GB : ",IF(AND(sizing_w20_chosen="Included",sizing_w20_nsxt_model&lt;&gt;"Shared"),VLOOKUP(sizing_w20_nsxt_appliance_size,table_nsxt_manager_disk_gb,2,FALSE),0)," GB")</f>
        <v>0 CPUs : 0 GB : 0 GB</v>
      </c>
      <c r="K55" s="442"/>
      <c r="L55" s="102" t="s">
        <v>2480</v>
      </c>
      <c r="M55" s="347" t="s">
        <v>751</v>
      </c>
      <c r="N55" s="436" t="str">
        <f>CONCATENATE(IF(AND(sizing_w20_gm_chosen&lt;&gt;"Excluded",sizing_w20_gm_chosen&lt;&gt;"Connect Instance"),VLOOKUP(sizing_w20_nsxt_gm_appliance_size,table_nsxt_manager_cpu,2,FALSE),0)," CPUs : ",IF(AND(sizing_w20_gm_chosen&lt;&gt;"Excluded",sizing_w20_gm_chosen&lt;&gt;"Connect Instance"),VLOOKUP(sizing_w20_nsxt_gm_appliance_size,table_nsxt_manager_ram,2,FALSE),0)," GB : ",IF(AND(sizing_w20_gm_chosen&lt;&gt;"Excluded",sizing_w20_gm_chosen&lt;&gt;"Connect Instance"),VLOOKUP(sizing_w20_nsxt_gm_appliance_size,table_nsxt_manager_disk_gb,2,FALSE),0)," GB")</f>
        <v>0 CPUs : 0 GB : 0 GB</v>
      </c>
      <c r="O55" s="437"/>
      <c r="P55" s="102" t="s">
        <v>13</v>
      </c>
      <c r="Q55" s="420" t="str">
        <f>(CONCATENATE(IF(AND(sizing_w20_chosen="Included",sizing_w20_spr_chosen="Include"),VLOOKUP(wld_srm_vm_size_chosen,table_srm_cpu,2,FALSE),0)," CPUs :",IF(AND(sizing_w20_chosen="Included",sizing_w20_spr_chosen="Include"),VLOOKUP(wld_srm_vm_size_chosen,table_srm_ram,2,FALSE),0)," GB : ",IF(AND(sizing_w20_chosen="Included",sizing_w20_spr_chosen="Include"),VLOOKUP(wld_srm_vm_size_chosen,table_srm_disk,2,FALSE),0)," GB"))</f>
        <v>0 CPUs :0 GB : 0 GB</v>
      </c>
      <c r="R55" s="420"/>
      <c r="S55" s="102" t="s">
        <v>2480</v>
      </c>
      <c r="T55" s="420" t="str">
        <f>CONCATENATE(IF(AND(sizing_w20_chosen="Included",sizing_w20_avi_appliance_size&lt;&gt;"Excluded"),VLOOKUP(sizing_w20_avi_appliance_size,table_avi_lb_cpu,2,FALSE),0), " CPUs : ",IF(AND(sizing_w20_chosen="Included",sizing_w20_avi_appliance_size&lt;&gt;"Excluded"),VLOOKUP(sizing_w20_avi_appliance_size,table_avi_lb_ram,2,FALSE),0), " GB : ",IF(AND(sizing_w20_chosen="Included",sizing_w20_avi_appliance_size&lt;&gt;"Excluded"),VLOOKUP(sizing_w20_avi_appliance_size,table_avi_lb_disk,2,FALSE),0)," GB")</f>
        <v>0 CPUs : 0 GB : 0 GB</v>
      </c>
      <c r="U55" s="430"/>
      <c r="V55" s="347" t="s">
        <v>2480</v>
      </c>
      <c r="W55" s="337" t="str">
        <f>CONCATENATE(IF(sizing_w20_ssp_chosen&lt;&gt;"Excluded",VLOOKUP(sizing_w20_ssp_chosen,table_ssp_cpu,2,FALSE),0)," CPUs : ",IF(sizing_w20_ssp_chosen&lt;&gt;"Excluded",VLOOKUP(sizing_w20_ssp_chosen,table_ssp_ram,2,FALSE),0), " GB : ",IF(sizing_w20_ssp_chosen&lt;&gt;"Excluded",VLOOKUP(sizing_w20_ssp_chosen,table_ssp_disk,2,FALSE),0)," GB")</f>
        <v>0 CPUs : 0 GB : 0 GB</v>
      </c>
      <c r="X55" s="410" t="str">
        <f>IF(sizing_w20_chosen="Included",CONCATENATE("vCenter:",VLOOKUP(sizing_w20_vcenter_appliance_size,vcenter_sizing_limits,2,FALSE)," | NSX LM ",VLOOKUP(sizing_w20_nsxt_appliance_size,nsx_sizing_limits,2,FALSE)),"")</f>
        <v/>
      </c>
      <c r="Y55" s="411"/>
      <c r="Z55" s="411"/>
      <c r="AA55" s="411"/>
      <c r="AB55" s="412"/>
    </row>
    <row r="56" spans="1:28" ht="20.05" customHeight="1" x14ac:dyDescent="0.45">
      <c r="B56" s="331" t="s">
        <v>4005</v>
      </c>
      <c r="C56" s="111" t="s">
        <v>2480</v>
      </c>
      <c r="D56" s="109" t="s">
        <v>93</v>
      </c>
      <c r="E56" s="100" t="str">
        <f>CONCATENATE(IF(sizing_w21_chosen="Included",VLOOKUP(sizing_w21_vcenter_appliance_size,table_vcenter_appliance_cpu,2,FALSE),0)," CPUs ",": ",IF(sizing_w21_chosen="Included",VLOOKUP(sizing_w21_vcenter_appliance_size,table_vcenter_appliance_ram,2,FALSE),0)," GB")</f>
        <v>0 CPUs : 0 GB</v>
      </c>
      <c r="F56" s="109" t="s">
        <v>852</v>
      </c>
      <c r="G56" s="100" t="str">
        <f>CONCATENATE(IF(sizing_w21_chosen="Included",VLOOKUP(CONCATENATE(sizing_w21_vcenter_appliance_size,sizing_w21_vcenter_storage_size),table_vcenter_disk_gb,2,FALSE),0)," GB")</f>
        <v>0 GB</v>
      </c>
      <c r="H56" s="109" t="s">
        <v>2632</v>
      </c>
      <c r="I56" s="109" t="s">
        <v>751</v>
      </c>
      <c r="J56" s="441" t="str">
        <f>CONCATENATE(IF(AND(sizing_w21_chosen="Included",sizing_w21_nsxt_model&lt;&gt;"Shared"),VLOOKUP(sizing_w21_nsxt_appliance_size,table_nsxt_manager_cpu,2,FALSE),0)," CPUs : ",IF(AND(sizing_w21_chosen="Included",sizing_w21_nsxt_model&lt;&gt;"Shared"),VLOOKUP(sizing_w21_nsxt_appliance_size,table_nsxt_manager_ram,2,FALSE),0), " GB : ",IF(AND(sizing_w21_chosen="Included",sizing_w21_nsxt_model&lt;&gt;"Shared"),VLOOKUP(sizing_w21_nsxt_appliance_size,table_nsxt_manager_disk_gb,2,FALSE),0)," GB")</f>
        <v>0 CPUs : 0 GB : 0 GB</v>
      </c>
      <c r="K56" s="442"/>
      <c r="L56" s="102" t="s">
        <v>2480</v>
      </c>
      <c r="M56" s="347" t="s">
        <v>751</v>
      </c>
      <c r="N56" s="436" t="str">
        <f>CONCATENATE(IF(AND(sizing_w21_gm_chosen&lt;&gt;"Excluded",sizing_w21_gm_chosen&lt;&gt;"Connect Instance"),VLOOKUP(sizing_w21_nsxt_gm_appliance_size,table_nsxt_manager_cpu,2,FALSE),0)," CPUs : ",IF(AND(sizing_w21_gm_chosen&lt;&gt;"Excluded",sizing_w21_gm_chosen&lt;&gt;"Connect Instance"),VLOOKUP(sizing_w21_nsxt_gm_appliance_size,table_nsxt_manager_ram,2,FALSE),0)," GB : ",IF(AND(sizing_w21_gm_chosen&lt;&gt;"Excluded",sizing_w21_gm_chosen&lt;&gt;"Connect Instance"),VLOOKUP(sizing_w21_nsxt_gm_appliance_size,table_nsxt_manager_disk_gb,2,FALSE),0)," GB")</f>
        <v>0 CPUs : 0 GB : 0 GB</v>
      </c>
      <c r="O56" s="437"/>
      <c r="P56" s="102" t="s">
        <v>13</v>
      </c>
      <c r="Q56" s="420" t="str">
        <f>(CONCATENATE(IF(AND(sizing_w21_chosen="Included",sizing_w21_spr_chosen="Include"),VLOOKUP(wld_srm_vm_size_chosen,table_srm_cpu,2,FALSE),0)," CPUs :",IF(AND(sizing_w21_chosen="Included",sizing_w21_spr_chosen="Include"),VLOOKUP(wld_srm_vm_size_chosen,table_srm_ram,2,FALSE),0)," GB : ",IF(AND(sizing_w21_chosen="Included",sizing_w21_spr_chosen="Include"),VLOOKUP(wld_srm_vm_size_chosen,table_srm_disk,2,FALSE),0)," GB"))</f>
        <v>0 CPUs :0 GB : 0 GB</v>
      </c>
      <c r="R56" s="420"/>
      <c r="S56" s="102" t="s">
        <v>2480</v>
      </c>
      <c r="T56" s="420" t="str">
        <f>CONCATENATE(IF(AND(sizing_w21_chosen="Included",sizing_w21_avi_appliance_size&lt;&gt;"Excluded"),VLOOKUP(sizing_w21_avi_appliance_size,table_avi_lb_cpu,2,FALSE),0), " CPUs : ",IF(AND(sizing_w21_chosen="Included",sizing_w21_avi_appliance_size&lt;&gt;"Excluded"),VLOOKUP(sizing_w21_avi_appliance_size,table_avi_lb_ram,2,FALSE),0), " GB : ",IF(AND(sizing_w21_chosen="Included",sizing_w21_avi_appliance_size&lt;&gt;"Excluded"),VLOOKUP(sizing_w21_avi_appliance_size,table_avi_lb_disk,2,FALSE),0)," GB")</f>
        <v>0 CPUs : 0 GB : 0 GB</v>
      </c>
      <c r="U56" s="430"/>
      <c r="V56" s="347" t="s">
        <v>2480</v>
      </c>
      <c r="W56" s="337" t="str">
        <f>CONCATENATE(IF(sizing_w21_ssp_chosen&lt;&gt;"Excluded",VLOOKUP(sizing_w21_ssp_chosen,table_ssp_cpu,2,FALSE),0)," CPUs : ",IF(sizing_w21_ssp_chosen&lt;&gt;"Excluded",VLOOKUP(sizing_w21_ssp_chosen,table_ssp_ram,2,FALSE),0), " GB : ",IF(sizing_w21_ssp_chosen&lt;&gt;"Excluded",VLOOKUP(sizing_w21_ssp_chosen,table_ssp_disk,2,FALSE),0)," GB")</f>
        <v>0 CPUs : 0 GB : 0 GB</v>
      </c>
      <c r="X56" s="410" t="str">
        <f>IF(sizing_w21_chosen="Included",CONCATENATE("vCenter:",VLOOKUP(sizing_w21_vcenter_appliance_size,vcenter_sizing_limits,2,FALSE)," | NSX LM ",VLOOKUP(sizing_w21_nsxt_appliance_size,nsx_sizing_limits,2,FALSE)),"")</f>
        <v/>
      </c>
      <c r="Y56" s="411"/>
      <c r="Z56" s="411"/>
      <c r="AA56" s="411"/>
      <c r="AB56" s="412"/>
    </row>
    <row r="57" spans="1:28" ht="20.05" customHeight="1" x14ac:dyDescent="0.45">
      <c r="B57" s="331" t="s">
        <v>4006</v>
      </c>
      <c r="C57" s="111" t="s">
        <v>2480</v>
      </c>
      <c r="D57" s="109" t="s">
        <v>93</v>
      </c>
      <c r="E57" s="100" t="str">
        <f>CONCATENATE(IF(sizing_w22_chosen="Included",VLOOKUP(sizing_w22_vcenter_appliance_size,table_vcenter_appliance_cpu,2,FALSE),0)," CPUs ",": ",IF(sizing_w22_chosen="Included",VLOOKUP(sizing_w22_vcenter_appliance_size,table_vcenter_appliance_ram,2,FALSE),0)," GB")</f>
        <v>0 CPUs : 0 GB</v>
      </c>
      <c r="F57" s="109" t="s">
        <v>852</v>
      </c>
      <c r="G57" s="100" t="str">
        <f>CONCATENATE(IF(sizing_w22_chosen="Included",VLOOKUP(CONCATENATE(sizing_w22_vcenter_appliance_size,sizing_w22_vcenter_storage_size),table_vcenter_disk_gb,2,FALSE),0)," GB")</f>
        <v>0 GB</v>
      </c>
      <c r="H57" s="109" t="s">
        <v>2632</v>
      </c>
      <c r="I57" s="109" t="s">
        <v>751</v>
      </c>
      <c r="J57" s="441" t="str">
        <f>CONCATENATE(IF(AND(sizing_w22_chosen="Included",sizing_w22_nsxt_model&lt;&gt;"Shared"),VLOOKUP(sizing_w22_nsxt_appliance_size,table_nsxt_manager_cpu,2,FALSE),0)," CPUs : ",IF(AND(sizing_w22_chosen="Included",sizing_w22_nsxt_model&lt;&gt;"Shared"),VLOOKUP(sizing_w22_nsxt_appliance_size,table_nsxt_manager_ram,2,FALSE),0), " GB : ",IF(AND(sizing_w22_chosen="Included",sizing_w22_nsxt_model&lt;&gt;"Shared"),VLOOKUP(sizing_w22_nsxt_appliance_size,table_nsxt_manager_disk_gb,2,FALSE),0)," GB")</f>
        <v>0 CPUs : 0 GB : 0 GB</v>
      </c>
      <c r="K57" s="442"/>
      <c r="L57" s="102" t="s">
        <v>2480</v>
      </c>
      <c r="M57" s="347" t="s">
        <v>751</v>
      </c>
      <c r="N57" s="436" t="str">
        <f>CONCATENATE(IF(AND(sizing_w22_gm_chosen&lt;&gt;"Excluded",sizing_w22_gm_chosen&lt;&gt;"Connect Instance"),VLOOKUP(sizing_w22_nsxt_gm_appliance_size,table_nsxt_manager_cpu,2,FALSE),0)," CPUs : ",IF(AND(sizing_w22_gm_chosen&lt;&gt;"Excluded",sizing_w22_gm_chosen&lt;&gt;"Connect Instance"),VLOOKUP(sizing_w22_nsxt_gm_appliance_size,table_nsxt_manager_ram,2,FALSE),0)," GB : ",IF(AND(sizing_w22_gm_chosen&lt;&gt;"Excluded",sizing_w22_gm_chosen&lt;&gt;"Connect Instance"),VLOOKUP(sizing_w22_nsxt_gm_appliance_size,table_nsxt_manager_disk_gb,2,FALSE),0)," GB")</f>
        <v>0 CPUs : 0 GB : 0 GB</v>
      </c>
      <c r="O57" s="437"/>
      <c r="P57" s="102" t="s">
        <v>13</v>
      </c>
      <c r="Q57" s="420" t="str">
        <f>(CONCATENATE(IF(AND(sizing_w22_chosen="Included",sizing_w22_spr_chosen="Include"),VLOOKUP(wld_srm_vm_size_chosen,table_srm_cpu,2,FALSE),0)," CPUs :",IF(AND(sizing_w22_chosen="Included",sizing_w22_spr_chosen="Include"),VLOOKUP(wld_srm_vm_size_chosen,table_srm_ram,2,FALSE),0)," GB : ",IF(AND(sizing_w22_chosen="Included",sizing_w22_spr_chosen="Include"),VLOOKUP(wld_srm_vm_size_chosen,table_srm_disk,2,FALSE),0)," GB"))</f>
        <v>0 CPUs :0 GB : 0 GB</v>
      </c>
      <c r="R57" s="420"/>
      <c r="S57" s="102" t="s">
        <v>2480</v>
      </c>
      <c r="T57" s="420" t="str">
        <f>CONCATENATE(IF(AND(sizing_w22_chosen="Included",sizing_w22_avi_appliance_size&lt;&gt;"Excluded"),VLOOKUP(sizing_w22_avi_appliance_size,table_avi_lb_cpu,2,FALSE),0), " CPUs : ",IF(AND(sizing_w22_chosen="Included",sizing_w22_avi_appliance_size&lt;&gt;"Excluded"),VLOOKUP(sizing_w22_avi_appliance_size,table_avi_lb_ram,2,FALSE),0), " GB : ",IF(AND(sizing_w22_chosen="Included",sizing_w22_avi_appliance_size&lt;&gt;"Excluded"),VLOOKUP(sizing_w22_avi_appliance_size,table_avi_lb_disk,2,FALSE),0)," GB")</f>
        <v>0 CPUs : 0 GB : 0 GB</v>
      </c>
      <c r="U57" s="430"/>
      <c r="V57" s="347" t="s">
        <v>2480</v>
      </c>
      <c r="W57" s="337" t="str">
        <f>CONCATENATE(IF(sizing_w22_ssp_chosen&lt;&gt;"Excluded",VLOOKUP(sizing_w22_ssp_chosen,table_ssp_cpu,2,FALSE),0)," CPUs : ",IF(sizing_w22_ssp_chosen&lt;&gt;"Excluded",VLOOKUP(sizing_w22_ssp_chosen,table_ssp_ram,2,FALSE),0), " GB : ",IF(sizing_w22_ssp_chosen&lt;&gt;"Excluded",VLOOKUP(sizing_w22_ssp_chosen,table_ssp_disk,2,FALSE),0)," GB")</f>
        <v>0 CPUs : 0 GB : 0 GB</v>
      </c>
      <c r="X57" s="410" t="str">
        <f>IF(sizing_w22_chosen="Included",CONCATENATE("vCenter:",VLOOKUP(sizing_w22_vcenter_appliance_size,vcenter_sizing_limits,2,FALSE)," | NSX LM ",VLOOKUP(sizing_w22_nsxt_appliance_size,nsx_sizing_limits,2,FALSE)),"")</f>
        <v/>
      </c>
      <c r="Y57" s="411"/>
      <c r="Z57" s="411"/>
      <c r="AA57" s="411"/>
      <c r="AB57" s="412"/>
    </row>
    <row r="58" spans="1:28" ht="20.05" customHeight="1" x14ac:dyDescent="0.45">
      <c r="B58" s="331" t="s">
        <v>4007</v>
      </c>
      <c r="C58" s="111" t="s">
        <v>2480</v>
      </c>
      <c r="D58" s="109" t="s">
        <v>93</v>
      </c>
      <c r="E58" s="100" t="str">
        <f>CONCATENATE(IF(sizing_w23_chosen="Included",VLOOKUP(sizing_w23_vcenter_appliance_size,table_vcenter_appliance_cpu,2,FALSE),0)," CPUs ",": ",IF(sizing_w23_chosen="Included",VLOOKUP(sizing_w23_vcenter_appliance_size,table_vcenter_appliance_ram,2,FALSE),0)," GB")</f>
        <v>0 CPUs : 0 GB</v>
      </c>
      <c r="F58" s="109" t="s">
        <v>852</v>
      </c>
      <c r="G58" s="100" t="str">
        <f>CONCATENATE(IF(sizing_w23_chosen="Included",VLOOKUP(CONCATENATE(sizing_w23_vcenter_appliance_size,sizing_w23_vcenter_storage_size),table_vcenter_disk_gb,2,FALSE),0)," GB")</f>
        <v>0 GB</v>
      </c>
      <c r="H58" s="109" t="s">
        <v>2632</v>
      </c>
      <c r="I58" s="109" t="s">
        <v>751</v>
      </c>
      <c r="J58" s="441" t="str">
        <f>CONCATENATE(IF(AND(sizing_w23_chosen="Included",sizing_w23_nsxt_model&lt;&gt;"Shared"),VLOOKUP(sizing_w23_nsxt_appliance_size,table_nsxt_manager_cpu,2,FALSE),0)," CPUs : ",IF(AND(sizing_w23_chosen="Included",sizing_w23_nsxt_model&lt;&gt;"Shared"),VLOOKUP(sizing_w23_nsxt_appliance_size,table_nsxt_manager_ram,2,FALSE),0), " GB : ",IF(AND(sizing_w23_chosen="Included",sizing_w23_nsxt_model&lt;&gt;"Shared"),VLOOKUP(sizing_w23_nsxt_appliance_size,table_nsxt_manager_disk_gb,2,FALSE),0)," GB")</f>
        <v>0 CPUs : 0 GB : 0 GB</v>
      </c>
      <c r="K58" s="442"/>
      <c r="L58" s="102" t="s">
        <v>2480</v>
      </c>
      <c r="M58" s="347" t="s">
        <v>751</v>
      </c>
      <c r="N58" s="436" t="str">
        <f>CONCATENATE(IF(AND(sizing_w23_gm_chosen&lt;&gt;"Excluded",sizing_w23_gm_chosen&lt;&gt;"Connect Instance"),VLOOKUP(sizing_w23_nsxt_gm_appliance_size,table_nsxt_manager_cpu,2,FALSE),0)," CPUs : ",IF(AND(sizing_w23_gm_chosen&lt;&gt;"Excluded",sizing_w23_gm_chosen&lt;&gt;"Connect Instance"),VLOOKUP(sizing_w23_nsxt_gm_appliance_size,table_nsxt_manager_ram,2,FALSE),0)," GB : ",IF(AND(sizing_w23_gm_chosen&lt;&gt;"Excluded",sizing_w23_gm_chosen&lt;&gt;"Connect Instance"),VLOOKUP(sizing_w23_nsxt_gm_appliance_size,table_nsxt_manager_disk_gb,2,FALSE),0)," GB")</f>
        <v>0 CPUs : 0 GB : 0 GB</v>
      </c>
      <c r="O58" s="437"/>
      <c r="P58" s="102" t="s">
        <v>13</v>
      </c>
      <c r="Q58" s="420" t="str">
        <f>(CONCATENATE(IF(AND(sizing_w23_chosen="Included",sizing_w23_spr_chosen="Include"),VLOOKUP(wld_srm_vm_size_chosen,table_srm_cpu,2,FALSE),0)," CPUs :",IF(AND(sizing_w23_chosen="Included",sizing_w23_spr_chosen="Include"),VLOOKUP(wld_srm_vm_size_chosen,table_srm_ram,2,FALSE),0)," GB : ",IF(AND(sizing_w23_chosen="Included",sizing_w23_spr_chosen="Include"),VLOOKUP(wld_srm_vm_size_chosen,table_srm_disk,2,FALSE),0)," GB"))</f>
        <v>0 CPUs :0 GB : 0 GB</v>
      </c>
      <c r="R58" s="420"/>
      <c r="S58" s="102" t="s">
        <v>2480</v>
      </c>
      <c r="T58" s="420" t="str">
        <f>CONCATENATE(IF(AND(sizing_w23_chosen="Included",sizing_w23_avi_appliance_size&lt;&gt;"Excluded"),VLOOKUP(sizing_w23_avi_appliance_size,table_avi_lb_cpu,2,FALSE),0), " CPUs : ",IF(AND(sizing_w23_chosen="Included",sizing_w23_avi_appliance_size&lt;&gt;"Excluded"),VLOOKUP(sizing_w23_avi_appliance_size,table_avi_lb_ram,2,FALSE),0), " GB : ",IF(AND(sizing_w23_chosen="Included",sizing_w23_avi_appliance_size&lt;&gt;"Excluded"),VLOOKUP(sizing_w23_avi_appliance_size,table_avi_lb_disk,2,FALSE),0)," GB")</f>
        <v>0 CPUs : 0 GB : 0 GB</v>
      </c>
      <c r="U58" s="430"/>
      <c r="V58" s="347" t="s">
        <v>2480</v>
      </c>
      <c r="W58" s="337" t="str">
        <f>CONCATENATE(IF(sizing_w23_ssp_chosen&lt;&gt;"Excluded",VLOOKUP(sizing_w23_ssp_chosen,table_ssp_cpu,2,FALSE),0)," CPUs : ",IF(sizing_w23_ssp_chosen&lt;&gt;"Excluded",VLOOKUP(sizing_w23_ssp_chosen,table_ssp_ram,2,FALSE),0), " GB : ",IF(sizing_w23_ssp_chosen&lt;&gt;"Excluded",VLOOKUP(sizing_w23_ssp_chosen,table_ssp_disk,2,FALSE),0)," GB")</f>
        <v>0 CPUs : 0 GB : 0 GB</v>
      </c>
      <c r="X58" s="410" t="str">
        <f>IF(sizing_w23_chosen="Included",CONCATENATE("vCenter:",VLOOKUP(sizing_w23_vcenter_appliance_size,vcenter_sizing_limits,2,FALSE)," | NSX LM ",VLOOKUP(sizing_w23_nsxt_appliance_size,nsx_sizing_limits,2,FALSE)),"")</f>
        <v/>
      </c>
      <c r="Y58" s="411"/>
      <c r="Z58" s="411"/>
      <c r="AA58" s="411"/>
      <c r="AB58" s="412"/>
    </row>
    <row r="59" spans="1:28" ht="20.05" customHeight="1" x14ac:dyDescent="0.45">
      <c r="B59" s="331" t="s">
        <v>4008</v>
      </c>
      <c r="C59" s="111" t="s">
        <v>2480</v>
      </c>
      <c r="D59" s="109" t="s">
        <v>93</v>
      </c>
      <c r="E59" s="100" t="str">
        <f>CONCATENATE(IF(sizing_w24_chosen="Included",VLOOKUP(sizing_w24_vcenter_appliance_size,table_vcenter_appliance_cpu,2,FALSE),0)," CPUs ",": ",IF(sizing_w24_chosen="Included",VLOOKUP(sizing_w24_vcenter_appliance_size,table_vcenter_appliance_ram,2,FALSE),0)," GB")</f>
        <v>0 CPUs : 0 GB</v>
      </c>
      <c r="F59" s="109" t="s">
        <v>852</v>
      </c>
      <c r="G59" s="100" t="str">
        <f>CONCATENATE(IF(sizing_w24_chosen="Included",VLOOKUP(CONCATENATE(sizing_w24_vcenter_appliance_size,sizing_w24_vcenter_storage_size),table_vcenter_disk_gb,2,FALSE),0)," GB")</f>
        <v>0 GB</v>
      </c>
      <c r="H59" s="109" t="s">
        <v>2632</v>
      </c>
      <c r="I59" s="109" t="s">
        <v>751</v>
      </c>
      <c r="J59" s="441" t="str">
        <f>CONCATENATE(IF(AND(sizing_w24_chosen="Included",sizing_w24_nsxt_model&lt;&gt;"Shared"),VLOOKUP(sizing_w24_nsxt_appliance_size,table_nsxt_manager_cpu,2,FALSE),0)," CPUs : ",IF(AND(sizing_w24_chosen="Included",sizing_w24_nsxt_model&lt;&gt;"Shared"),VLOOKUP(sizing_w24_nsxt_appliance_size,table_nsxt_manager_ram,2,FALSE),0), " GB : ",IF(AND(sizing_w24_chosen="Included",sizing_w24_nsxt_model&lt;&gt;"Shared"),VLOOKUP(sizing_w24_nsxt_appliance_size,table_nsxt_manager_disk_gb,2,FALSE),0)," GB")</f>
        <v>0 CPUs : 0 GB : 0 GB</v>
      </c>
      <c r="K59" s="442"/>
      <c r="L59" s="102" t="s">
        <v>2480</v>
      </c>
      <c r="M59" s="347" t="s">
        <v>751</v>
      </c>
      <c r="N59" s="436" t="str">
        <f>CONCATENATE(IF(AND(sizing_w24_gm_chosen&lt;&gt;"Excluded",sizing_w24_gm_chosen&lt;&gt;"Connect Instance"),VLOOKUP(sizing_w24_nsxt_gm_appliance_size,table_nsxt_manager_cpu,2,FALSE),0)," CPUs : ",IF(AND(sizing_w24_gm_chosen&lt;&gt;"Excluded",sizing_w24_gm_chosen&lt;&gt;"Connect Instance"),VLOOKUP(sizing_w24_nsxt_gm_appliance_size,table_nsxt_manager_ram,2,FALSE),0)," GB : ",IF(AND(sizing_w24_gm_chosen&lt;&gt;"Excluded",sizing_w24_gm_chosen&lt;&gt;"Connect Instance"),VLOOKUP(sizing_w24_nsxt_gm_appliance_size,table_nsxt_manager_disk_gb,2,FALSE),0)," GB")</f>
        <v>0 CPUs : 0 GB : 0 GB</v>
      </c>
      <c r="O59" s="437"/>
      <c r="P59" s="102" t="s">
        <v>13</v>
      </c>
      <c r="Q59" s="420" t="str">
        <f>(CONCATENATE(IF(AND(sizing_w24_chosen="Included",sizing_w24_spr_chosen="Include"),VLOOKUP(wld_srm_vm_size_chosen,table_srm_cpu,2,FALSE),0)," CPUs :",IF(AND(sizing_w24_chosen="Included",sizing_w24_spr_chosen="Include"),VLOOKUP(wld_srm_vm_size_chosen,table_srm_ram,2,FALSE),0)," GB : ",IF(AND(sizing_w24_chosen="Included",sizing_w24_spr_chosen="Include"),VLOOKUP(wld_srm_vm_size_chosen,table_srm_disk,2,FALSE),0)," GB"))</f>
        <v>0 CPUs :0 GB : 0 GB</v>
      </c>
      <c r="R59" s="420"/>
      <c r="S59" s="102" t="s">
        <v>2480</v>
      </c>
      <c r="T59" s="420" t="str">
        <f>CONCATENATE(IF(AND(sizing_w24_chosen="Included",sizing_w24_avi_appliance_size&lt;&gt;"Excluded"),VLOOKUP(sizing_w24_avi_appliance_size,table_avi_lb_cpu,2,FALSE),0), " CPUs : ",IF(AND(sizing_w24_chosen="Included",sizing_w24_avi_appliance_size&lt;&gt;"Excluded"),VLOOKUP(sizing_w24_avi_appliance_size,table_avi_lb_ram,2,FALSE),0), " GB : ",IF(AND(sizing_w24_chosen="Included",sizing_w24_avi_appliance_size&lt;&gt;"Excluded"),VLOOKUP(sizing_w24_avi_appliance_size,table_avi_lb_disk,2,FALSE),0)," GB")</f>
        <v>0 CPUs : 0 GB : 0 GB</v>
      </c>
      <c r="U59" s="430"/>
      <c r="V59" s="347" t="s">
        <v>2480</v>
      </c>
      <c r="W59" s="337" t="str">
        <f>CONCATENATE(IF(sizing_w24_ssp_chosen&lt;&gt;"Excluded",VLOOKUP(sizing_w24_ssp_chosen,table_ssp_cpu,2,FALSE),0)," CPUs : ",IF(sizing_w24_ssp_chosen&lt;&gt;"Excluded",VLOOKUP(sizing_w24_ssp_chosen,table_ssp_ram,2,FALSE),0), " GB : ",IF(sizing_w24_ssp_chosen&lt;&gt;"Excluded",VLOOKUP(sizing_w24_ssp_chosen,table_ssp_disk,2,FALSE),0)," GB")</f>
        <v>0 CPUs : 0 GB : 0 GB</v>
      </c>
      <c r="X59" s="410" t="str">
        <f>IF(sizing_w24_chosen="Included",CONCATENATE("vCenter:",VLOOKUP(sizing_w24_vcenter_appliance_size,vcenter_sizing_limits,2,FALSE)," | NSX LM ",VLOOKUP(sizing_w24_nsxt_appliance_size,nsx_sizing_limits,2,FALSE)),"")</f>
        <v/>
      </c>
      <c r="Y59" s="411"/>
      <c r="Z59" s="411"/>
      <c r="AA59" s="411"/>
      <c r="AB59" s="412"/>
    </row>
    <row r="60" spans="1:28" ht="20.05" customHeight="1" x14ac:dyDescent="0.45"/>
    <row r="61" spans="1:28" ht="34" customHeight="1" x14ac:dyDescent="0.45">
      <c r="A61" s="7"/>
      <c r="B61" s="448" t="s">
        <v>4009</v>
      </c>
      <c r="C61" s="449"/>
      <c r="D61" s="449"/>
      <c r="E61" s="449"/>
      <c r="F61" s="449"/>
      <c r="G61" s="449"/>
      <c r="H61" s="449"/>
      <c r="I61" s="449"/>
      <c r="J61" s="449"/>
      <c r="K61" s="449"/>
      <c r="L61" s="449"/>
      <c r="M61" s="449"/>
      <c r="N61" s="449"/>
      <c r="O61" s="449"/>
      <c r="P61" s="449"/>
      <c r="Q61" s="449"/>
      <c r="R61" s="490"/>
      <c r="S61" s="7"/>
      <c r="T61" s="7"/>
      <c r="U61" s="7"/>
      <c r="V61" s="7"/>
      <c r="W61" s="7"/>
      <c r="X61" s="7"/>
      <c r="Y61" s="7"/>
      <c r="Z61" s="7"/>
      <c r="AA61" s="7"/>
    </row>
    <row r="62" spans="1:28" ht="20.05" customHeight="1" x14ac:dyDescent="0.45">
      <c r="A62" s="7"/>
      <c r="B62" s="413" t="s">
        <v>9</v>
      </c>
      <c r="C62" s="413"/>
      <c r="D62" s="413"/>
      <c r="E62" s="438" t="s">
        <v>10</v>
      </c>
      <c r="F62" s="443"/>
      <c r="G62" s="443"/>
      <c r="H62" s="439"/>
      <c r="I62" s="346" t="s">
        <v>11</v>
      </c>
      <c r="J62" s="438" t="s">
        <v>12</v>
      </c>
      <c r="K62" s="443"/>
      <c r="L62" s="443"/>
      <c r="M62" s="443"/>
      <c r="N62" s="443"/>
      <c r="O62" s="443"/>
      <c r="P62" s="443"/>
      <c r="Q62" s="443"/>
      <c r="R62" s="439"/>
      <c r="S62" s="7"/>
      <c r="T62" s="7"/>
      <c r="U62" s="7"/>
      <c r="W62" s="7"/>
      <c r="X62" s="7"/>
      <c r="Y62" s="7"/>
      <c r="Z62" s="7"/>
      <c r="AA62" s="7"/>
    </row>
    <row r="63" spans="1:28" ht="20.05" customHeight="1" x14ac:dyDescent="0.45">
      <c r="A63" s="7"/>
      <c r="B63" s="477" t="s">
        <v>13</v>
      </c>
      <c r="C63" s="477"/>
      <c r="D63" s="477"/>
      <c r="E63" s="484" t="s">
        <v>4010</v>
      </c>
      <c r="F63" s="485"/>
      <c r="G63" s="485"/>
      <c r="H63" s="486"/>
      <c r="I63" s="112" t="str">
        <f>IF(spr_chosen="Management &amp; VI Workload","Included",IF(spr_chosen="Management Only","Included",IF(spr_chosen="VI Workload Only","Included","Excluded")))</f>
        <v>Excluded</v>
      </c>
      <c r="J63" s="478" t="str">
        <f>IF(spr_result="Excluded","Cause: Not Selected. Site Protection and Disaster Recovery will not be deployed",IF(spr_chosen="Management Only","Site Protection and Disaster Recovery will be deployed in the Management Workload Domain",IF(spr_chosen="Management &amp; VI Workload","Site Protection and Disaster Recovery will be deployed in the Management Workload Domain and selected VI Workload Domains",IF(spr_chosen="VI Workload Only","Site Protection and Disaster Recovery will be in selected VI Workload Domains",""))))</f>
        <v>Cause: Not Selected. Site Protection and Disaster Recovery will not be deployed</v>
      </c>
      <c r="K63" s="479"/>
      <c r="L63" s="479"/>
      <c r="M63" s="479"/>
      <c r="N63" s="479"/>
      <c r="O63" s="479"/>
      <c r="P63" s="479"/>
      <c r="Q63" s="479"/>
      <c r="R63" s="480"/>
      <c r="S63" s="7"/>
      <c r="T63" s="7"/>
      <c r="U63" s="7"/>
      <c r="V63" s="7"/>
      <c r="W63" s="7"/>
      <c r="X63" s="7"/>
      <c r="Y63" s="7"/>
    </row>
    <row r="64" spans="1:28" ht="20.05" customHeight="1" x14ac:dyDescent="0.45">
      <c r="A64" s="7"/>
      <c r="B64" s="487" t="s">
        <v>13</v>
      </c>
      <c r="C64" s="488"/>
      <c r="D64" s="489"/>
      <c r="E64" s="481" t="s">
        <v>4011</v>
      </c>
      <c r="F64" s="482"/>
      <c r="G64" s="482"/>
      <c r="H64" s="483"/>
      <c r="I64" s="112" t="str">
        <f>IF(rwr_chosen="Exclude","Excluded","Included")</f>
        <v>Excluded</v>
      </c>
      <c r="J64" s="478" t="str">
        <f>IF(rwr_chosen="Exclude","Cause: Not Selected. On Premise Ransomware Recovery will not be deployed","On Premise Ransomware Recovery will be deployed")</f>
        <v>Cause: Not Selected. On Premise Ransomware Recovery will not be deployed</v>
      </c>
      <c r="K64" s="479"/>
      <c r="L64" s="479"/>
      <c r="M64" s="479"/>
      <c r="N64" s="479"/>
      <c r="O64" s="479"/>
      <c r="P64" s="479"/>
      <c r="Q64" s="479"/>
      <c r="R64" s="480"/>
      <c r="S64" s="7"/>
      <c r="T64" s="7"/>
      <c r="U64" s="7"/>
      <c r="V64" s="7"/>
      <c r="W64" s="7"/>
      <c r="X64" s="7"/>
      <c r="Y64" s="7"/>
    </row>
    <row r="65" spans="1:25" ht="20.05" customHeight="1" x14ac:dyDescent="0.45">
      <c r="A65" s="7"/>
      <c r="B65" s="472" t="s">
        <v>13</v>
      </c>
      <c r="C65" s="472"/>
      <c r="D65" s="472"/>
      <c r="E65" s="468" t="s">
        <v>4012</v>
      </c>
      <c r="F65" s="469"/>
      <c r="G65" s="469"/>
      <c r="H65" s="470"/>
      <c r="I65" s="337" t="str">
        <f>IF(cbr_chosen="Exclude","Excluded","Included")</f>
        <v>Excluded</v>
      </c>
      <c r="J65" s="410" t="str">
        <f>IF(cbr_chosen="Exclude","Cause: Not Selected. Cloud-Based Ransomware Recovery will not be deployed","Cloud-Based Ransomware Recovery will be deployed")</f>
        <v>Cause: Not Selected. Cloud-Based Ransomware Recovery will not be deployed</v>
      </c>
      <c r="K65" s="411"/>
      <c r="L65" s="411"/>
      <c r="M65" s="411"/>
      <c r="N65" s="411"/>
      <c r="O65" s="411"/>
      <c r="P65" s="411"/>
      <c r="Q65" s="411"/>
      <c r="R65" s="412"/>
      <c r="S65" s="7"/>
      <c r="T65" s="7"/>
      <c r="U65" s="7"/>
      <c r="V65" s="7"/>
      <c r="W65" s="7"/>
      <c r="X65" s="7"/>
      <c r="Y65" s="7"/>
    </row>
    <row r="66" spans="1:25" ht="20.05" customHeight="1" x14ac:dyDescent="0.45">
      <c r="A66" s="7"/>
      <c r="B66" s="472" t="s">
        <v>13</v>
      </c>
      <c r="C66" s="472"/>
      <c r="D66" s="472"/>
      <c r="E66" s="468" t="s">
        <v>4013</v>
      </c>
      <c r="F66" s="469"/>
      <c r="G66" s="469"/>
      <c r="H66" s="470"/>
      <c r="I66" s="337" t="str">
        <f>IF(ccm_chosen="Exclude","Excluded","Included")</f>
        <v>Excluded</v>
      </c>
      <c r="J66" s="410" t="str">
        <f>IF(ccm_chosen="Exclude","Cause: Not Selected. Cross-Cloud Mobility will not be deployed","Cross-Cloud Mobility will be deployed")</f>
        <v>Cause: Not Selected. Cross-Cloud Mobility will not be deployed</v>
      </c>
      <c r="K66" s="411"/>
      <c r="L66" s="411"/>
      <c r="M66" s="411"/>
      <c r="N66" s="411"/>
      <c r="O66" s="411"/>
      <c r="P66" s="411"/>
      <c r="Q66" s="411"/>
      <c r="R66" s="412"/>
      <c r="S66" s="7"/>
      <c r="T66" s="7"/>
      <c r="U66" s="7"/>
      <c r="V66" s="7"/>
      <c r="W66" s="7"/>
      <c r="X66" s="7"/>
      <c r="Y66" s="7"/>
    </row>
    <row r="67" spans="1:25" ht="20.05" customHeight="1" x14ac:dyDescent="0.45"/>
    <row r="68" spans="1:25" ht="34" customHeight="1" x14ac:dyDescent="0.45">
      <c r="B68" s="335" t="s">
        <v>4014</v>
      </c>
      <c r="C68" s="335"/>
      <c r="D68" s="335"/>
      <c r="E68" s="335"/>
      <c r="F68" s="335"/>
      <c r="G68" s="335"/>
      <c r="H68" s="335"/>
      <c r="I68" s="335"/>
      <c r="J68" s="335"/>
      <c r="K68" s="335"/>
      <c r="L68" s="335"/>
      <c r="M68" s="335"/>
      <c r="N68" s="335"/>
      <c r="O68" s="335"/>
      <c r="P68" s="335"/>
      <c r="Q68" s="335"/>
      <c r="R68" s="335"/>
    </row>
    <row r="69" spans="1:25" ht="20.05" customHeight="1" x14ac:dyDescent="0.45">
      <c r="B69" s="438" t="s">
        <v>261</v>
      </c>
      <c r="C69" s="443"/>
      <c r="D69" s="443"/>
      <c r="E69" s="439"/>
      <c r="F69" s="97" t="s">
        <v>1268</v>
      </c>
      <c r="G69" s="359" t="s">
        <v>3909</v>
      </c>
      <c r="H69" s="359" t="s">
        <v>3910</v>
      </c>
      <c r="I69" s="359" t="s">
        <v>4015</v>
      </c>
      <c r="J69" s="359" t="s">
        <v>4016</v>
      </c>
      <c r="K69" s="473" t="s">
        <v>20</v>
      </c>
      <c r="L69" s="456"/>
      <c r="M69" s="456"/>
      <c r="N69" s="456"/>
      <c r="O69" s="456"/>
      <c r="P69" s="456"/>
      <c r="Q69" s="456"/>
      <c r="R69" s="457"/>
    </row>
    <row r="70" spans="1:25" ht="20.05" customHeight="1" x14ac:dyDescent="0.45">
      <c r="B70" s="462" t="s">
        <v>4010</v>
      </c>
      <c r="C70" s="463"/>
      <c r="D70" s="463"/>
      <c r="E70" s="463"/>
      <c r="F70" s="463"/>
      <c r="G70" s="463"/>
      <c r="H70" s="463"/>
      <c r="I70" s="463"/>
      <c r="J70" s="463"/>
      <c r="K70" s="463"/>
      <c r="L70" s="463"/>
      <c r="M70" s="463"/>
      <c r="N70" s="463"/>
      <c r="O70" s="463"/>
      <c r="P70" s="463"/>
      <c r="Q70" s="463"/>
      <c r="R70" s="464"/>
    </row>
    <row r="71" spans="1:25" ht="20.05" customHeight="1" x14ac:dyDescent="0.45">
      <c r="B71" s="410" t="s">
        <v>4017</v>
      </c>
      <c r="C71" s="411"/>
      <c r="D71" s="411"/>
      <c r="E71" s="412"/>
      <c r="F71" s="337" t="s">
        <v>538</v>
      </c>
      <c r="G71" s="331">
        <f>IF(OR(spr_mo_result="True",spr_mw_result="True"),1,0)</f>
        <v>0</v>
      </c>
      <c r="H71" s="331">
        <f>IF(OR(spr_mo_result="True",spr_mw_result="True"),VLOOKUP(mgmt_srm_vm_size_chosen,table_srm_cpu,2,FALSE),0)</f>
        <v>0</v>
      </c>
      <c r="I71" s="331">
        <f>IF(OR(spr_mo_result="True",spr_mw_result="True"),VLOOKUP(mgmt_srm_vm_size_chosen,table_srm_ram,2,FALSE),0)</f>
        <v>0</v>
      </c>
      <c r="J71" s="331">
        <f>IF(OR(spr_mo_result="True",spr_mw_result="True"),VLOOKUP(mgmt_srm_vm_size_chosen,table_srm_disk,2,FALSE),0)</f>
        <v>0</v>
      </c>
      <c r="K71" s="430" t="s">
        <v>4018</v>
      </c>
      <c r="L71" s="471"/>
      <c r="M71" s="471"/>
      <c r="N71" s="471"/>
      <c r="O71" s="471"/>
      <c r="P71" s="471"/>
      <c r="Q71" s="471"/>
      <c r="R71" s="431"/>
    </row>
    <row r="72" spans="1:25" ht="20.05" customHeight="1" x14ac:dyDescent="0.45">
      <c r="B72" s="421" t="s">
        <v>4019</v>
      </c>
      <c r="C72" s="421"/>
      <c r="D72" s="421"/>
      <c r="E72" s="421"/>
      <c r="F72" s="337" t="s">
        <v>538</v>
      </c>
      <c r="G72" s="331">
        <f>COUNTIF(P36:P59,"Include")</f>
        <v>0</v>
      </c>
      <c r="H72" s="331">
        <f>IF(OR(spr_wo_result="True",spr_mw_result="True"),VLOOKUP(wld_srm_vm_size_chosen,table_srm_cpu,2,FALSE),0)</f>
        <v>0</v>
      </c>
      <c r="I72" s="331">
        <f>IF(OR(spr_wo_result="True",spr_mw_result="True"),VLOOKUP(wld_srm_vm_size_chosen,table_srm_ram,2,FALSE),0)</f>
        <v>0</v>
      </c>
      <c r="J72" s="331">
        <f>IF(OR(spr_wo_result="True",spr_mw_result="True"),VLOOKUP(wld_srm_vm_size_chosen,table_srm_disk,2,FALSE),0)</f>
        <v>0</v>
      </c>
      <c r="K72" s="430" t="str">
        <f>IF(OR(spr_chosen="Management &amp; VI Workload",spr_chosen="VI Workload Only"),"Include Or Exclude Site Protection Disaster Recovery on each Workload Domain where required - Starting at Row 35  Column P","No sizing optionality for the appliance")</f>
        <v>No sizing optionality for the appliance</v>
      </c>
      <c r="L72" s="471"/>
      <c r="M72" s="471"/>
      <c r="N72" s="471"/>
      <c r="O72" s="471"/>
      <c r="P72" s="471"/>
      <c r="Q72" s="471"/>
      <c r="R72" s="431"/>
    </row>
    <row r="73" spans="1:25" ht="20.05" customHeight="1" x14ac:dyDescent="0.45">
      <c r="B73" s="465" t="s">
        <v>4020</v>
      </c>
      <c r="C73" s="466"/>
      <c r="D73" s="466"/>
      <c r="E73" s="466"/>
      <c r="F73" s="466"/>
      <c r="G73" s="466"/>
      <c r="H73" s="466"/>
      <c r="I73" s="466"/>
      <c r="J73" s="466"/>
      <c r="K73" s="466"/>
      <c r="L73" s="466"/>
      <c r="M73" s="466"/>
      <c r="N73" s="466"/>
      <c r="O73" s="466"/>
      <c r="P73" s="466"/>
      <c r="Q73" s="466"/>
      <c r="R73" s="467"/>
    </row>
    <row r="74" spans="1:25" ht="20.05" customHeight="1" x14ac:dyDescent="0.45">
      <c r="B74" s="410" t="s">
        <v>4021</v>
      </c>
      <c r="C74" s="411"/>
      <c r="D74" s="411"/>
      <c r="E74" s="411"/>
      <c r="F74" s="337" t="s">
        <v>538</v>
      </c>
      <c r="G74" s="331">
        <f>IF(rwr_result="Excluded",0,1)</f>
        <v>0</v>
      </c>
      <c r="H74" s="331">
        <f>IF(rwr_result="Excluded",0,8)</f>
        <v>0</v>
      </c>
      <c r="I74" s="331">
        <f>IF(rwr_result="Excluded",0,24)</f>
        <v>0</v>
      </c>
      <c r="J74" s="331">
        <f>IF(rwr_result="Excluded",0,800)</f>
        <v>0</v>
      </c>
      <c r="K74" s="430" t="s">
        <v>4018</v>
      </c>
      <c r="L74" s="471"/>
      <c r="M74" s="471"/>
      <c r="N74" s="471"/>
      <c r="O74" s="471"/>
      <c r="P74" s="471"/>
      <c r="Q74" s="471"/>
      <c r="R74" s="431"/>
    </row>
    <row r="75" spans="1:25" ht="20.05" customHeight="1" x14ac:dyDescent="0.45">
      <c r="B75" s="465" t="s">
        <v>4022</v>
      </c>
      <c r="C75" s="466"/>
      <c r="D75" s="466"/>
      <c r="E75" s="466"/>
      <c r="F75" s="466"/>
      <c r="G75" s="466"/>
      <c r="H75" s="466"/>
      <c r="I75" s="466"/>
      <c r="J75" s="466"/>
      <c r="K75" s="466"/>
      <c r="L75" s="466"/>
      <c r="M75" s="466"/>
      <c r="N75" s="466"/>
      <c r="O75" s="466"/>
      <c r="P75" s="466"/>
      <c r="Q75" s="466"/>
      <c r="R75" s="467"/>
    </row>
    <row r="76" spans="1:25" ht="20.05" customHeight="1" x14ac:dyDescent="0.45">
      <c r="B76" s="421" t="s">
        <v>4023</v>
      </c>
      <c r="C76" s="421"/>
      <c r="D76" s="421"/>
      <c r="E76" s="421"/>
      <c r="F76" s="197" t="s">
        <v>538</v>
      </c>
      <c r="G76" s="337">
        <f>IF(cbr_result="Excluded",0,2)</f>
        <v>0</v>
      </c>
      <c r="H76" s="337">
        <f>IF(cbr_result="Excluded",0,sizing_cbr_cpu)</f>
        <v>0</v>
      </c>
      <c r="I76" s="331">
        <f>IF(cbr_result="Excluded",0,sizing_cbr_ram)</f>
        <v>0</v>
      </c>
      <c r="J76" s="331">
        <f>IF(cbr_result="Excluded",0,sizing_cbr_disk)</f>
        <v>0</v>
      </c>
      <c r="K76" s="474" t="s">
        <v>4018</v>
      </c>
      <c r="L76" s="475"/>
      <c r="M76" s="475"/>
      <c r="N76" s="475"/>
      <c r="O76" s="475"/>
      <c r="P76" s="475"/>
      <c r="Q76" s="475"/>
      <c r="R76" s="476"/>
    </row>
    <row r="77" spans="1:25" ht="20.05" customHeight="1" x14ac:dyDescent="0.45">
      <c r="B77" s="465" t="s">
        <v>4024</v>
      </c>
      <c r="C77" s="466"/>
      <c r="D77" s="466"/>
      <c r="E77" s="466"/>
      <c r="F77" s="466"/>
      <c r="G77" s="466"/>
      <c r="H77" s="466"/>
      <c r="I77" s="466"/>
      <c r="J77" s="466"/>
      <c r="K77" s="466"/>
      <c r="L77" s="466"/>
      <c r="M77" s="466"/>
      <c r="N77" s="466"/>
      <c r="O77" s="466"/>
      <c r="P77" s="466"/>
      <c r="Q77" s="466"/>
      <c r="R77" s="467"/>
    </row>
    <row r="78" spans="1:25" ht="20.05" customHeight="1" x14ac:dyDescent="0.45">
      <c r="B78" s="421" t="s">
        <v>4025</v>
      </c>
      <c r="C78" s="421"/>
      <c r="D78" s="421"/>
      <c r="E78" s="421"/>
      <c r="F78" s="197" t="s">
        <v>538</v>
      </c>
      <c r="G78" s="337">
        <f>IF(ccm_result="Excluded",0,1)</f>
        <v>0</v>
      </c>
      <c r="H78" s="337">
        <f>IF(ccm_result="Excluded",0,sizing_ccm_hcx_cpu)</f>
        <v>0</v>
      </c>
      <c r="I78" s="331">
        <f>IF(ccm_result="Excluded",0,sizing_ccm_hcx_ram)</f>
        <v>0</v>
      </c>
      <c r="J78" s="331">
        <f>IF(ccm_result="Excluded",0,sizing_ccm_hcx_disk)</f>
        <v>0</v>
      </c>
      <c r="K78" s="474" t="s">
        <v>4018</v>
      </c>
      <c r="L78" s="475"/>
      <c r="M78" s="475"/>
      <c r="N78" s="475"/>
      <c r="O78" s="475"/>
      <c r="P78" s="475"/>
      <c r="Q78" s="475"/>
      <c r="R78" s="476"/>
    </row>
    <row r="79" spans="1:25" ht="20.05" customHeight="1" x14ac:dyDescent="0.45">
      <c r="E79" s="458" t="s">
        <v>3964</v>
      </c>
      <c r="F79" s="459"/>
      <c r="G79" s="4">
        <f>SUM(G71:G72,G76,G78,G74)</f>
        <v>0</v>
      </c>
      <c r="H79" s="4" t="str">
        <f>CONCATENATE(SUMPRODUCT('Management Domain Sizing'!$G$71:$G$78,'Management Domain Sizing'!H71:H78)," CPUs")</f>
        <v>0 CPUs</v>
      </c>
      <c r="I79" s="4" t="str">
        <f>CONCATENATE(SUMPRODUCT('Management Domain Sizing'!$G$71:$G$78,'Management Domain Sizing'!I71:I78)," GB")</f>
        <v>0 GB</v>
      </c>
      <c r="J79" s="4" t="str">
        <f>CONCATENATE(SUMPRODUCT('Management Domain Sizing'!$G$71:$G$78,'Management Domain Sizing'!J71:J78)," GB")</f>
        <v>0 GB</v>
      </c>
    </row>
    <row r="80" spans="1:25" ht="20.05" customHeight="1" x14ac:dyDescent="0.45"/>
    <row r="81" spans="3:11" ht="20.05" customHeight="1" x14ac:dyDescent="0.45"/>
    <row r="82" spans="3:11" ht="20.05" customHeight="1" x14ac:dyDescent="0.45">
      <c r="H82" s="2"/>
      <c r="J82" s="3"/>
      <c r="K82" s="3"/>
    </row>
    <row r="83" spans="3:11" ht="20.05" customHeight="1" x14ac:dyDescent="0.45">
      <c r="H83" s="2"/>
      <c r="J83" s="3"/>
      <c r="K83" s="3"/>
    </row>
    <row r="84" spans="3:11" ht="20.05" customHeight="1" x14ac:dyDescent="0.45">
      <c r="H84" s="2"/>
      <c r="J84" s="3"/>
      <c r="K84" s="3"/>
    </row>
    <row r="85" spans="3:11" x14ac:dyDescent="0.45">
      <c r="H85" s="2"/>
      <c r="J85" s="3"/>
      <c r="K85" s="3"/>
    </row>
    <row r="86" spans="3:11" x14ac:dyDescent="0.45">
      <c r="H86" s="2"/>
      <c r="J86" s="3"/>
      <c r="K86" s="3"/>
    </row>
    <row r="87" spans="3:11" x14ac:dyDescent="0.45">
      <c r="C87" s="1"/>
    </row>
    <row r="97" spans="22:22" ht="15.45" x14ac:dyDescent="0.45">
      <c r="V97" s="23"/>
    </row>
    <row r="98" spans="22:22" ht="15.45" x14ac:dyDescent="0.45">
      <c r="V98" s="23"/>
    </row>
    <row r="99" spans="22:22" ht="15.45" x14ac:dyDescent="0.45">
      <c r="V99" s="23"/>
    </row>
    <row r="100" spans="22:22" ht="15.45" x14ac:dyDescent="0.45">
      <c r="V100" s="23"/>
    </row>
    <row r="101" spans="22:22" ht="15.45" x14ac:dyDescent="0.45">
      <c r="V101" s="23"/>
    </row>
    <row r="102" spans="22:22" ht="15.45" x14ac:dyDescent="0.45">
      <c r="V102" s="23"/>
    </row>
  </sheetData>
  <sheetProtection algorithmName="SHA-512" hashValue="dT1OTQK5OtY4gHVy0mYAIWrj9F7v0mvdw8UWQVFS8fXiZxvCTYR5uVxkCdjMwKWOIj16ZWS/vk32fKfZ/LN6GQ==" saltValue="qE0Pl8ujGDxL9IA+h/cYtQ==" spinCount="100000" sheet="1" selectLockedCells="1"/>
  <dataConsolidate/>
  <mergeCells count="234">
    <mergeCell ref="J47:K47"/>
    <mergeCell ref="J48:K48"/>
    <mergeCell ref="J54:K54"/>
    <mergeCell ref="J51:K51"/>
    <mergeCell ref="J52:K52"/>
    <mergeCell ref="J49:K49"/>
    <mergeCell ref="N47:O47"/>
    <mergeCell ref="J50:K50"/>
    <mergeCell ref="N50:O50"/>
    <mergeCell ref="N51:O51"/>
    <mergeCell ref="N48:O48"/>
    <mergeCell ref="N49:O49"/>
    <mergeCell ref="N57:O57"/>
    <mergeCell ref="Q57:R57"/>
    <mergeCell ref="B61:R61"/>
    <mergeCell ref="Q56:R56"/>
    <mergeCell ref="X52:AB52"/>
    <mergeCell ref="J57:K57"/>
    <mergeCell ref="N54:O54"/>
    <mergeCell ref="J59:K59"/>
    <mergeCell ref="N58:O58"/>
    <mergeCell ref="J56:K56"/>
    <mergeCell ref="J58:K58"/>
    <mergeCell ref="J53:K53"/>
    <mergeCell ref="N52:O52"/>
    <mergeCell ref="N53:O53"/>
    <mergeCell ref="Q59:R59"/>
    <mergeCell ref="X56:AB56"/>
    <mergeCell ref="X55:AB55"/>
    <mergeCell ref="Q54:R54"/>
    <mergeCell ref="Q55:R55"/>
    <mergeCell ref="N55:O55"/>
    <mergeCell ref="T53:U53"/>
    <mergeCell ref="N59:O59"/>
    <mergeCell ref="Q58:R58"/>
    <mergeCell ref="N56:O56"/>
    <mergeCell ref="E65:H65"/>
    <mergeCell ref="B63:D63"/>
    <mergeCell ref="B62:D62"/>
    <mergeCell ref="E62:H62"/>
    <mergeCell ref="J63:R63"/>
    <mergeCell ref="J65:R65"/>
    <mergeCell ref="J64:R64"/>
    <mergeCell ref="B65:D65"/>
    <mergeCell ref="E64:H64"/>
    <mergeCell ref="E63:H63"/>
    <mergeCell ref="J62:R62"/>
    <mergeCell ref="B64:D64"/>
    <mergeCell ref="E79:F79"/>
    <mergeCell ref="B70:R70"/>
    <mergeCell ref="B75:R75"/>
    <mergeCell ref="E66:H66"/>
    <mergeCell ref="K74:R74"/>
    <mergeCell ref="B66:D66"/>
    <mergeCell ref="B73:R73"/>
    <mergeCell ref="K72:R72"/>
    <mergeCell ref="K71:R71"/>
    <mergeCell ref="K69:R69"/>
    <mergeCell ref="J66:R66"/>
    <mergeCell ref="B71:E71"/>
    <mergeCell ref="B74:E74"/>
    <mergeCell ref="K78:R78"/>
    <mergeCell ref="B69:E69"/>
    <mergeCell ref="B77:R77"/>
    <mergeCell ref="K76:R76"/>
    <mergeCell ref="B78:E78"/>
    <mergeCell ref="B76:E76"/>
    <mergeCell ref="B72:E72"/>
    <mergeCell ref="T59:U59"/>
    <mergeCell ref="T58:U58"/>
    <mergeCell ref="T56:U56"/>
    <mergeCell ref="T51:U51"/>
    <mergeCell ref="X44:AB44"/>
    <mergeCell ref="X45:AB45"/>
    <mergeCell ref="X46:AB46"/>
    <mergeCell ref="X47:AB47"/>
    <mergeCell ref="X49:AB49"/>
    <mergeCell ref="X50:AB50"/>
    <mergeCell ref="X51:AB51"/>
    <mergeCell ref="X48:AB48"/>
    <mergeCell ref="T50:U50"/>
    <mergeCell ref="T57:U57"/>
    <mergeCell ref="X59:AB59"/>
    <mergeCell ref="X58:AB58"/>
    <mergeCell ref="X57:AB57"/>
    <mergeCell ref="X53:AB53"/>
    <mergeCell ref="X54:AB54"/>
    <mergeCell ref="T48:U48"/>
    <mergeCell ref="T49:U49"/>
    <mergeCell ref="X36:AB36"/>
    <mergeCell ref="X37:AB37"/>
    <mergeCell ref="X38:AB38"/>
    <mergeCell ref="Q31:T31"/>
    <mergeCell ref="T36:U36"/>
    <mergeCell ref="T37:U37"/>
    <mergeCell ref="R32:T32"/>
    <mergeCell ref="T44:U44"/>
    <mergeCell ref="X41:AB41"/>
    <mergeCell ref="X42:AB42"/>
    <mergeCell ref="X43:AB43"/>
    <mergeCell ref="T41:U41"/>
    <mergeCell ref="T42:U42"/>
    <mergeCell ref="T43:U43"/>
    <mergeCell ref="X39:AB39"/>
    <mergeCell ref="X40:AB40"/>
    <mergeCell ref="Q42:R42"/>
    <mergeCell ref="Q43:R43"/>
    <mergeCell ref="T39:U39"/>
    <mergeCell ref="T40:U40"/>
    <mergeCell ref="T38:U38"/>
    <mergeCell ref="Q38:R38"/>
    <mergeCell ref="R9:S9"/>
    <mergeCell ref="R10:S10"/>
    <mergeCell ref="O8:Q8"/>
    <mergeCell ref="B18:E18"/>
    <mergeCell ref="B19:D19"/>
    <mergeCell ref="B20:D20"/>
    <mergeCell ref="B21:D21"/>
    <mergeCell ref="N36:O36"/>
    <mergeCell ref="B25:D25"/>
    <mergeCell ref="B22:D22"/>
    <mergeCell ref="B23:D23"/>
    <mergeCell ref="B24:D24"/>
    <mergeCell ref="G21:I21"/>
    <mergeCell ref="G22:I22"/>
    <mergeCell ref="G23:I23"/>
    <mergeCell ref="G24:I24"/>
    <mergeCell ref="G25:I25"/>
    <mergeCell ref="F31:G31"/>
    <mergeCell ref="N30:AB30"/>
    <mergeCell ref="V32:W32"/>
    <mergeCell ref="J32:K32"/>
    <mergeCell ref="X35:AB35"/>
    <mergeCell ref="R34:AB34"/>
    <mergeCell ref="S35:U35"/>
    <mergeCell ref="R16:S16"/>
    <mergeCell ref="B11:E11"/>
    <mergeCell ref="B14:D14"/>
    <mergeCell ref="B15:D15"/>
    <mergeCell ref="B16:D16"/>
    <mergeCell ref="G13:I13"/>
    <mergeCell ref="G15:I15"/>
    <mergeCell ref="G11:I11"/>
    <mergeCell ref="G12:I12"/>
    <mergeCell ref="G14:I14"/>
    <mergeCell ref="B13:D13"/>
    <mergeCell ref="J40:K40"/>
    <mergeCell ref="N40:O40"/>
    <mergeCell ref="Q39:R39"/>
    <mergeCell ref="Q40:R40"/>
    <mergeCell ref="B3:AB3"/>
    <mergeCell ref="B2:AB2"/>
    <mergeCell ref="G6:M6"/>
    <mergeCell ref="B6:E6"/>
    <mergeCell ref="B7:D7"/>
    <mergeCell ref="G7:I7"/>
    <mergeCell ref="O7:Q7"/>
    <mergeCell ref="R7:S7"/>
    <mergeCell ref="U7:AB28"/>
    <mergeCell ref="G19:I19"/>
    <mergeCell ref="G18:I18"/>
    <mergeCell ref="G8:I8"/>
    <mergeCell ref="G9:I9"/>
    <mergeCell ref="G10:I10"/>
    <mergeCell ref="R13:S13"/>
    <mergeCell ref="R14:S14"/>
    <mergeCell ref="B8:D8"/>
    <mergeCell ref="B9:D9"/>
    <mergeCell ref="B12:D12"/>
    <mergeCell ref="R15:S15"/>
    <mergeCell ref="Q6:S6"/>
    <mergeCell ref="O10:Q10"/>
    <mergeCell ref="R8:S8"/>
    <mergeCell ref="O9:Q9"/>
    <mergeCell ref="J55:K55"/>
    <mergeCell ref="Q53:R53"/>
    <mergeCell ref="N45:O45"/>
    <mergeCell ref="T54:U54"/>
    <mergeCell ref="T55:U55"/>
    <mergeCell ref="Q50:R50"/>
    <mergeCell ref="Q51:R51"/>
    <mergeCell ref="N46:O46"/>
    <mergeCell ref="Q45:R45"/>
    <mergeCell ref="Q46:R46"/>
    <mergeCell ref="Q47:R47"/>
    <mergeCell ref="J45:K45"/>
    <mergeCell ref="J46:K46"/>
    <mergeCell ref="Q52:R52"/>
    <mergeCell ref="Q48:R48"/>
    <mergeCell ref="Q49:R49"/>
    <mergeCell ref="T52:U52"/>
    <mergeCell ref="T45:U45"/>
    <mergeCell ref="T46:U46"/>
    <mergeCell ref="T47:U47"/>
    <mergeCell ref="B26:D26"/>
    <mergeCell ref="B27:D27"/>
    <mergeCell ref="N39:O39"/>
    <mergeCell ref="L31:N31"/>
    <mergeCell ref="J38:K38"/>
    <mergeCell ref="I35:K35"/>
    <mergeCell ref="O31:P31"/>
    <mergeCell ref="M35:O35"/>
    <mergeCell ref="M32:N32"/>
    <mergeCell ref="P35:R35"/>
    <mergeCell ref="D31:E31"/>
    <mergeCell ref="F35:G35"/>
    <mergeCell ref="D35:E35"/>
    <mergeCell ref="J39:K39"/>
    <mergeCell ref="I31:K31"/>
    <mergeCell ref="N37:O37"/>
    <mergeCell ref="N44:O44"/>
    <mergeCell ref="N41:O41"/>
    <mergeCell ref="N42:O42"/>
    <mergeCell ref="N38:O38"/>
    <mergeCell ref="U31:W31"/>
    <mergeCell ref="V35:W35"/>
    <mergeCell ref="G17:I17"/>
    <mergeCell ref="R20:S20"/>
    <mergeCell ref="R21:S21"/>
    <mergeCell ref="R18:S18"/>
    <mergeCell ref="R19:S19"/>
    <mergeCell ref="R17:S17"/>
    <mergeCell ref="G20:I20"/>
    <mergeCell ref="J36:K36"/>
    <mergeCell ref="J37:K37"/>
    <mergeCell ref="Q36:R36"/>
    <mergeCell ref="Q37:R37"/>
    <mergeCell ref="Q44:R44"/>
    <mergeCell ref="J43:K43"/>
    <mergeCell ref="J44:K44"/>
    <mergeCell ref="J41:K41"/>
    <mergeCell ref="J42:K42"/>
    <mergeCell ref="N43:O43"/>
    <mergeCell ref="Q41:R41"/>
  </mergeCells>
  <phoneticPr fontId="4" type="noConversion"/>
  <conditionalFormatting sqref="B63:C63">
    <cfRule type="expression" dxfId="2610" priority="209">
      <formula>(spr_chosen="Exclude")</formula>
    </cfRule>
    <cfRule type="expression" dxfId="2609" priority="211">
      <formula>AND((spr_chosen&lt;&gt;"Exclude"),(spr_result="Included"))</formula>
    </cfRule>
    <cfRule type="expression" dxfId="2608" priority="210">
      <formula>AND((spr_chosen&lt;&gt;"Exclude"),(spr_result="Excluded"))</formula>
    </cfRule>
  </conditionalFormatting>
  <conditionalFormatting sqref="B65:C65">
    <cfRule type="expression" dxfId="2607" priority="224">
      <formula>AND((cbr_chosen&lt;&gt;"Exclude"),(cbr_result="Excluded"))</formula>
    </cfRule>
    <cfRule type="expression" dxfId="2606" priority="223">
      <formula>(cbr_chosen="Exclude")</formula>
    </cfRule>
    <cfRule type="expression" dxfId="2605" priority="230">
      <formula>AND((cbr_chosen&lt;&gt;"Exclude"),(cbr_result="Included"))</formula>
    </cfRule>
  </conditionalFormatting>
  <conditionalFormatting sqref="B66:C66">
    <cfRule type="expression" dxfId="2604" priority="232">
      <formula>(ccm_chosen="Exclude")</formula>
    </cfRule>
    <cfRule type="expression" dxfId="2603" priority="231">
      <formula>AND((ccm_chosen&lt;&gt;"Exclude"),(ccm_result="Excluded"))</formula>
    </cfRule>
    <cfRule type="expression" dxfId="2602" priority="225">
      <formula>AND((ccm_chosen&lt;&gt;"Exclude"),(ccm_result="Included"))</formula>
    </cfRule>
  </conditionalFormatting>
  <conditionalFormatting sqref="B64:D64 I64:R64">
    <cfRule type="expression" dxfId="2601" priority="63">
      <formula>(rwr_chosen="Exclude")</formula>
    </cfRule>
    <cfRule type="expression" dxfId="2600" priority="62">
      <formula>(rwr_chosen="Include")</formula>
    </cfRule>
  </conditionalFormatting>
  <conditionalFormatting sqref="C40:J40">
    <cfRule type="expression" dxfId="2599" priority="697">
      <formula>(sizing_w05_chosen="Included")</formula>
    </cfRule>
  </conditionalFormatting>
  <conditionalFormatting sqref="C41:J41">
    <cfRule type="expression" dxfId="2598" priority="695">
      <formula>(sizing_w06_chosen="Included")</formula>
    </cfRule>
  </conditionalFormatting>
  <conditionalFormatting sqref="C42:J42">
    <cfRule type="expression" dxfId="2597" priority="693">
      <formula>(sizing_w07_chosen="Included")</formula>
    </cfRule>
  </conditionalFormatting>
  <conditionalFormatting sqref="C43:J43">
    <cfRule type="expression" dxfId="2596" priority="691">
      <formula>(sizing_w08_chosen="Included")</formula>
    </cfRule>
  </conditionalFormatting>
  <conditionalFormatting sqref="C44:J44">
    <cfRule type="expression" dxfId="2595" priority="690">
      <formula>(sizing_w09_chosen="Included")</formula>
    </cfRule>
  </conditionalFormatting>
  <conditionalFormatting sqref="C45:J45">
    <cfRule type="expression" dxfId="2594" priority="689">
      <formula>(sizing_w10_chosen="Included")</formula>
    </cfRule>
  </conditionalFormatting>
  <conditionalFormatting sqref="C46:J46">
    <cfRule type="expression" dxfId="2593" priority="685">
      <formula>(sizing_w11_chosen="Included")</formula>
    </cfRule>
  </conditionalFormatting>
  <conditionalFormatting sqref="C47:J47">
    <cfRule type="expression" dxfId="2592" priority="688">
      <formula>(sizing_w12_chosen="Included")</formula>
    </cfRule>
  </conditionalFormatting>
  <conditionalFormatting sqref="C48:J48">
    <cfRule type="expression" dxfId="2591" priority="687">
      <formula>(sizing_w13_chosen="Included")</formula>
    </cfRule>
  </conditionalFormatting>
  <conditionalFormatting sqref="C49:J49">
    <cfRule type="expression" dxfId="2590" priority="686">
      <formula>(sizing_w14_chosen="Included")</formula>
    </cfRule>
  </conditionalFormatting>
  <conditionalFormatting sqref="C50:J50">
    <cfRule type="expression" dxfId="2589" priority="678">
      <formula>(sizing_w15_chosen="Included")</formula>
    </cfRule>
  </conditionalFormatting>
  <conditionalFormatting sqref="C51:J51">
    <cfRule type="expression" dxfId="2588" priority="682">
      <formula>(sizing_w16_chosen="Included")</formula>
    </cfRule>
  </conditionalFormatting>
  <conditionalFormatting sqref="C52:J52">
    <cfRule type="expression" dxfId="2587" priority="681">
      <formula>(sizing_w17_chosen="Included")</formula>
    </cfRule>
  </conditionalFormatting>
  <conditionalFormatting sqref="C53:J53">
    <cfRule type="expression" dxfId="2586" priority="679">
      <formula>(sizing_w18_chosen="Included")</formula>
    </cfRule>
  </conditionalFormatting>
  <conditionalFormatting sqref="C54:J54">
    <cfRule type="expression" dxfId="2585" priority="677">
      <formula>(sizing_w19_chosen="Included")</formula>
    </cfRule>
  </conditionalFormatting>
  <conditionalFormatting sqref="C55:J55">
    <cfRule type="expression" dxfId="2584" priority="675">
      <formula>(sizing_w20_chosen="Included")</formula>
    </cfRule>
  </conditionalFormatting>
  <conditionalFormatting sqref="C56:J56">
    <cfRule type="expression" dxfId="2583" priority="672">
      <formula>(sizing_w21_chosen="Included")</formula>
    </cfRule>
  </conditionalFormatting>
  <conditionalFormatting sqref="C57:J57">
    <cfRule type="expression" dxfId="2582" priority="670">
      <formula>(sizing_w22_chosen="Included")</formula>
    </cfRule>
  </conditionalFormatting>
  <conditionalFormatting sqref="C58:J58">
    <cfRule type="expression" dxfId="2581" priority="560">
      <formula>(sizing_w23_chosen="Included")</formula>
    </cfRule>
  </conditionalFormatting>
  <conditionalFormatting sqref="C59:J59">
    <cfRule type="expression" dxfId="2580" priority="559">
      <formula>(sizing_w24_chosen="Included")</formula>
    </cfRule>
  </conditionalFormatting>
  <conditionalFormatting sqref="C37:K37">
    <cfRule type="expression" dxfId="2579" priority="711">
      <formula>(sizing_w02_chosen="Included")</formula>
    </cfRule>
  </conditionalFormatting>
  <conditionalFormatting sqref="C38:K38">
    <cfRule type="expression" dxfId="2578" priority="1102">
      <formula>(sizing_w03_chosen="Included")</formula>
    </cfRule>
  </conditionalFormatting>
  <conditionalFormatting sqref="C39:K39">
    <cfRule type="expression" dxfId="2577" priority="700">
      <formula>(sizing_w04_chosen="Included")</formula>
    </cfRule>
  </conditionalFormatting>
  <conditionalFormatting sqref="D36:J36 L36:N36 P36:Q36 S36:W36">
    <cfRule type="expression" dxfId="2576" priority="4">
      <formula>(sizing_w01_chosen="Excluded")</formula>
    </cfRule>
  </conditionalFormatting>
  <conditionalFormatting sqref="D40:J40 L40:N40 P40:Q40 S40:W40">
    <cfRule type="expression" dxfId="2575" priority="10">
      <formula>(sizing_w05_chosen="Excluded")</formula>
    </cfRule>
  </conditionalFormatting>
  <conditionalFormatting sqref="D41:J41 L41:N41 P41:Q41 S41:W41">
    <cfRule type="expression" dxfId="2574" priority="11">
      <formula>(sizing_w06_chosen="Excluded")</formula>
    </cfRule>
  </conditionalFormatting>
  <conditionalFormatting sqref="D42:J42 L42:N42 P42:Q42 S42:W42">
    <cfRule type="expression" dxfId="2573" priority="12">
      <formula>(sizing_w07_chosen="Excluded")</formula>
    </cfRule>
  </conditionalFormatting>
  <conditionalFormatting sqref="D43:J43 L43:N43 P43:Q43 S43:W43">
    <cfRule type="expression" dxfId="2572" priority="13">
      <formula>(sizing_w08_chosen="Excluded")</formula>
    </cfRule>
  </conditionalFormatting>
  <conditionalFormatting sqref="D44:J44 L44:N44 P44:Q44 S44:W44">
    <cfRule type="expression" dxfId="2571" priority="14">
      <formula>(sizing_w09_chosen="Excluded")</formula>
    </cfRule>
  </conditionalFormatting>
  <conditionalFormatting sqref="D45:J45 L45:N45 P45:Q45 S45:W45">
    <cfRule type="expression" dxfId="2570" priority="15">
      <formula>(sizing_w10_chosen="Excluded")</formula>
    </cfRule>
  </conditionalFormatting>
  <conditionalFormatting sqref="D46:J46 L46:N46 P46:Q46 S46:W46">
    <cfRule type="expression" dxfId="2569" priority="16">
      <formula>(sizing_w11_chosen="Excluded")</formula>
    </cfRule>
  </conditionalFormatting>
  <conditionalFormatting sqref="D47:J47 L47:N47 P47:Q47 S47:W47">
    <cfRule type="expression" dxfId="2568" priority="17">
      <formula>(sizing_w12_chosen="Excluded")</formula>
    </cfRule>
  </conditionalFormatting>
  <conditionalFormatting sqref="D48:J48 L48:N48 P48:Q48 S48:W48">
    <cfRule type="expression" dxfId="2567" priority="18">
      <formula>(sizing_w13_chosen="Excluded")</formula>
    </cfRule>
  </conditionalFormatting>
  <conditionalFormatting sqref="D49:J49 L49:N49 P49:Q49 S49:W49">
    <cfRule type="expression" dxfId="2566" priority="19">
      <formula>(sizing_w14_chosen="Excluded")</formula>
    </cfRule>
  </conditionalFormatting>
  <conditionalFormatting sqref="D50:J50 L50:N50 P50:Q50 S50:W50">
    <cfRule type="expression" dxfId="2565" priority="20">
      <formula>(sizing_w15_chosen="Excluded")</formula>
    </cfRule>
  </conditionalFormatting>
  <conditionalFormatting sqref="D51:J51 L51:N51 P51:Q51 S51:W51">
    <cfRule type="expression" dxfId="2564" priority="21">
      <formula>(sizing_w16_chosen="Excluded")</formula>
    </cfRule>
  </conditionalFormatting>
  <conditionalFormatting sqref="D52:J52 L52:N52 P52:Q52 S52:W52">
    <cfRule type="expression" dxfId="2563" priority="22">
      <formula>(sizing_w17_chosen="Excluded")</formula>
    </cfRule>
  </conditionalFormatting>
  <conditionalFormatting sqref="D53:J53 L53:N53 P53:Q53 S53:W53">
    <cfRule type="expression" dxfId="2562" priority="23">
      <formula>(sizing_w18_chosen="Excluded")</formula>
    </cfRule>
  </conditionalFormatting>
  <conditionalFormatting sqref="D54:J54 L54:N54 P54:Q54 S54:W54">
    <cfRule type="expression" dxfId="2561" priority="24">
      <formula>(sizing_w19_chosen="Excluded")</formula>
    </cfRule>
  </conditionalFormatting>
  <conditionalFormatting sqref="D55:J55 L55:N55 P55:Q55 S55:W55">
    <cfRule type="expression" dxfId="2560" priority="25">
      <formula>(sizing_w20_chosen="Excluded")</formula>
    </cfRule>
  </conditionalFormatting>
  <conditionalFormatting sqref="D56:J56 L56:N56 P56:Q56 S56:W56">
    <cfRule type="expression" dxfId="2559" priority="26">
      <formula>(sizing_w21_chosen="Excluded")</formula>
    </cfRule>
  </conditionalFormatting>
  <conditionalFormatting sqref="D57:J57 L57:N57 P57:Q57 S57:W57">
    <cfRule type="expression" dxfId="2558" priority="27">
      <formula>(sizing_w22_chosen="Excluded")</formula>
    </cfRule>
  </conditionalFormatting>
  <conditionalFormatting sqref="D58:J58 L58:N58 P58:Q58 S58:W58">
    <cfRule type="expression" dxfId="2557" priority="30">
      <formula>(sizing_w23_chosen="Excluded")</formula>
    </cfRule>
  </conditionalFormatting>
  <conditionalFormatting sqref="D59:J59 L59:N59 P59:Q59 S59:W59">
    <cfRule type="expression" dxfId="2556" priority="49">
      <formula>(sizing_w24_chosen="Excluded")</formula>
    </cfRule>
  </conditionalFormatting>
  <conditionalFormatting sqref="D38:N38 P38:Q38 S38:W38">
    <cfRule type="expression" dxfId="2555" priority="8">
      <formula>(sizing_w03_chosen="Excluded")</formula>
    </cfRule>
  </conditionalFormatting>
  <conditionalFormatting sqref="D39:N39 P39:Q39 S39:W39">
    <cfRule type="expression" dxfId="2554" priority="9" stopIfTrue="1">
      <formula>(sizing_w04_chosen="Excluded")</formula>
    </cfRule>
  </conditionalFormatting>
  <conditionalFormatting sqref="D37:W37">
    <cfRule type="expression" dxfId="2553" priority="7">
      <formula>(sizing_w02_chosen="Excluded")</formula>
    </cfRule>
  </conditionalFormatting>
  <conditionalFormatting sqref="E8:E9 C32:J32 L32:M32 O32:R32 F76 F78 E13:E16 F71:F72 S36:T36">
    <cfRule type="notContainsBlanks" dxfId="2552" priority="1100">
      <formula>LEN(TRIM(C8))&gt;0</formula>
    </cfRule>
  </conditionalFormatting>
  <conditionalFormatting sqref="E20:E27">
    <cfRule type="containsBlanks" dxfId="2551" priority="93">
      <formula>LEN(TRIM(E20))=0</formula>
    </cfRule>
    <cfRule type="notContainsBlanks" dxfId="2550" priority="94">
      <formula>LEN(TRIM(E20))&gt;0</formula>
    </cfRule>
  </conditionalFormatting>
  <conditionalFormatting sqref="E21">
    <cfRule type="expression" dxfId="2549" priority="92">
      <formula>sizing_vcfops_ha_chosen="Exclude"</formula>
    </cfRule>
  </conditionalFormatting>
  <conditionalFormatting sqref="E22">
    <cfRule type="expression" dxfId="2548" priority="57">
      <formula>sizing_vcfops_collector_chosen="Exclude"</formula>
    </cfRule>
  </conditionalFormatting>
  <conditionalFormatting sqref="E23">
    <cfRule type="expression" dxfId="2547" priority="89">
      <formula>sizing_vcfauto_chosen="Exclude"</formula>
    </cfRule>
  </conditionalFormatting>
  <conditionalFormatting sqref="E24">
    <cfRule type="expression" dxfId="2546" priority="90">
      <formula>sizing_vcfops_logs_chosen="Exclude"</formula>
    </cfRule>
  </conditionalFormatting>
  <conditionalFormatting sqref="E25">
    <cfRule type="expression" dxfId="2545" priority="59">
      <formula>sizing_vcfops_net_chosen="Exclude"</formula>
    </cfRule>
  </conditionalFormatting>
  <conditionalFormatting sqref="E26">
    <cfRule type="expression" dxfId="2544" priority="58">
      <formula>sizing_vcfops_net_collector_chosen="Exclude"</formula>
    </cfRule>
  </conditionalFormatting>
  <conditionalFormatting sqref="E27">
    <cfRule type="expression" dxfId="2543" priority="88">
      <formula>sizing_vcfvidb_chosen="Exclude"</formula>
    </cfRule>
  </conditionalFormatting>
  <conditionalFormatting sqref="F71:F72 E13:E16 D32:E32">
    <cfRule type="containsBlanks" dxfId="2542" priority="1096">
      <formula>LEN(TRIM(D13))=0</formula>
    </cfRule>
  </conditionalFormatting>
  <conditionalFormatting sqref="F76 F78 O32:R32 L32:M32 E8:E9 I32:J32">
    <cfRule type="containsBlanks" dxfId="2541" priority="1098">
      <formula>LEN(TRIM(E8))=0</formula>
    </cfRule>
  </conditionalFormatting>
  <conditionalFormatting sqref="F76">
    <cfRule type="expression" dxfId="2540" priority="396">
      <formula>cbr_result="Excluded"</formula>
    </cfRule>
  </conditionalFormatting>
  <conditionalFormatting sqref="F78">
    <cfRule type="expression" dxfId="2539" priority="394">
      <formula>ccm_result="Excluded"</formula>
    </cfRule>
  </conditionalFormatting>
  <conditionalFormatting sqref="F74:J74">
    <cfRule type="expression" dxfId="2538" priority="60">
      <formula>rwr_chosen="Include"</formula>
    </cfRule>
  </conditionalFormatting>
  <conditionalFormatting sqref="F74:K74">
    <cfRule type="expression" dxfId="2537" priority="61">
      <formula>rwr_chosen="Exclude"</formula>
    </cfRule>
  </conditionalFormatting>
  <conditionalFormatting sqref="F71:R71">
    <cfRule type="expression" dxfId="2536" priority="91">
      <formula>AND((spr_mo_result="False"),(spr_mw_result="False"))</formula>
    </cfRule>
  </conditionalFormatting>
  <conditionalFormatting sqref="F72:R72">
    <cfRule type="expression" dxfId="2535" priority="53">
      <formula>AND((spr_wo_result="False"),(spr_mw_result="False"))</formula>
    </cfRule>
  </conditionalFormatting>
  <conditionalFormatting sqref="G71:J71">
    <cfRule type="expression" dxfId="2534" priority="54">
      <formula>$G$71=1</formula>
    </cfRule>
  </conditionalFormatting>
  <conditionalFormatting sqref="G72:J72">
    <cfRule type="expression" dxfId="2533" priority="387">
      <formula>$G$72&gt;0</formula>
    </cfRule>
  </conditionalFormatting>
  <conditionalFormatting sqref="G76:J76">
    <cfRule type="expression" dxfId="2532" priority="56">
      <formula>cbr_result="Included"</formula>
    </cfRule>
    <cfRule type="expression" dxfId="2531" priority="196">
      <formula>cbr_result="Excluded"</formula>
    </cfRule>
  </conditionalFormatting>
  <conditionalFormatting sqref="G78:J78">
    <cfRule type="expression" dxfId="2530" priority="197">
      <formula>ccm_result="Excluded"</formula>
    </cfRule>
    <cfRule type="expression" dxfId="2529" priority="55">
      <formula>ccm_result="Included"</formula>
    </cfRule>
  </conditionalFormatting>
  <conditionalFormatting sqref="H36">
    <cfRule type="expression" dxfId="2528" priority="486">
      <formula>AND(sizing_w01_chosen="Isolated Vi Workload Domain",sizing_w01_nsxt_model="Shared")</formula>
    </cfRule>
  </conditionalFormatting>
  <conditionalFormatting sqref="I65">
    <cfRule type="expression" dxfId="2527" priority="218">
      <formula>AND((cbr_chosen&lt;&gt;"Exclude"),(cbr_result="Included"))</formula>
    </cfRule>
    <cfRule type="expression" dxfId="2526" priority="219">
      <formula>AND((cbr_chosen&lt;&gt;"Exclude"),(cbr_result="Excluded"))</formula>
    </cfRule>
  </conditionalFormatting>
  <conditionalFormatting sqref="I66">
    <cfRule type="expression" dxfId="2525" priority="228" stopIfTrue="1">
      <formula>AND((ccm_chosen&lt;&gt;"Exclude"),(ccm_result="Excluded"))</formula>
    </cfRule>
    <cfRule type="expression" dxfId="2524" priority="229">
      <formula>(ccm_chosen="Exclude")</formula>
    </cfRule>
  </conditionalFormatting>
  <conditionalFormatting sqref="I40:J40">
    <cfRule type="expression" dxfId="2523" priority="583">
      <formula>(sizing_w05_nsxt_model="Shared")</formula>
    </cfRule>
  </conditionalFormatting>
  <conditionalFormatting sqref="I41:J41">
    <cfRule type="expression" dxfId="2522" priority="582">
      <formula>(sizing_w06_nsxt_model="Shared")</formula>
    </cfRule>
  </conditionalFormatting>
  <conditionalFormatting sqref="I42:J42">
    <cfRule type="expression" dxfId="2521" priority="581">
      <formula>(sizing_w07_nsxt_model="Shared")</formula>
    </cfRule>
  </conditionalFormatting>
  <conditionalFormatting sqref="I43:J43">
    <cfRule type="expression" dxfId="2520" priority="580">
      <formula>(sizing_w08_nsxt_model="Shared")</formula>
    </cfRule>
  </conditionalFormatting>
  <conditionalFormatting sqref="I44:J44">
    <cfRule type="expression" dxfId="2519" priority="579">
      <formula>(sizing_w09_nsxt_model="Shared")</formula>
    </cfRule>
  </conditionalFormatting>
  <conditionalFormatting sqref="I45:J45">
    <cfRule type="expression" dxfId="2518" priority="578">
      <formula>(sizing_w10_nsxt_model="Shared")</formula>
    </cfRule>
  </conditionalFormatting>
  <conditionalFormatting sqref="I46:J46">
    <cfRule type="expression" dxfId="2517" priority="577">
      <formula>(sizing_w11_nsxt_model="Shared")</formula>
    </cfRule>
  </conditionalFormatting>
  <conditionalFormatting sqref="I47:J47">
    <cfRule type="expression" dxfId="2516" priority="576">
      <formula>(sizing_w12_nsxt_model="Shared")</formula>
    </cfRule>
  </conditionalFormatting>
  <conditionalFormatting sqref="I48:J48">
    <cfRule type="expression" dxfId="2515" priority="575">
      <formula>(sizing_w13_nsxt_model="Shared")</formula>
    </cfRule>
  </conditionalFormatting>
  <conditionalFormatting sqref="I49:J49">
    <cfRule type="expression" dxfId="2514" priority="574">
      <formula>(sizing_w14_nsxt_model="Shared")</formula>
    </cfRule>
  </conditionalFormatting>
  <conditionalFormatting sqref="I63:J63">
    <cfRule type="expression" dxfId="2513" priority="206">
      <formula>(spr_chosen="Exclude")</formula>
    </cfRule>
    <cfRule type="expression" dxfId="2512" priority="208">
      <formula>AND((spr_chosen&lt;&gt;"Exclude"),(spr_result="Included"))</formula>
    </cfRule>
    <cfRule type="expression" dxfId="2511" priority="207">
      <formula>AND((spr_chosen&lt;&gt;"Exclude"),(spr_result="Excluded"))</formula>
    </cfRule>
  </conditionalFormatting>
  <conditionalFormatting sqref="I37:K37">
    <cfRule type="expression" dxfId="2510" priority="710">
      <formula>(sizing_w02_nsxt_model="Shared")</formula>
    </cfRule>
  </conditionalFormatting>
  <conditionalFormatting sqref="I38:K38">
    <cfRule type="expression" dxfId="2509" priority="585">
      <formula>(sizing_w03_nsxt_model="Shared")</formula>
    </cfRule>
  </conditionalFormatting>
  <conditionalFormatting sqref="I39:K39">
    <cfRule type="expression" dxfId="2508" priority="584">
      <formula>(sizing_w04_nsxt_model="Shared")</formula>
    </cfRule>
  </conditionalFormatting>
  <conditionalFormatting sqref="I65:K65">
    <cfRule type="expression" dxfId="2507" priority="220">
      <formula>(cbr_chosen="Exclude")</formula>
    </cfRule>
  </conditionalFormatting>
  <conditionalFormatting sqref="I66:K66">
    <cfRule type="expression" dxfId="2506" priority="222">
      <formula>AND((ccm_chosen&lt;&gt;"Exclude"),(ccm_result="Included"))</formula>
    </cfRule>
  </conditionalFormatting>
  <conditionalFormatting sqref="J65:K65">
    <cfRule type="expression" dxfId="2505" priority="226">
      <formula>AND((cbr_chosen&lt;&gt;"Exclude"),(cbr_result="Included"))</formula>
    </cfRule>
    <cfRule type="expression" dxfId="2504" priority="221">
      <formula>AND((cbr_chosen&lt;&gt;"Exclude"),(cbr_result="Excluded"))</formula>
    </cfRule>
  </conditionalFormatting>
  <conditionalFormatting sqref="J66:K66">
    <cfRule type="expression" dxfId="2503" priority="234" stopIfTrue="1">
      <formula>(ccm_chosen="Exclude")</formula>
    </cfRule>
    <cfRule type="expression" dxfId="2502" priority="233">
      <formula>AND((ccm_chosen&lt;&gt;"Exclude"),(ccm_result="Excluded"))</formula>
    </cfRule>
  </conditionalFormatting>
  <conditionalFormatting sqref="L32:M32">
    <cfRule type="expression" dxfId="2501" priority="96">
      <formula>sizing_m01_nsxt_edge_size="Excluded"</formula>
    </cfRule>
  </conditionalFormatting>
  <conditionalFormatting sqref="L37:M37">
    <cfRule type="expression" dxfId="2500" priority="709">
      <formula>(sizing_w02_gm_result&lt;&gt;"Excluded")</formula>
    </cfRule>
  </conditionalFormatting>
  <conditionalFormatting sqref="L36:N36 S36:T36 C36:J36 P36:Q36">
    <cfRule type="expression" dxfId="2499" priority="718">
      <formula>(sizing_w01_chosen="Included")</formula>
    </cfRule>
  </conditionalFormatting>
  <conditionalFormatting sqref="L36:N36">
    <cfRule type="expression" dxfId="2498" priority="714">
      <formula>(sizing_w01_gm_chosen="Excluded")</formula>
    </cfRule>
    <cfRule type="expression" dxfId="2497" priority="717">
      <formula>(sizing_w01_gm_chosen&lt;&gt;"Excluded")</formula>
    </cfRule>
  </conditionalFormatting>
  <conditionalFormatting sqref="L38:N38">
    <cfRule type="expression" dxfId="2496" priority="562">
      <formula>(sizing_w03_gm_chosen="Excluded")</formula>
    </cfRule>
    <cfRule type="expression" dxfId="2495" priority="706">
      <formula>(sizing_w03_gm_chosen&lt;&gt;"Excluded")</formula>
    </cfRule>
  </conditionalFormatting>
  <conditionalFormatting sqref="L39:N39">
    <cfRule type="expression" dxfId="2494" priority="699">
      <formula>(sizing_w04_gm_chosen&lt;&gt;"Excluded")</formula>
    </cfRule>
    <cfRule type="expression" dxfId="2493" priority="563">
      <formula>(sizing_w04_gm_chosen="Excluded")</formula>
    </cfRule>
  </conditionalFormatting>
  <conditionalFormatting sqref="L40:N40">
    <cfRule type="expression" dxfId="2492" priority="698">
      <formula>(sizing_w05_gm_chosen&lt;&gt;"Excluded")</formula>
    </cfRule>
    <cfRule type="expression" dxfId="2491" priority="564">
      <formula>(sizing_w05_gm_chosen="Excluded")</formula>
    </cfRule>
  </conditionalFormatting>
  <conditionalFormatting sqref="L41:N41">
    <cfRule type="expression" dxfId="2490" priority="565">
      <formula>(sizing_w06_gm_chosen="Excluded")</formula>
    </cfRule>
    <cfRule type="expression" dxfId="2489" priority="696">
      <formula>(sizing_w06_gm_chosen&lt;&gt;"Excluded")</formula>
    </cfRule>
  </conditionalFormatting>
  <conditionalFormatting sqref="L42:N42">
    <cfRule type="expression" dxfId="2488" priority="566">
      <formula>(sizing_w07_gm_chosen="Excluded")</formula>
    </cfRule>
    <cfRule type="expression" dxfId="2487" priority="694">
      <formula>(sizing_w07_gm_chosen&lt;&gt;"Excluded")</formula>
    </cfRule>
  </conditionalFormatting>
  <conditionalFormatting sqref="L43:N43">
    <cfRule type="expression" dxfId="2486" priority="651">
      <formula>(sizing_w08_gm_chosen="Excluded")</formula>
    </cfRule>
    <cfRule type="expression" dxfId="2485" priority="680">
      <formula>(sizing_w08_gm_chosen&lt;&gt;"Excluded")</formula>
    </cfRule>
  </conditionalFormatting>
  <conditionalFormatting sqref="L44:N44">
    <cfRule type="expression" dxfId="2484" priority="567">
      <formula>(sizing_w09_gm_chosen="Excluded")</formula>
    </cfRule>
    <cfRule type="expression" dxfId="2483" priority="676" stopIfTrue="1">
      <formula>(sizing_w09_gm_chosen&lt;&gt;"Excluded")</formula>
    </cfRule>
  </conditionalFormatting>
  <conditionalFormatting sqref="L45:N45">
    <cfRule type="expression" dxfId="2482" priority="652">
      <formula>(sizing_w10_gm_chosen="Excluded")</formula>
    </cfRule>
    <cfRule type="expression" dxfId="2481" priority="674">
      <formula>(sizing_w10_gm_chosen&lt;&gt;"Excluded")</formula>
    </cfRule>
  </conditionalFormatting>
  <conditionalFormatting sqref="L46:N46">
    <cfRule type="expression" dxfId="2480" priority="653">
      <formula>(sizing_w11_gm_chosen="Excluded")</formula>
    </cfRule>
    <cfRule type="expression" dxfId="2479" priority="673">
      <formula>(sizing_w11_gm_chosen&lt;&gt;"Excluded")</formula>
    </cfRule>
  </conditionalFormatting>
  <conditionalFormatting sqref="L47:N47">
    <cfRule type="expression" dxfId="2478" priority="671">
      <formula>(sizing_w12_gm_chosen&lt;&gt;"Excluded")</formula>
    </cfRule>
    <cfRule type="expression" dxfId="2477" priority="654">
      <formula>(sizing_w12_gm_chosen="Excluded")</formula>
    </cfRule>
  </conditionalFormatting>
  <conditionalFormatting sqref="L48:N48">
    <cfRule type="expression" dxfId="2476" priority="655">
      <formula>(sizing_w13_gm_chosen="Excluded")</formula>
    </cfRule>
  </conditionalFormatting>
  <conditionalFormatting sqref="L49:N49">
    <cfRule type="expression" dxfId="2475" priority="668">
      <formula>(sizing_w14_gm_chosen&lt;&gt;"Excluded")</formula>
    </cfRule>
    <cfRule type="expression" dxfId="2474" priority="656">
      <formula>(sizing_w14_gm_chosen="Excluded")</formula>
    </cfRule>
  </conditionalFormatting>
  <conditionalFormatting sqref="L50:N50">
    <cfRule type="expression" dxfId="2473" priority="657">
      <formula>(sizing_w15_gm_chosen="Excluded")</formula>
    </cfRule>
    <cfRule type="expression" dxfId="2472" priority="667">
      <formula>(sizing_w15_gm_chosen&lt;&gt;"Excluded")</formula>
    </cfRule>
  </conditionalFormatting>
  <conditionalFormatting sqref="L51:N51">
    <cfRule type="expression" dxfId="2471" priority="509">
      <formula>(sizing_w16_gm_chosen="Excluded")</formula>
    </cfRule>
    <cfRule type="expression" dxfId="2470" priority="664">
      <formula>(sizing_w16_gm_chosen&lt;&gt;"Excluded")</formula>
    </cfRule>
  </conditionalFormatting>
  <conditionalFormatting sqref="L52:N52">
    <cfRule type="expression" dxfId="2469" priority="510">
      <formula>(sizing_w17_gm_chosen="Excluded")</formula>
    </cfRule>
    <cfRule type="expression" dxfId="2468" priority="665">
      <formula>(sizing_w17_gm_chosen&lt;&gt;"Excluded")</formula>
    </cfRule>
  </conditionalFormatting>
  <conditionalFormatting sqref="L53:N53">
    <cfRule type="expression" dxfId="2467" priority="511">
      <formula>(sizing_w18_gm_chosen="Excluded")</formula>
    </cfRule>
    <cfRule type="expression" dxfId="2466" priority="666">
      <formula>(sizing_w18_gm_chosen&lt;&gt;"Excluded")</formula>
    </cfRule>
  </conditionalFormatting>
  <conditionalFormatting sqref="L54:N54">
    <cfRule type="expression" dxfId="2465" priority="512">
      <formula>(sizing_w19_gm_chosen="Excluded")</formula>
    </cfRule>
    <cfRule type="expression" dxfId="2464" priority="663">
      <formula>(sizing_w19_gm_chosen&lt;&gt;"Excluded")</formula>
    </cfRule>
  </conditionalFormatting>
  <conditionalFormatting sqref="L55:N55">
    <cfRule type="expression" dxfId="2463" priority="662">
      <formula>(sizing_w20_gm_chosen&lt;&gt;"Excluded")</formula>
    </cfRule>
    <cfRule type="expression" dxfId="2462" priority="513">
      <formula>(sizing_w20_gm_chosen="Excluded")</formula>
    </cfRule>
  </conditionalFormatting>
  <conditionalFormatting sqref="L56:N56">
    <cfRule type="expression" dxfId="2461" priority="514">
      <formula>(sizing_w21_gm_chosen="Excluded")</formula>
    </cfRule>
    <cfRule type="expression" dxfId="2460" priority="661">
      <formula>(sizing_w21_gm_chosen&lt;&gt;"Excluded")</formula>
    </cfRule>
  </conditionalFormatting>
  <conditionalFormatting sqref="L57:N57">
    <cfRule type="expression" dxfId="2459" priority="660">
      <formula>(sizing_w22_gm_chosen&lt;&gt;"Excluded")</formula>
    </cfRule>
    <cfRule type="expression" dxfId="2458" priority="515">
      <formula>(sizing_w22_gm_chosen="Excluded")</formula>
    </cfRule>
  </conditionalFormatting>
  <conditionalFormatting sqref="L58:N58">
    <cfRule type="expression" dxfId="2457" priority="659">
      <formula>(sizing_w23_gm_chosen&lt;&gt;"Excluded")</formula>
    </cfRule>
    <cfRule type="expression" dxfId="2456" priority="516">
      <formula>(sizing_w23_gm_chosen="Excluded")</formula>
    </cfRule>
  </conditionalFormatting>
  <conditionalFormatting sqref="L59:N59">
    <cfRule type="expression" dxfId="2455" priority="658">
      <formula>(sizing_w24_gm_chosen&lt;&gt;"Excluded")</formula>
    </cfRule>
    <cfRule type="expression" dxfId="2454" priority="538">
      <formula>(sizing_w24_gm_chosen="Excluded")</formula>
    </cfRule>
  </conditionalFormatting>
  <conditionalFormatting sqref="L37:O37">
    <cfRule type="expression" dxfId="2453" priority="702">
      <formula>(sizing_w02_gm_chosen="Excluded")</formula>
    </cfRule>
    <cfRule type="expression" dxfId="2452" priority="712">
      <formula>(sizing_w02_gm_chosen&lt;&gt;"Excluded")</formula>
    </cfRule>
  </conditionalFormatting>
  <conditionalFormatting sqref="M36:N36">
    <cfRule type="expression" dxfId="2451" priority="713">
      <formula>(sizing_w01_gm_chosen="Connect Instance")</formula>
    </cfRule>
    <cfRule type="expression" dxfId="2450" priority="716">
      <formula>(sizing_w01_gm_result="Included")</formula>
    </cfRule>
    <cfRule type="expression" dxfId="2449" priority="192" stopIfTrue="1">
      <formula>(sizing_w01_gm_result&lt;&gt;"Included")</formula>
    </cfRule>
  </conditionalFormatting>
  <conditionalFormatting sqref="M38:N38">
    <cfRule type="expression" dxfId="2448" priority="649">
      <formula>(sizing_w03_gm_result&lt;&gt;"Excluded")</formula>
    </cfRule>
    <cfRule type="expression" dxfId="2447" priority="346">
      <formula>(sizing_w03_gm_chosen="Connect Instance")</formula>
    </cfRule>
  </conditionalFormatting>
  <conditionalFormatting sqref="M39:N39">
    <cfRule type="expression" dxfId="2446" priority="647">
      <formula>(sizing_w04_gm_result&lt;&gt;"Excluded")</formula>
    </cfRule>
    <cfRule type="expression" dxfId="2445" priority="238">
      <formula>(sizing_w04_gm_chosen="Connect Instance")</formula>
    </cfRule>
  </conditionalFormatting>
  <conditionalFormatting sqref="M40:N40">
    <cfRule type="expression" dxfId="2444" priority="279">
      <formula>(sizing_w05_gm_chosen="Connect Instance")</formula>
    </cfRule>
    <cfRule type="expression" dxfId="2443" priority="645">
      <formula>(sizing_w05_gm_result&lt;&gt;"Excluded")</formula>
    </cfRule>
  </conditionalFormatting>
  <conditionalFormatting sqref="M41:N41">
    <cfRule type="expression" dxfId="2442" priority="278">
      <formula>(sizing_w06_gm_chosen="Connect Instance")</formula>
    </cfRule>
    <cfRule type="expression" dxfId="2441" priority="643">
      <formula>(sizing_w06_gm_result&lt;&gt;"Excluded")</formula>
    </cfRule>
  </conditionalFormatting>
  <conditionalFormatting sqref="M42:N42">
    <cfRule type="expression" dxfId="2440" priority="640">
      <formula>(sizing_w07_gm_result&lt;&gt;"Excluded")</formula>
    </cfRule>
    <cfRule type="expression" dxfId="2439" priority="300">
      <formula>(sizing_w07_gm_chosen="Connect Instance")</formula>
    </cfRule>
  </conditionalFormatting>
  <conditionalFormatting sqref="M43:N43">
    <cfRule type="expression" dxfId="2438" priority="277">
      <formula>(sizing_w08_gm_chosen="Connect Instance")</formula>
    </cfRule>
    <cfRule type="expression" dxfId="2437" priority="639">
      <formula>(sizing_w08_gm_result&lt;&gt;"Excluded")</formula>
    </cfRule>
  </conditionalFormatting>
  <conditionalFormatting sqref="M44:N44">
    <cfRule type="expression" dxfId="2436" priority="276">
      <formula>(sizing_w09_gm_chosen="Connect Instance")</formula>
    </cfRule>
    <cfRule type="expression" dxfId="2435" priority="636">
      <formula>(sizing_w09_gm_result&lt;&gt;"Excluded")</formula>
    </cfRule>
  </conditionalFormatting>
  <conditionalFormatting sqref="M45:N45">
    <cfRule type="expression" dxfId="2434" priority="634">
      <formula>(sizing_w10_gm_result&lt;&gt;"Excluded")</formula>
    </cfRule>
    <cfRule type="expression" dxfId="2433" priority="275">
      <formula>(sizing_w10_gm_chosen="Connect Instance")</formula>
    </cfRule>
  </conditionalFormatting>
  <conditionalFormatting sqref="M46:N46">
    <cfRule type="expression" dxfId="2432" priority="632">
      <formula>(sizing_w11_gm_result&lt;&gt;"Excluded")</formula>
    </cfRule>
    <cfRule type="expression" dxfId="2431" priority="274">
      <formula>(sizing_w11_gm_chosen="Connect Instance")</formula>
    </cfRule>
  </conditionalFormatting>
  <conditionalFormatting sqref="M47:N47">
    <cfRule type="expression" dxfId="2430" priority="273">
      <formula>(sizing_w12_gm_chosen="Connect Instance")</formula>
    </cfRule>
    <cfRule type="expression" dxfId="2429" priority="628">
      <formula>(sizing_w12_gm_result&lt;&gt;"Excluded")</formula>
    </cfRule>
  </conditionalFormatting>
  <conditionalFormatting sqref="M48:N48">
    <cfRule type="expression" dxfId="2428" priority="626">
      <formula>(sizing_w13_gm_result&lt;&gt;"Excluded")</formula>
    </cfRule>
    <cfRule type="expression" dxfId="2427" priority="75">
      <formula>(sizing_w13_gm_chosen="Connect Instance")</formula>
    </cfRule>
  </conditionalFormatting>
  <conditionalFormatting sqref="M49:N49 L48:N48">
    <cfRule type="expression" dxfId="2426" priority="669">
      <formula>(sizing_w13_gm_chosen&lt;&gt;"Excluded")</formula>
    </cfRule>
  </conditionalFormatting>
  <conditionalFormatting sqref="M49:N49">
    <cfRule type="expression" dxfId="2425" priority="271">
      <formula>(sizing_w14_gm_chosen="Connect Instance")</formula>
    </cfRule>
    <cfRule type="expression" dxfId="2424" priority="624">
      <formula>(sizing_w14_gm_result&lt;&gt;"Excluded")</formula>
    </cfRule>
  </conditionalFormatting>
  <conditionalFormatting sqref="M50:N50">
    <cfRule type="expression" dxfId="2423" priority="270">
      <formula>(sizing_w15_gm_chosen="Connect Instance")</formula>
    </cfRule>
  </conditionalFormatting>
  <conditionalFormatting sqref="M51:N51">
    <cfRule type="expression" dxfId="2422" priority="72">
      <formula>(sizing_w16_gm_chosen="Connect Instance")</formula>
    </cfRule>
  </conditionalFormatting>
  <conditionalFormatting sqref="M52:N52">
    <cfRule type="expression" dxfId="2421" priority="268">
      <formula>(sizing_w17_gm_chosen="Connect Instance")</formula>
    </cfRule>
  </conditionalFormatting>
  <conditionalFormatting sqref="M53:N53">
    <cfRule type="expression" dxfId="2420" priority="267">
      <formula>(sizing_w18_gm_chosen="Connect Instance")</formula>
    </cfRule>
  </conditionalFormatting>
  <conditionalFormatting sqref="M54:N54">
    <cfRule type="expression" dxfId="2419" priority="266">
      <formula>(sizing_w19_gm_chosen="Connect Instance")</formula>
    </cfRule>
  </conditionalFormatting>
  <conditionalFormatting sqref="M55:N55">
    <cfRule type="expression" dxfId="2418" priority="265">
      <formula>(sizing_w20_gm_chosen="Connect Instance")</formula>
    </cfRule>
  </conditionalFormatting>
  <conditionalFormatting sqref="M56:N56">
    <cfRule type="expression" dxfId="2417" priority="264">
      <formula>(sizing_w21_gm_chosen="Connect Instance")</formula>
    </cfRule>
  </conditionalFormatting>
  <conditionalFormatting sqref="M57:N57">
    <cfRule type="expression" dxfId="2416" priority="263">
      <formula>(sizing_w22_gm_chosen="Connect Instance")</formula>
    </cfRule>
  </conditionalFormatting>
  <conditionalFormatting sqref="M58:N58">
    <cfRule type="expression" dxfId="2415" priority="262">
      <formula>(sizing_w23_gm_chosen="Connect Instance")</formula>
    </cfRule>
  </conditionalFormatting>
  <conditionalFormatting sqref="M59:N59">
    <cfRule type="expression" dxfId="2414" priority="64">
      <formula>(sizing_w14_gm_chosen="Connect Instance")</formula>
    </cfRule>
  </conditionalFormatting>
  <conditionalFormatting sqref="M37:O37">
    <cfRule type="expression" dxfId="2413" priority="348">
      <formula>(sizing_w02_gm_chosen="Connect Instance")</formula>
    </cfRule>
  </conditionalFormatting>
  <conditionalFormatting sqref="O32:P32">
    <cfRule type="expression" dxfId="2412" priority="95">
      <formula>sizing_m01_nsxt_gm_appliance_size="Excluded"</formula>
    </cfRule>
  </conditionalFormatting>
  <conditionalFormatting sqref="P36:Q36">
    <cfRule type="expression" dxfId="2411" priority="381">
      <formula>(sizing_w01_spr_chosen="Exclude")</formula>
    </cfRule>
    <cfRule type="expression" dxfId="2410" priority="715">
      <formula>(sizing_w01_spr_chosen="Include")</formula>
    </cfRule>
  </conditionalFormatting>
  <conditionalFormatting sqref="P37:Q37">
    <cfRule type="expression" dxfId="2409" priority="705">
      <formula>(sizing_w02_spr_chosen="Include")</formula>
    </cfRule>
    <cfRule type="expression" dxfId="2408" priority="703">
      <formula>(sizing_w02_spr_chosen="Exclude")</formula>
    </cfRule>
  </conditionalFormatting>
  <conditionalFormatting sqref="P38:Q38">
    <cfRule type="expression" dxfId="2407" priority="623">
      <formula>(sizing_w03_spr_chosen="Include")</formula>
    </cfRule>
    <cfRule type="expression" dxfId="2406" priority="622">
      <formula>(sizing_w03_spr_chosen="Exclude")</formula>
    </cfRule>
  </conditionalFormatting>
  <conditionalFormatting sqref="P39:Q39">
    <cfRule type="expression" dxfId="2405" priority="619">
      <formula>(sizing_w04_spr_chosen="Exclude")</formula>
    </cfRule>
    <cfRule type="expression" dxfId="2404" priority="620">
      <formula>(sizing_w04_spr_chosen="Include")</formula>
    </cfRule>
  </conditionalFormatting>
  <conditionalFormatting sqref="P40:Q40">
    <cfRule type="expression" dxfId="2403" priority="617" stopIfTrue="1">
      <formula>(sizing_w05_spr_chosen="Include")</formula>
    </cfRule>
    <cfRule type="expression" dxfId="2402" priority="616">
      <formula>(sizing_w05_spr_chosen="Exclude")</formula>
    </cfRule>
    <cfRule type="expression" dxfId="2401" priority="615">
      <formula>(sizing_w05_result="Excluded")</formula>
    </cfRule>
  </conditionalFormatting>
  <conditionalFormatting sqref="P41:Q41">
    <cfRule type="expression" dxfId="2400" priority="614">
      <formula>(sizing_w06_spr_chosen="Include")</formula>
    </cfRule>
    <cfRule type="expression" dxfId="2399" priority="613">
      <formula>(sizing_w06_spr_chosen="Exclude")</formula>
    </cfRule>
    <cfRule type="expression" dxfId="2398" priority="612">
      <formula>(sizing_w06_result="Excluded")</formula>
    </cfRule>
  </conditionalFormatting>
  <conditionalFormatting sqref="P42:Q42">
    <cfRule type="expression" dxfId="2397" priority="611">
      <formula>(sizing_w07_spr_chosen="Include")</formula>
    </cfRule>
    <cfRule type="expression" dxfId="2396" priority="610">
      <formula>(sizing_w07_spr_chosen="Exclude")</formula>
    </cfRule>
  </conditionalFormatting>
  <conditionalFormatting sqref="P43:Q43">
    <cfRule type="expression" dxfId="2395" priority="608">
      <formula>(sizing_w08_spr_chosen="Exclude")</formula>
    </cfRule>
    <cfRule type="expression" dxfId="2394" priority="606">
      <formula>(sizing_w08_spr_chosen="Include")</formula>
    </cfRule>
  </conditionalFormatting>
  <conditionalFormatting sqref="P44:Q44">
    <cfRule type="expression" dxfId="2393" priority="604">
      <formula>(sizing_w09_spr_chosen="Exclude")</formula>
    </cfRule>
    <cfRule type="expression" dxfId="2392" priority="605">
      <formula>(sizing_w09_spr_chosen="Include")</formula>
    </cfRule>
  </conditionalFormatting>
  <conditionalFormatting sqref="P45:Q45">
    <cfRule type="expression" dxfId="2391" priority="602">
      <formula>(sizing_w10_spr_chosen="Include")</formula>
    </cfRule>
    <cfRule type="expression" dxfId="2390" priority="601">
      <formula>(sizing_w10_spr_chosen="Exclude")</formula>
    </cfRule>
  </conditionalFormatting>
  <conditionalFormatting sqref="P46:Q46">
    <cfRule type="expression" dxfId="2389" priority="599">
      <formula>(sizing_w11_spr_chosen="Include")</formula>
    </cfRule>
    <cfRule type="expression" dxfId="2388" priority="598">
      <formula>(sizing_w11_spr_chosen="Exclude")</formula>
    </cfRule>
  </conditionalFormatting>
  <conditionalFormatting sqref="P47:Q47">
    <cfRule type="expression" dxfId="2387" priority="595">
      <formula>(sizing_w12_spr_chosen="Include")</formula>
    </cfRule>
    <cfRule type="expression" dxfId="2386" priority="593">
      <formula>(sizing_w12_spr_chosen="Exclude")</formula>
    </cfRule>
  </conditionalFormatting>
  <conditionalFormatting sqref="P48:Q48">
    <cfRule type="expression" dxfId="2385" priority="591">
      <formula>(sizing_w13_spr_chosen="Include")</formula>
    </cfRule>
    <cfRule type="expression" dxfId="2384" priority="590">
      <formula>(sizing_w13_spr_chosen="Exclude")</formula>
    </cfRule>
  </conditionalFormatting>
  <conditionalFormatting sqref="P49:Q49">
    <cfRule type="expression" dxfId="2383" priority="588">
      <formula>(sizing_w14_spr_chosen="Include")</formula>
    </cfRule>
    <cfRule type="expression" dxfId="2382" priority="587">
      <formula>(sizing_w14_spr_chosen="Exclude")</formula>
    </cfRule>
  </conditionalFormatting>
  <conditionalFormatting sqref="P50:Q50">
    <cfRule type="expression" dxfId="2381" priority="558">
      <formula>(sizing_w15_spr_chosen="Include")</formula>
    </cfRule>
    <cfRule type="expression" dxfId="2380" priority="537">
      <formula>(sizing_w15_spr_chosen="Exclude")</formula>
    </cfRule>
  </conditionalFormatting>
  <conditionalFormatting sqref="P51:Q51">
    <cfRule type="expression" dxfId="2379" priority="536">
      <formula>(sizing_w16_spr_chosen="Include")</formula>
    </cfRule>
    <cfRule type="expression" dxfId="2378" priority="526">
      <formula>(sizing_w16_spr_chosen="Exclude")</formula>
    </cfRule>
  </conditionalFormatting>
  <conditionalFormatting sqref="P52:Q52">
    <cfRule type="expression" dxfId="2377" priority="535">
      <formula>(sizing_w17_spr_chosen="Include")</formula>
    </cfRule>
    <cfRule type="expression" dxfId="2376" priority="525">
      <formula>(sizing_w17_spr_chosen="Exclude")</formula>
    </cfRule>
  </conditionalFormatting>
  <conditionalFormatting sqref="P53:Q53">
    <cfRule type="expression" dxfId="2375" priority="501">
      <formula>(sizing_w18_spr_chosen="Exclude")</formula>
    </cfRule>
    <cfRule type="expression" dxfId="2374" priority="534">
      <formula>(sizing_w18_spr_chosen="Include")</formula>
    </cfRule>
  </conditionalFormatting>
  <conditionalFormatting sqref="P54:Q54">
    <cfRule type="expression" dxfId="2373" priority="523">
      <formula>(sizing_w19_spr_chosen="Exclude")</formula>
    </cfRule>
    <cfRule type="expression" dxfId="2372" priority="533">
      <formula>(sizing_w19_spr_chosen="Include")</formula>
    </cfRule>
  </conditionalFormatting>
  <conditionalFormatting sqref="P55:Q55">
    <cfRule type="expression" dxfId="2371" priority="532">
      <formula>(sizing_w20_spr_chosen="Include")</formula>
    </cfRule>
    <cfRule type="expression" dxfId="2370" priority="522">
      <formula>(sizing_w20_spr_chosen="Exclude")</formula>
    </cfRule>
  </conditionalFormatting>
  <conditionalFormatting sqref="P56:Q56">
    <cfRule type="expression" dxfId="2369" priority="531">
      <formula>(sizing_w21_spr_chosen="Include")</formula>
    </cfRule>
    <cfRule type="expression" dxfId="2368" priority="521">
      <formula>(sizing_w21_spr_chosen="Exclude")</formula>
    </cfRule>
  </conditionalFormatting>
  <conditionalFormatting sqref="P57:Q57">
    <cfRule type="expression" dxfId="2367" priority="520">
      <formula>(sizing_w22_spr_chosen="Exclude")</formula>
    </cfRule>
    <cfRule type="expression" dxfId="2366" priority="530">
      <formula>(sizing_w22_spr_chosen="Include")</formula>
    </cfRule>
  </conditionalFormatting>
  <conditionalFormatting sqref="P58:Q58">
    <cfRule type="expression" dxfId="2365" priority="529">
      <formula>(sizing_w23_spr_chosen="Include")</formula>
    </cfRule>
    <cfRule type="expression" dxfId="2364" priority="519">
      <formula>(sizing_w23_spr_chosen="Exclude")</formula>
    </cfRule>
  </conditionalFormatting>
  <conditionalFormatting sqref="P59:Q59">
    <cfRule type="expression" dxfId="2363" priority="528">
      <formula>(sizing_w24_spr_chosen="Include")</formula>
    </cfRule>
    <cfRule type="expression" dxfId="2362" priority="518">
      <formula>(sizing_w24_spr_chosen="Exclude")</formula>
    </cfRule>
  </conditionalFormatting>
  <conditionalFormatting sqref="Q32:R32">
    <cfRule type="expression" dxfId="2361" priority="384" stopIfTrue="1">
      <formula>sizing_mgmt_avi_lb_appliance_size="Excluded"</formula>
    </cfRule>
  </conditionalFormatting>
  <conditionalFormatting sqref="R18:S19 R21:S21">
    <cfRule type="expression" dxfId="2360" priority="1">
      <formula>OR((sizing_storage_type="FC"),(sizing_storage_type="NFS"))</formula>
    </cfRule>
  </conditionalFormatting>
  <conditionalFormatting sqref="S36:T36">
    <cfRule type="expression" dxfId="2359" priority="707">
      <formula>sizing_w01_avi_appliance_size="Excluded"</formula>
    </cfRule>
  </conditionalFormatting>
  <conditionalFormatting sqref="S37:T37">
    <cfRule type="expression" dxfId="2358" priority="362">
      <formula>OR((sizing_w02_spr_chosen&lt;&gt;"Exclude"),(sizing_w02_gm_chosen&lt;&gt;"Excluded"))</formula>
    </cfRule>
    <cfRule type="expression" dxfId="2357" priority="1104">
      <formula>(sizing_w02_avi_appliance_size&lt;&gt;"Excluded")</formula>
    </cfRule>
    <cfRule type="expression" dxfId="2356" priority="561">
      <formula>(sizing_w02_avi_appliance_size="Excluded")</formula>
    </cfRule>
  </conditionalFormatting>
  <conditionalFormatting sqref="S38:T38">
    <cfRule type="expression" dxfId="2355" priority="357" stopIfTrue="1">
      <formula>sizing_w03_spr_chosen&lt;&gt;"Exclude"</formula>
    </cfRule>
    <cfRule type="expression" dxfId="2354" priority="546">
      <formula>sizing_w03_avi_appliance_size="Excluded"</formula>
    </cfRule>
    <cfRule type="expression" dxfId="2353" priority="692">
      <formula>sizing_w03_avi_appliance_size&lt;&gt;"Excluded"</formula>
    </cfRule>
  </conditionalFormatting>
  <conditionalFormatting sqref="S39:T39">
    <cfRule type="expression" dxfId="2352" priority="547" stopIfTrue="1">
      <formula>(sizing_w04_avi_appliance_size&lt;&gt;"Excluded")</formula>
    </cfRule>
    <cfRule type="expression" dxfId="2351" priority="280">
      <formula>sizing_w04_spr_chosen&lt;&gt;"Exclude"</formula>
    </cfRule>
    <cfRule type="expression" dxfId="2350" priority="303" stopIfTrue="1">
      <formula>(sizing_w04_avi_appliance_size="Excluded")</formula>
    </cfRule>
  </conditionalFormatting>
  <conditionalFormatting sqref="S40:T40">
    <cfRule type="expression" dxfId="2349" priority="343">
      <formula>(sizing_w05_avi_appliance_size="Excluded")</formula>
    </cfRule>
    <cfRule type="expression" dxfId="2348" priority="302">
      <formula>sizing_w05_spr_chosen&lt;&gt;"Exclude"</formula>
    </cfRule>
    <cfRule type="expression" dxfId="2347" priority="548">
      <formula>(sizing_w05_avi_appliance_size&lt;&gt;"Excluded")</formula>
    </cfRule>
  </conditionalFormatting>
  <conditionalFormatting sqref="S41:T41">
    <cfRule type="expression" dxfId="2346" priority="364" stopIfTrue="1">
      <formula>sizing_w06_avi_appliance_size="Excluded"</formula>
    </cfRule>
    <cfRule type="expression" dxfId="2345" priority="549">
      <formula>(sizing_w06_avi_appliance_size&lt;&gt;"Excluded")</formula>
    </cfRule>
    <cfRule type="expression" dxfId="2344" priority="301">
      <formula>sizing_w06_spr_chosen&lt;&gt;"Exclude"</formula>
    </cfRule>
  </conditionalFormatting>
  <conditionalFormatting sqref="S42:T42">
    <cfRule type="expression" dxfId="2343" priority="341" stopIfTrue="1">
      <formula>sizing_w07_spr_chosen&lt;&gt;"Exclude"</formula>
    </cfRule>
    <cfRule type="expression" dxfId="2342" priority="1103">
      <formula>(sizing_w07_avi_appliance_size&lt;&gt;"Excluded")</formula>
    </cfRule>
    <cfRule type="expression" dxfId="2341" priority="550">
      <formula>sizing_w07_avi_appliance_size="Excluded"</formula>
    </cfRule>
  </conditionalFormatting>
  <conditionalFormatting sqref="S43:T43">
    <cfRule type="expression" dxfId="2340" priority="488">
      <formula>(sizing_w08_avi_appliance_size="Excluded")</formula>
    </cfRule>
    <cfRule type="expression" dxfId="2339" priority="551">
      <formula>(sizing_w08_avi_appliance_size&lt;&gt;"Excluded")</formula>
    </cfRule>
    <cfRule type="expression" dxfId="2338" priority="299" stopIfTrue="1">
      <formula>sizing_w08_spr_chosen&lt;&gt;"Exclude"</formula>
    </cfRule>
  </conditionalFormatting>
  <conditionalFormatting sqref="S44:T44">
    <cfRule type="expression" dxfId="2337" priority="489">
      <formula>(sizing_w09_avi_appliance_size="Excluded")</formula>
    </cfRule>
    <cfRule type="expression" dxfId="2336" priority="552">
      <formula>(sizing_w09_avi_appliance_size&lt;&gt;"Excluded")</formula>
    </cfRule>
    <cfRule type="expression" dxfId="2335" priority="298" stopIfTrue="1">
      <formula>sizing_w09_spr_chosen&lt;&gt;"Exclude"</formula>
    </cfRule>
  </conditionalFormatting>
  <conditionalFormatting sqref="S45:T45">
    <cfRule type="expression" dxfId="2334" priority="490">
      <formula>(sizing_w10_avi_appliance_size="Excluded")</formula>
    </cfRule>
    <cfRule type="expression" dxfId="2333" priority="297">
      <formula>sizing_w10_spr_chosen&lt;&gt;"Exclude"</formula>
    </cfRule>
    <cfRule type="expression" dxfId="2332" priority="553">
      <formula>(sizing_w10_avi_appliance_size&lt;&gt;"Excluded")</formula>
    </cfRule>
  </conditionalFormatting>
  <conditionalFormatting sqref="S46:T46">
    <cfRule type="expression" dxfId="2331" priority="333">
      <formula>sizing_w11_spr_chosen&lt;&gt;"Exclude"</formula>
    </cfRule>
    <cfRule type="expression" dxfId="2330" priority="492">
      <formula>(sizing_w11_avi_appliance_size="Excluded")</formula>
    </cfRule>
    <cfRule type="expression" dxfId="2329" priority="554">
      <formula>(sizing_w11_avi_appliance_size&lt;&gt;"Excluded")</formula>
    </cfRule>
  </conditionalFormatting>
  <conditionalFormatting sqref="S47:T47">
    <cfRule type="expression" dxfId="2328" priority="555">
      <formula>(sizing_w12_avi_appliance_size&lt;&gt;"Excluded")</formula>
    </cfRule>
    <cfRule type="expression" dxfId="2327" priority="493">
      <formula>(sizing_w12_avi_appliance_size="Excluded")</formula>
    </cfRule>
    <cfRule type="expression" dxfId="2326" priority="295">
      <formula>sizing_w12_spr_chosen&lt;&gt;"Exclude"</formula>
    </cfRule>
  </conditionalFormatting>
  <conditionalFormatting sqref="S48:T48">
    <cfRule type="expression" dxfId="2325" priority="494">
      <formula>(sizing_w13_avi_appliance_size="Excluded")</formula>
    </cfRule>
    <cfRule type="expression" dxfId="2324" priority="294">
      <formula>sizing_w13_spr_chosen&lt;&gt;"Exclude"</formula>
    </cfRule>
    <cfRule type="expression" dxfId="2323" priority="556">
      <formula>(sizing_w13_avi_appliance_size&lt;&gt;"Excluded")</formula>
    </cfRule>
  </conditionalFormatting>
  <conditionalFormatting sqref="S49:T49">
    <cfRule type="expression" dxfId="2322" priority="557">
      <formula>(sizing_w14_avi_appliance_size&lt;&gt;"Excluded")</formula>
    </cfRule>
    <cfRule type="expression" dxfId="2321" priority="327">
      <formula>sizing_w14_spr_chosen&lt;&gt;"Exclude"</formula>
    </cfRule>
    <cfRule type="expression" dxfId="2320" priority="495">
      <formula>(sizing_w14_avi_appliance_size="Excluded")</formula>
    </cfRule>
  </conditionalFormatting>
  <conditionalFormatting sqref="S50:T50">
    <cfRule type="expression" dxfId="2319" priority="496" stopIfTrue="1">
      <formula>(sizing_w15_avi_appliance_size="Excluded")</formula>
    </cfRule>
    <cfRule type="expression" dxfId="2318" priority="292">
      <formula>sizing_w15_spr_chosen&lt;&gt;"Exclude"</formula>
    </cfRule>
    <cfRule type="expression" dxfId="2317" priority="527">
      <formula>(sizing_w15_avi_appliance_size&lt;&gt;"Excluded")</formula>
    </cfRule>
  </conditionalFormatting>
  <conditionalFormatting sqref="S51:T51">
    <cfRule type="expression" dxfId="2316" priority="499">
      <formula>(sizing_w16_avi_appliance_size&lt;&gt;"Excluded")</formula>
    </cfRule>
    <cfRule type="expression" dxfId="2315" priority="497" stopIfTrue="1">
      <formula>(sizing_w16_avi_appliance_size="Excluded")</formula>
    </cfRule>
    <cfRule type="expression" dxfId="2314" priority="291">
      <formula>sizing_w16_spr_chosen&lt;&gt;"Exclude"</formula>
    </cfRule>
  </conditionalFormatting>
  <conditionalFormatting sqref="S52:T52">
    <cfRule type="expression" dxfId="2313" priority="524">
      <formula>(sizing_w17_avi_appliance_size&lt;&gt;"Excluded")</formula>
    </cfRule>
    <cfRule type="expression" dxfId="2312" priority="290">
      <formula>sizing_w17_spr_chosen&lt;&gt;"Exclude"</formula>
    </cfRule>
    <cfRule type="expression" dxfId="2311" priority="500" stopIfTrue="1">
      <formula>(sizing_w17_avi_appliance_size="Excluded")</formula>
    </cfRule>
  </conditionalFormatting>
  <conditionalFormatting sqref="S53:T53">
    <cfRule type="expression" dxfId="2310" priority="289">
      <formula>(sizing_w18_avi_appliance_size="Excluded")</formula>
    </cfRule>
    <cfRule type="expression" dxfId="2309" priority="282">
      <formula>sizing_w18_spr_chosen&lt;&gt;"Exclude"</formula>
    </cfRule>
    <cfRule type="expression" dxfId="2308" priority="491">
      <formula>(sizing_w18_avi_appliance_size&lt;&gt;"Excluded")</formula>
    </cfRule>
  </conditionalFormatting>
  <conditionalFormatting sqref="S54:T54">
    <cfRule type="expression" dxfId="2307" priority="288">
      <formula>sizing_w19_spr_chosen&lt;&gt;"Exclude"</formula>
    </cfRule>
    <cfRule type="expression" dxfId="2306" priority="589">
      <formula>(sizing_w19_avi_appliance_size&lt;&gt;"Excluded")</formula>
    </cfRule>
    <cfRule type="expression" dxfId="2305" priority="502">
      <formula>(sizing_w19_avi_appliance_size="Excluded")</formula>
    </cfRule>
  </conditionalFormatting>
  <conditionalFormatting sqref="S55:T55">
    <cfRule type="expression" dxfId="2304" priority="503" stopIfTrue="1">
      <formula>(sizing_w20_avi_appliance_size="Excluded")</formula>
    </cfRule>
    <cfRule type="expression" dxfId="2303" priority="316">
      <formula>sizing_w20_spr_chosen&lt;&gt;"Exclude"</formula>
    </cfRule>
    <cfRule type="expression" dxfId="2302" priority="592">
      <formula>(sizing_w20_avi_appliance_size&lt;&gt;"Excluded")</formula>
    </cfRule>
  </conditionalFormatting>
  <conditionalFormatting sqref="S56:T56">
    <cfRule type="expression" dxfId="2301" priority="314">
      <formula>sizing_w21_spr_chosen&lt;&gt;"Exclude"</formula>
    </cfRule>
    <cfRule type="expression" dxfId="2300" priority="504" stopIfTrue="1">
      <formula>(sizing_w21_avi_appliance_size="Excluded")</formula>
    </cfRule>
    <cfRule type="expression" dxfId="2299" priority="597">
      <formula>(sizing_w21_avi_appliance_size&lt;&gt;"Excluded")</formula>
    </cfRule>
  </conditionalFormatting>
  <conditionalFormatting sqref="S57:T57">
    <cfRule type="expression" dxfId="2298" priority="600">
      <formula>(sizing_w22_avi_appliance_size&lt;&gt;"Excluded")</formula>
    </cfRule>
    <cfRule type="expression" dxfId="2297" priority="311">
      <formula>sizing_w22_spr_chosen&lt;&gt;"Exclude"</formula>
    </cfRule>
    <cfRule type="expression" dxfId="2296" priority="505">
      <formula>(sizing_w22_avi_appliance_size="Excluded")</formula>
    </cfRule>
  </conditionalFormatting>
  <conditionalFormatting sqref="S58:T58">
    <cfRule type="expression" dxfId="2295" priority="603">
      <formula>(sizing_w23_avi_appliance_size&lt;&gt;"Excluded")</formula>
    </cfRule>
    <cfRule type="expression" dxfId="2294" priority="507">
      <formula>(sizing_w23_avi_appliance_size="Excluded")</formula>
    </cfRule>
    <cfRule type="expression" dxfId="2293" priority="284">
      <formula>sizing_w23_spr_chosen&lt;&gt;"Exclude"</formula>
    </cfRule>
  </conditionalFormatting>
  <conditionalFormatting sqref="S59:T59">
    <cfRule type="expression" dxfId="2292" priority="508">
      <formula>(sizing_w24_avi_appliance_size="Excluded")</formula>
    </cfRule>
    <cfRule type="expression" dxfId="2291" priority="607">
      <formula>(sizing_w24_avi_appliance_size&lt;&gt;"Excluded")</formula>
    </cfRule>
    <cfRule type="expression" dxfId="2290" priority="283">
      <formula>sizing_w24_spr_chosen&lt;&gt;"Exclude"</formula>
    </cfRule>
  </conditionalFormatting>
  <conditionalFormatting sqref="S36:U36">
    <cfRule type="expression" dxfId="2289" priority="87">
      <formula>OR((sizing_w01_spr_chosen&lt;&gt;"Exclude"),(sizing_w01_gm_chosen&lt;&gt;"Excluded"))</formula>
    </cfRule>
  </conditionalFormatting>
  <conditionalFormatting sqref="T37">
    <cfRule type="notContainsBlanks" dxfId="2288" priority="1101">
      <formula>LEN(TRIM(T37))&gt;0</formula>
    </cfRule>
  </conditionalFormatting>
  <conditionalFormatting sqref="U32:W32">
    <cfRule type="expression" dxfId="2287" priority="2">
      <formula>sizing_m01_ssp_chosen&lt;&gt;"Excluded"</formula>
    </cfRule>
    <cfRule type="expression" dxfId="2286" priority="3">
      <formula>sizing_m01_ssp_chosen="Excluded"</formula>
    </cfRule>
  </conditionalFormatting>
  <conditionalFormatting sqref="V36:W36">
    <cfRule type="expression" dxfId="2285" priority="5">
      <formula>sizing_w01_ssp_chosen&lt;&gt;"Excluded"</formula>
    </cfRule>
    <cfRule type="expression" dxfId="2284" priority="6">
      <formula>sizing_w01_ssp_chosen="Excluded"</formula>
    </cfRule>
  </conditionalFormatting>
  <conditionalFormatting sqref="V37:W37">
    <cfRule type="expression" dxfId="2283" priority="42">
      <formula>sizing_w02_ssp_chosen&lt;&gt;"Excluded"</formula>
    </cfRule>
    <cfRule type="expression" dxfId="2282" priority="86">
      <formula>sizing_w02_ssp_chosen="Excluded"</formula>
    </cfRule>
  </conditionalFormatting>
  <conditionalFormatting sqref="V38:W38">
    <cfRule type="expression" dxfId="2281" priority="85">
      <formula>sizing_w03_ssp_chosen="Excluded"</formula>
    </cfRule>
    <cfRule type="expression" dxfId="2280" priority="41">
      <formula>sizing_w03_ssp_chosen&lt;&gt;"Excluded"</formula>
    </cfRule>
  </conditionalFormatting>
  <conditionalFormatting sqref="V39:W39">
    <cfRule type="expression" dxfId="2279" priority="84">
      <formula>sizing_w04_ssp_chosen="Excluded"</formula>
    </cfRule>
    <cfRule type="expression" dxfId="2278" priority="40">
      <formula>sizing_w04_ssp_chosen&lt;&gt;"Excluded"</formula>
    </cfRule>
  </conditionalFormatting>
  <conditionalFormatting sqref="V40:W40">
    <cfRule type="expression" dxfId="2277" priority="83">
      <formula>sizing_w05_ssp_chosen="Excluded"</formula>
    </cfRule>
    <cfRule type="expression" dxfId="2276" priority="39">
      <formula>sizing_w05_ssp_chosen&lt;&gt;"Excluded"</formula>
    </cfRule>
  </conditionalFormatting>
  <conditionalFormatting sqref="V41:W41">
    <cfRule type="expression" dxfId="2275" priority="82">
      <formula>sizing_w06_ssp_chosen="Excluded"</formula>
    </cfRule>
    <cfRule type="expression" dxfId="2274" priority="38">
      <formula>sizing_w06_ssp_chosen&lt;&gt;"Excluded"</formula>
    </cfRule>
  </conditionalFormatting>
  <conditionalFormatting sqref="V42:W42">
    <cfRule type="expression" dxfId="2273" priority="81">
      <formula>sizing_w07_ssp_chosen="Excluded"</formula>
    </cfRule>
    <cfRule type="expression" dxfId="2272" priority="37">
      <formula>sizing_w07_ssp_chosen&lt;&gt;"Excluded"</formula>
    </cfRule>
  </conditionalFormatting>
  <conditionalFormatting sqref="V43:W43">
    <cfRule type="expression" dxfId="2271" priority="80">
      <formula>sizing_w08_ssp_chosen="Excluded"</formula>
    </cfRule>
    <cfRule type="expression" dxfId="2270" priority="36">
      <formula>sizing_w08_ssp_chosen&lt;&gt;"Excluded"</formula>
    </cfRule>
  </conditionalFormatting>
  <conditionalFormatting sqref="V44:W44">
    <cfRule type="expression" dxfId="2269" priority="79">
      <formula>sizing_w09_ssp_chosen="Excluded"</formula>
    </cfRule>
    <cfRule type="expression" dxfId="2268" priority="35">
      <formula>sizing_w09_ssp_chosen&lt;&gt;"Excluded"</formula>
    </cfRule>
  </conditionalFormatting>
  <conditionalFormatting sqref="V45:W45">
    <cfRule type="expression" dxfId="2267" priority="78">
      <formula>sizing_w10_ssp_chosen="Excluded"</formula>
    </cfRule>
    <cfRule type="expression" dxfId="2266" priority="34">
      <formula>sizing_w10_ssp_chosen&lt;&gt;"Excluded"</formula>
    </cfRule>
  </conditionalFormatting>
  <conditionalFormatting sqref="V46:W46">
    <cfRule type="expression" dxfId="2265" priority="33">
      <formula>sizing_w11_ssp_chosen&lt;&gt;"Excluded"</formula>
    </cfRule>
    <cfRule type="expression" dxfId="2264" priority="77">
      <formula>sizing_w11_ssp_chosen="Excluded"</formula>
    </cfRule>
  </conditionalFormatting>
  <conditionalFormatting sqref="V47:W47">
    <cfRule type="expression" dxfId="2263" priority="31">
      <formula>sizing_w12_ssp_chosen&lt;&gt;"Excluded"</formula>
    </cfRule>
    <cfRule type="expression" dxfId="2262" priority="74">
      <formula>sizing_w12_ssp_chosen="Excluded"</formula>
    </cfRule>
  </conditionalFormatting>
  <conditionalFormatting sqref="V48:W48">
    <cfRule type="expression" dxfId="2261" priority="76">
      <formula>sizing_w13_ssp_chosen="Excluded"</formula>
    </cfRule>
    <cfRule type="expression" dxfId="2260" priority="29">
      <formula>sizing_w13_ssp_chosen&lt;&gt;"Excluded"</formula>
    </cfRule>
  </conditionalFormatting>
  <conditionalFormatting sqref="V49:W49">
    <cfRule type="expression" dxfId="2259" priority="73">
      <formula>sizing_w14_ssp_chosen="Excluded"</formula>
    </cfRule>
    <cfRule type="expression" dxfId="2258" priority="28">
      <formula>sizing_w14_ssp_chosen&lt;&gt;"Excluded"</formula>
    </cfRule>
  </conditionalFormatting>
  <conditionalFormatting sqref="V50:W50">
    <cfRule type="expression" dxfId="2257" priority="32">
      <formula>sizing_w15_ssp_chosen&lt;&gt;"Excluded"</formula>
    </cfRule>
    <cfRule type="expression" dxfId="2256" priority="272">
      <formula>sizing_w15_ssp_chosen="Excluded"</formula>
    </cfRule>
  </conditionalFormatting>
  <conditionalFormatting sqref="V51:W51">
    <cfRule type="expression" dxfId="2255" priority="269">
      <formula>sizing_w16_ssp_chosen="Excluded"</formula>
    </cfRule>
    <cfRule type="expression" dxfId="2254" priority="43">
      <formula>sizing_w16_ssp_chosen&lt;&gt;"Excluded"</formula>
    </cfRule>
  </conditionalFormatting>
  <conditionalFormatting sqref="V52:W52">
    <cfRule type="expression" dxfId="2253" priority="71">
      <formula>sizing_w17_ssp_chosen="Excluded"</formula>
    </cfRule>
    <cfRule type="expression" dxfId="2252" priority="44">
      <formula>sizing_w17_ssp_chosen&lt;&gt;"Excluded"</formula>
    </cfRule>
  </conditionalFormatting>
  <conditionalFormatting sqref="V53:W53">
    <cfRule type="expression" dxfId="2251" priority="45">
      <formula>sizing_w18_ssp_chosen&lt;&gt;"Excluded"</formula>
    </cfRule>
    <cfRule type="expression" dxfId="2250" priority="70">
      <formula>sizing_w18_ssp_chosen="Excluded"</formula>
    </cfRule>
  </conditionalFormatting>
  <conditionalFormatting sqref="V54:W54">
    <cfRule type="expression" dxfId="2249" priority="46">
      <formula>sizing_w19_ssp_chosen&lt;&gt;"Excluded"</formula>
    </cfRule>
    <cfRule type="expression" dxfId="2248" priority="69">
      <formula>sizing_w19_ssp_chosen="Excluded"</formula>
    </cfRule>
  </conditionalFormatting>
  <conditionalFormatting sqref="V55:W55">
    <cfRule type="expression" dxfId="2247" priority="47">
      <formula>sizing_w20_ssp_chosen&lt;&gt;"Excluded"</formula>
    </cfRule>
    <cfRule type="expression" dxfId="2246" priority="68">
      <formula>sizing_w20_ssp_chosen="Excluded"</formula>
    </cfRule>
  </conditionalFormatting>
  <conditionalFormatting sqref="V56:W56">
    <cfRule type="expression" dxfId="2245" priority="67">
      <formula>sizing_w21_ssp_chosen="Excluded"</formula>
    </cfRule>
    <cfRule type="expression" dxfId="2244" priority="48">
      <formula>sizing_w21_ssp_chosen&lt;&gt;"Excluded"</formula>
    </cfRule>
  </conditionalFormatting>
  <conditionalFormatting sqref="V57:W57">
    <cfRule type="expression" dxfId="2243" priority="50">
      <formula>sizing_w22_ssp_chosen&lt;&gt;"Excluded"</formula>
    </cfRule>
    <cfRule type="expression" dxfId="2242" priority="66">
      <formula>sizing_w22_ssp_chosen="Excluded"</formula>
    </cfRule>
  </conditionalFormatting>
  <conditionalFormatting sqref="V58:W58">
    <cfRule type="expression" dxfId="2241" priority="51">
      <formula>sizing_w23_ssp_chosen&lt;&gt;"Excluded"</formula>
    </cfRule>
    <cfRule type="expression" dxfId="2240" priority="65">
      <formula>sizing_w23_ssp_chosen="Excluded"</formula>
    </cfRule>
  </conditionalFormatting>
  <conditionalFormatting sqref="V59:W59">
    <cfRule type="expression" dxfId="2239" priority="52">
      <formula>sizing_w24_ssp_chosen&lt;&gt;"Excluded"</formula>
    </cfRule>
    <cfRule type="expression" dxfId="2238" priority="261">
      <formula>sizing_w24_ssp_chosen="Excluded"</formula>
    </cfRule>
  </conditionalFormatting>
  <dataValidations count="46">
    <dataValidation type="list" allowBlank="1" showInputMessage="1" showErrorMessage="1" sqref="D36:D59 D32" xr:uid="{14357478-74C3-7843-A370-D40D3EBF3D4A}">
      <formula1>sizing_vcenter_appliance_size_list</formula1>
    </dataValidation>
    <dataValidation type="list" allowBlank="1" showInputMessage="1" showErrorMessage="1" sqref="F36:F59 F32" xr:uid="{8B9FC74C-01BD-3B4C-A2CA-80E3E74E6273}">
      <formula1>sizing_vcenter_storage_size_list</formula1>
    </dataValidation>
    <dataValidation type="list" allowBlank="1" showInputMessage="1" showErrorMessage="1" sqref="I36:I59 M36:M59 I32" xr:uid="{00F9908E-9DC1-FA44-97C3-626F106238A4}">
      <formula1>sizing_nsxt_manager_size_list</formula1>
    </dataValidation>
    <dataValidation type="list" allowBlank="1" showInputMessage="1" showErrorMessage="1" sqref="L32" xr:uid="{2D4C7AF1-8E6E-5444-BE95-1DA7C0856F3E}">
      <formula1>sizing_nsxt_edge_sizing_list</formula1>
    </dataValidation>
    <dataValidation type="list" allowBlank="1" showInputMessage="1" showErrorMessage="1" sqref="C36:C59" xr:uid="{850C76AA-40C6-2549-812B-8C66BBC265F7}">
      <formula1>"Excluded,Included"</formula1>
    </dataValidation>
    <dataValidation type="list" allowBlank="1" showInputMessage="1" showErrorMessage="1" sqref="E15:E16" xr:uid="{11BFD4F2-A4DF-254B-BD3F-F35436314266}">
      <formula1>"1,1.5,2"</formula1>
    </dataValidation>
    <dataValidation type="list" allowBlank="1" showInputMessage="1" showErrorMessage="1" sqref="H37:H59" xr:uid="{D48F9B03-DF1B-4E4B-A4FE-17B5F238C2EF}">
      <formula1>table_nsxt_deployment_model</formula1>
    </dataValidation>
    <dataValidation type="list" allowBlank="1" showInputMessage="1" showErrorMessage="1" sqref="P36:P59 B65:D66" xr:uid="{212DB531-E8A7-4742-A595-AAF977392A52}">
      <formula1>"Exclude,Include"</formula1>
    </dataValidation>
    <dataValidation type="list" allowBlank="1" showInputMessage="1" showErrorMessage="1" sqref="L36:L59" xr:uid="{7B474D8E-6BA7-904A-B132-9114AC58EF81}">
      <formula1>"Excluded, Active GM, Standby GM, Connect Instance"</formula1>
    </dataValidation>
    <dataValidation type="list" allowBlank="1" showInputMessage="1" showErrorMessage="1" sqref="H36 H32" xr:uid="{F8E4E1C5-1067-5C4B-82B0-140AB6879141}">
      <formula1>"Mandatory - HA Cluster,Mandatory - Single Node"</formula1>
    </dataValidation>
    <dataValidation type="list" allowBlank="1" showInputMessage="1" showErrorMessage="1" sqref="O32" xr:uid="{9BBEDE2B-8768-3C44-A272-EAFD748ABF7A}">
      <formula1>"Excluded,Small,Medium, Large,X-Large"</formula1>
    </dataValidation>
    <dataValidation type="list" allowBlank="1" showInputMessage="1" showErrorMessage="1" sqref="B64:D64" xr:uid="{47CF29FA-F268-A142-9187-981C8A61D907}">
      <formula1>"Include,Exclude"</formula1>
    </dataValidation>
    <dataValidation type="list" allowBlank="1" showInputMessage="1" showErrorMessage="1" sqref="E21" xr:uid="{DCA6B571-534A-B047-BAD7-9F21F00461CB}">
      <formula1>"Exclude,Extra Small,Small,Medium,Large,Extra Large"</formula1>
    </dataValidation>
    <dataValidation type="list" allowBlank="1" showInputMessage="1" showErrorMessage="1" sqref="E20" xr:uid="{CF436D50-012E-214D-A86B-0BB51C5694A0}">
      <formula1>"Deploy HA,Deploy Simple"</formula1>
    </dataValidation>
    <dataValidation type="list" allowBlank="1" showInputMessage="1" showErrorMessage="1" sqref="B63:D63" xr:uid="{7572D7C9-76E2-3A40-B4E6-7D17DB23D20E}">
      <formula1>"Exclude,Management Only, VI Workload Only, Management &amp; VI Workload"</formula1>
    </dataValidation>
    <dataValidation type="list" allowBlank="1" showInputMessage="1" showErrorMessage="1" sqref="E23:E24" xr:uid="{A12D4704-2CEF-B745-9660-BA1426847E4E}">
      <formula1>"Exclude,Small,Medium,Large"</formula1>
    </dataValidation>
    <dataValidation type="list" allowBlank="1" showInputMessage="1" showErrorMessage="1" sqref="E25" xr:uid="{BE08F27C-7D1C-4F48-BDBD-461E3F916674}">
      <formula1>"Exclude,Small,Medium,Large, Extra Large, Extra Extra Large"</formula1>
    </dataValidation>
    <dataValidation type="list" allowBlank="1" showInputMessage="1" showErrorMessage="1" sqref="E27" xr:uid="{32A009D1-7E55-CC4D-ACDB-2476FAF4CB9A}">
      <formula1>"Exclude,Embedded,Deploy HA"</formula1>
    </dataValidation>
    <dataValidation type="list" allowBlank="1" showInputMessage="1" showErrorMessage="1" sqref="E22" xr:uid="{5C79C430-9F1C-0A4E-807E-3A2F7B7183AE}">
      <formula1>"Exclude,Small,Standard"</formula1>
    </dataValidation>
    <dataValidation type="list" allowBlank="1" showInputMessage="1" showErrorMessage="1" sqref="E26" xr:uid="{96AEF04D-C4B5-3F4E-9707-58C143AA03F4}">
      <formula1>"Exclude,Small,Medium,Large,Extra Large,Extra Extra Large"</formula1>
    </dataValidation>
    <dataValidation type="list" allowBlank="1" showInputMessage="1" showErrorMessage="1" sqref="S36:S59 Q32" xr:uid="{250C7E69-7098-E346-A736-9BB578F21885}">
      <formula1>"Excluded,Small,Large,X-Large"</formula1>
    </dataValidation>
    <dataValidation type="list" allowBlank="1" showInputMessage="1" showErrorMessage="1" sqref="V59" xr:uid="{34789007-E672-AB45-A92C-37B9AE562D78}">
      <formula1>IF(sizing_w24_nsxt_model="Shared",vcf_pnp_result_excluded,table_ssp_sizes)</formula1>
    </dataValidation>
    <dataValidation type="list" allowBlank="1" showInputMessage="1" showErrorMessage="1" sqref="V36 U32" xr:uid="{A69987EB-AB95-7444-9F57-D895F8801CF9}">
      <formula1>table_ssp_sizes</formula1>
    </dataValidation>
    <dataValidation type="list" allowBlank="1" showInputMessage="1" showErrorMessage="1" sqref="V37" xr:uid="{F162FB1B-3B74-EB43-9CFE-DF0E981449A4}">
      <formula1>IF(sizing_w02_nsxt_model="Shared",vcf_pnp_result_excluded,table_ssp_sizes)</formula1>
    </dataValidation>
    <dataValidation type="list" allowBlank="1" showInputMessage="1" showErrorMessage="1" sqref="V38" xr:uid="{140A259D-D110-F34C-85DD-80895995DBDC}">
      <formula1>IF(sizing_w03_nsxt_model="Shared",vcf_pnp_result_excluded,table_ssp_sizes)</formula1>
    </dataValidation>
    <dataValidation type="list" allowBlank="1" showInputMessage="1" showErrorMessage="1" sqref="V39" xr:uid="{7AEB54F1-B131-344A-9817-4066201603F3}">
      <formula1>IF(sizing_w04_nsxt_model="Shared",vcf_pnp_result_excluded,table_ssp_sizes)</formula1>
    </dataValidation>
    <dataValidation type="list" allowBlank="1" showInputMessage="1" showErrorMessage="1" sqref="V40" xr:uid="{52BF8EA8-D84B-3B4F-ACEE-57AD506B4D41}">
      <formula1>IF(sizing_w05_nsxt_model="Shared",vcf_pnp_result_excluded,table_ssp_sizes)</formula1>
    </dataValidation>
    <dataValidation type="list" allowBlank="1" showInputMessage="1" showErrorMessage="1" sqref="V41" xr:uid="{2271A7B8-8EDA-6244-807A-9F4C40660503}">
      <formula1>IF(sizing_w06_nsxt_model="Shared",vcf_pnp_result_excluded,table_ssp_sizes)</formula1>
    </dataValidation>
    <dataValidation type="list" allowBlank="1" showInputMessage="1" showErrorMessage="1" sqref="V42" xr:uid="{C56FA170-11E4-CC4B-AB03-762A206BC179}">
      <formula1>IF(sizing_w07_nsxt_model="Shared",vcf_pnp_result_excluded,table_ssp_sizes)</formula1>
    </dataValidation>
    <dataValidation type="list" allowBlank="1" showInputMessage="1" showErrorMessage="1" sqref="V43" xr:uid="{253EC62D-D70C-4940-9388-898813A2ECFB}">
      <formula1>IF(sizing_w08_nsxt_model="Shared",vcf_pnp_result_excluded,table_ssp_sizes)</formula1>
    </dataValidation>
    <dataValidation type="list" allowBlank="1" showInputMessage="1" showErrorMessage="1" sqref="V44" xr:uid="{992D7515-2B68-3B46-9439-6CEF3A41C9B3}">
      <formula1>IF(sizing_w09_nsxt_model="Shared",vcf_pnp_result_excluded,table_ssp_sizes)</formula1>
    </dataValidation>
    <dataValidation type="list" allowBlank="1" showInputMessage="1" showErrorMessage="1" sqref="V45" xr:uid="{CE7B262D-2494-B942-9AD6-DD1BFE14F94D}">
      <formula1>IF(sizing_w10_nsxt_model="Shared",vcf_pnp_result_excluded,table_ssp_sizes)</formula1>
    </dataValidation>
    <dataValidation type="list" allowBlank="1" showInputMessage="1" showErrorMessage="1" sqref="V46" xr:uid="{EF715655-CCFD-2742-B5EB-DD30A728C492}">
      <formula1>IF(sizing_w11_nsxt_model="Shared",vcf_pnp_result_excluded,table_ssp_sizes)</formula1>
    </dataValidation>
    <dataValidation type="list" allowBlank="1" showInputMessage="1" showErrorMessage="1" sqref="V47" xr:uid="{9DD504C9-CA3A-1A45-B959-F70F12442F6A}">
      <formula1>IF(sizing_w12_nsxt_model="Shared",vcf_pnp_result_excluded,table_ssp_sizes)</formula1>
    </dataValidation>
    <dataValidation type="list" allowBlank="1" showInputMessage="1" showErrorMessage="1" sqref="V48" xr:uid="{A86F70B1-AFA1-5147-9618-CB112D30FD80}">
      <formula1>IF(sizing_w13_nsxt_model="Shared",vcf_pnp_result_excluded,table_ssp_sizes)</formula1>
    </dataValidation>
    <dataValidation type="list" allowBlank="1" showInputMessage="1" showErrorMessage="1" sqref="V49" xr:uid="{D6927AA3-0DE8-0342-9D58-05B466970361}">
      <formula1>IF(sizing_w14_nsxt_model="Shared",vcf_pnp_result_excluded,table_ssp_sizes)</formula1>
    </dataValidation>
    <dataValidation type="list" allowBlank="1" showInputMessage="1" showErrorMessage="1" sqref="V50" xr:uid="{9FDB5DED-51EF-8B44-AD41-06A407015F55}">
      <formula1>IF(sizing_w15_nsxt_model="Shared",vcf_pnp_result_excluded,table_ssp_sizes)</formula1>
    </dataValidation>
    <dataValidation type="list" allowBlank="1" showInputMessage="1" showErrorMessage="1" sqref="V51" xr:uid="{8B095D39-3211-8744-A964-94DF3418D65C}">
      <formula1>IF(sizing_w16_nsxt_model="Shared",vcf_pnp_result_excluded,table_ssp_sizes)</formula1>
    </dataValidation>
    <dataValidation type="list" allowBlank="1" showInputMessage="1" showErrorMessage="1" sqref="V52" xr:uid="{86F57C74-3F18-604F-89DC-EA8DD72347A8}">
      <formula1>IF(sizing_w17_nsxt_model="Shared",vcf_pnp_result_excluded,table_ssp_sizes)</formula1>
    </dataValidation>
    <dataValidation type="list" allowBlank="1" showInputMessage="1" showErrorMessage="1" sqref="V53" xr:uid="{6D47918D-93F4-5643-8644-89BE547CC405}">
      <formula1>IF(sizing_w18_nsxt_model="Shared",vcf_pnp_result_excluded,table_ssp_sizes)</formula1>
    </dataValidation>
    <dataValidation type="list" allowBlank="1" showInputMessage="1" showErrorMessage="1" sqref="V54" xr:uid="{DE1B6F85-3642-CD44-9725-2EABC5887CC6}">
      <formula1>IF(sizing_w19_nsxt_model="Shared",vcf_pnp_result_excluded,table_ssp_sizes)</formula1>
    </dataValidation>
    <dataValidation type="list" allowBlank="1" showInputMessage="1" showErrorMessage="1" sqref="V55" xr:uid="{BFA87470-0692-6144-B87D-D1D0E1407C9A}">
      <formula1>IF(sizing_w20_nsxt_model="Shared",vcf_pnp_result_excluded,table_ssp_sizes)</formula1>
    </dataValidation>
    <dataValidation type="list" allowBlank="1" showInputMessage="1" showErrorMessage="1" sqref="V56" xr:uid="{71D6C944-2F2B-1A49-AB33-EF6679F94E0F}">
      <formula1>IF(sizing_w21_nsxt_model="Shared",vcf_pnp_result_excluded,table_ssp_sizes)</formula1>
    </dataValidation>
    <dataValidation type="list" allowBlank="1" showInputMessage="1" showErrorMessage="1" sqref="V57" xr:uid="{C8DF3384-B6C7-4D47-8B8A-08A91399F0ED}">
      <formula1>IF(sizing_w22_nsxt_model="Shared",vcf_pnp_result_excluded,table_ssp_sizes)</formula1>
    </dataValidation>
    <dataValidation type="list" allowBlank="1" showInputMessage="1" showErrorMessage="1" sqref="V58" xr:uid="{9F3B38D4-9B39-FE4C-B905-845F0C1E7098}">
      <formula1>IF(sizing_w23_nsxt_model="Shared",vcf_pnp_result_excluded,table_ssp_sizes)</formula1>
    </dataValidation>
    <dataValidation type="list" allowBlank="1" showInputMessage="1" showErrorMessage="1" sqref="R13:S13" xr:uid="{0946D42E-9096-CE4F-B282-8EEC98399D0B}">
      <formula1>"vSAN-ESA,vSAN-OSA,NFS,FC"</formula1>
    </dataValidation>
  </dataValidations>
  <hyperlinks>
    <hyperlink ref="E63" r:id="rId1" xr:uid="{00000000-0004-0000-0200-000000000000}"/>
    <hyperlink ref="E64" r:id="rId2" xr:uid="{00000000-0004-0000-0200-000001000000}"/>
    <hyperlink ref="E66" r:id="rId3" xr:uid="{00000000-0004-0000-0200-000002000000}"/>
  </hyperlinks>
  <pageMargins left="0.7" right="0.7" top="0.75" bottom="0.75" header="0.3" footer="0.3"/>
  <pageSetup paperSize="9" orientation="portrait" horizontalDpi="0" verticalDpi="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85C4C-85BC-E74D-8F4E-FE2BE7A461EE}">
  <sheetPr codeName="Sheet9">
    <tabColor theme="9" tint="0.39997558519241921"/>
  </sheetPr>
  <dimension ref="A1:W1023"/>
  <sheetViews>
    <sheetView showGridLines="0" zoomScaleNormal="100" workbookViewId="0">
      <pane ySplit="4" topLeftCell="A21" activePane="bottomLeft" state="frozen"/>
      <selection pane="bottomLeft"/>
    </sheetView>
  </sheetViews>
  <sheetFormatPr defaultColWidth="11" defaultRowHeight="15" x14ac:dyDescent="0.35"/>
  <cols>
    <col min="1" max="1" width="2.85546875" style="7" customWidth="1"/>
    <col min="2" max="2" width="1.85546875" style="7" customWidth="1"/>
    <col min="3" max="3" width="2.35546875" style="7" customWidth="1"/>
    <col min="4" max="4" width="1.85546875" style="7" customWidth="1"/>
    <col min="5" max="5" width="25.85546875" style="2" customWidth="1"/>
    <col min="6" max="6" width="1.85546875" style="2" customWidth="1"/>
    <col min="7" max="7" width="2.85546875" style="2" customWidth="1"/>
    <col min="8" max="8" width="1.85546875" style="2" customWidth="1"/>
    <col min="9" max="9" width="2.85546875" style="2" customWidth="1"/>
    <col min="10" max="10" width="75.35546875" style="8" bestFit="1" customWidth="1"/>
    <col min="11" max="11" width="80.85546875" style="2" customWidth="1"/>
    <col min="12" max="12" width="80.85546875" style="8" customWidth="1"/>
    <col min="13" max="13" width="104.640625" style="2" customWidth="1"/>
    <col min="14" max="14" width="10.85546875" style="8" customWidth="1"/>
    <col min="15" max="22" width="11" style="8" customWidth="1"/>
    <col min="23" max="16384" width="11" style="8"/>
  </cols>
  <sheetData>
    <row r="1" spans="1:23" s="2" customFormat="1" ht="16" customHeight="1" x14ac:dyDescent="0.35">
      <c r="A1" s="39"/>
      <c r="B1" s="7"/>
      <c r="C1" s="7"/>
      <c r="D1" s="7"/>
      <c r="E1" s="7"/>
      <c r="F1" s="7"/>
      <c r="G1" s="7"/>
      <c r="H1" s="7"/>
      <c r="I1" s="7"/>
      <c r="N1" s="8"/>
      <c r="O1" s="8"/>
      <c r="P1" s="8"/>
      <c r="Q1" s="8"/>
      <c r="R1" s="8"/>
    </row>
    <row r="2" spans="1:23" s="2" customFormat="1" ht="54" customHeight="1" x14ac:dyDescent="0.35">
      <c r="A2" s="7"/>
      <c r="B2" s="492" t="s">
        <v>3792</v>
      </c>
      <c r="C2" s="492"/>
      <c r="D2" s="492"/>
      <c r="E2" s="492"/>
      <c r="F2" s="492"/>
      <c r="G2" s="492"/>
      <c r="H2" s="492"/>
      <c r="I2" s="492"/>
      <c r="J2" s="492"/>
      <c r="K2" s="492"/>
      <c r="L2" s="492"/>
      <c r="M2" s="493"/>
      <c r="N2" s="8"/>
      <c r="O2" s="8"/>
      <c r="P2" s="8"/>
      <c r="Q2" s="8"/>
      <c r="R2" s="8"/>
    </row>
    <row r="3" spans="1:23" s="2" customFormat="1" ht="20.05" customHeight="1" x14ac:dyDescent="0.35">
      <c r="A3" s="7"/>
      <c r="B3" s="494" t="s">
        <v>3793</v>
      </c>
      <c r="C3" s="494"/>
      <c r="D3" s="494"/>
      <c r="E3" s="494"/>
      <c r="F3" s="494"/>
      <c r="G3" s="494"/>
      <c r="H3" s="494"/>
      <c r="I3" s="494"/>
      <c r="J3" s="494"/>
      <c r="K3" s="494"/>
      <c r="L3" s="494"/>
      <c r="M3" s="495"/>
      <c r="N3" s="8"/>
      <c r="O3" s="8"/>
      <c r="P3" s="8"/>
      <c r="Q3" s="8"/>
      <c r="R3" s="8"/>
    </row>
    <row r="4" spans="1:23" s="2" customFormat="1" x14ac:dyDescent="0.45">
      <c r="A4" s="7"/>
      <c r="B4" s="7"/>
      <c r="C4" s="7"/>
      <c r="D4" s="7"/>
      <c r="E4" s="7"/>
      <c r="F4" s="7"/>
      <c r="G4" s="7"/>
      <c r="H4" s="7"/>
      <c r="I4" s="40"/>
      <c r="L4" s="10"/>
      <c r="M4" s="3"/>
      <c r="N4" s="3"/>
    </row>
    <row r="5" spans="1:23" ht="16" customHeight="1" x14ac:dyDescent="0.35">
      <c r="E5" s="7"/>
      <c r="F5" s="7"/>
      <c r="G5" s="7"/>
      <c r="H5" s="7"/>
      <c r="I5" s="7"/>
    </row>
    <row r="6" spans="1:23" ht="34" customHeight="1" x14ac:dyDescent="0.35">
      <c r="B6" s="8"/>
      <c r="C6" s="8"/>
      <c r="D6" s="8"/>
      <c r="E6" s="8"/>
      <c r="F6" s="8"/>
      <c r="G6" s="8"/>
      <c r="H6" s="8"/>
      <c r="I6" s="8"/>
      <c r="J6" s="407" t="s">
        <v>3794</v>
      </c>
      <c r="K6" s="408"/>
      <c r="L6" s="408"/>
      <c r="M6" s="409"/>
      <c r="N6" s="41"/>
      <c r="O6" s="41"/>
      <c r="P6" s="41"/>
      <c r="Q6" s="41"/>
      <c r="R6" s="41"/>
    </row>
    <row r="7" spans="1:23" ht="20.05" customHeight="1" x14ac:dyDescent="0.35">
      <c r="B7" s="8"/>
      <c r="C7" s="8"/>
      <c r="D7" s="8"/>
      <c r="E7" s="8"/>
      <c r="F7" s="8"/>
      <c r="G7" s="8"/>
      <c r="H7" s="8"/>
      <c r="I7" s="8"/>
      <c r="J7" s="496" t="s">
        <v>3795</v>
      </c>
      <c r="K7" s="497"/>
      <c r="L7" s="497"/>
      <c r="M7" s="498"/>
      <c r="N7" s="42"/>
      <c r="O7" s="42"/>
      <c r="P7" s="42"/>
      <c r="Q7" s="42"/>
      <c r="R7" s="42"/>
      <c r="S7" s="42"/>
      <c r="T7" s="42"/>
      <c r="U7" s="42"/>
      <c r="V7" s="42"/>
      <c r="W7" s="42"/>
    </row>
    <row r="8" spans="1:23" ht="20.05" customHeight="1" x14ac:dyDescent="0.35">
      <c r="J8" s="43" t="s">
        <v>17</v>
      </c>
      <c r="K8" s="346" t="s">
        <v>18</v>
      </c>
      <c r="L8" s="346" t="s">
        <v>19</v>
      </c>
      <c r="M8" s="346" t="s">
        <v>20</v>
      </c>
      <c r="N8" s="42"/>
      <c r="O8" s="42"/>
      <c r="P8" s="42"/>
      <c r="Q8" s="42"/>
      <c r="R8" s="42"/>
      <c r="S8" s="42"/>
      <c r="T8" s="42"/>
      <c r="U8" s="42"/>
      <c r="V8" s="42"/>
      <c r="W8" s="42"/>
    </row>
    <row r="9" spans="1:23" ht="20.05" customHeight="1" x14ac:dyDescent="0.35">
      <c r="J9" s="398" t="s">
        <v>3796</v>
      </c>
      <c r="K9" s="362" t="s">
        <v>3797</v>
      </c>
      <c r="L9" s="347" t="s">
        <v>3797</v>
      </c>
      <c r="M9" s="337"/>
      <c r="N9" s="42"/>
      <c r="O9" s="42"/>
      <c r="P9" s="42"/>
      <c r="Q9" s="42"/>
      <c r="R9" s="42"/>
      <c r="S9" s="42"/>
      <c r="T9" s="42"/>
      <c r="U9" s="42"/>
      <c r="V9" s="42"/>
      <c r="W9" s="42"/>
    </row>
    <row r="10" spans="1:23" ht="20.05" customHeight="1" x14ac:dyDescent="0.35">
      <c r="J10" s="351" t="s">
        <v>3798</v>
      </c>
      <c r="K10" s="362" t="s">
        <v>3799</v>
      </c>
      <c r="L10" s="399"/>
      <c r="M10" s="337" t="str">
        <f>IF(mgmt_offline_depot_chosen="Online", "Input is masked out and only required if using offline depot","")</f>
        <v>Input is masked out and only required if using offline depot</v>
      </c>
    </row>
    <row r="11" spans="1:23" ht="20.05" customHeight="1" x14ac:dyDescent="0.35">
      <c r="J11" s="351" t="s">
        <v>3800</v>
      </c>
      <c r="K11" s="362">
        <v>443</v>
      </c>
      <c r="L11" s="399"/>
      <c r="M11" s="337"/>
    </row>
    <row r="12" spans="1:23" ht="20.05" customHeight="1" x14ac:dyDescent="0.35">
      <c r="J12" s="351" t="s">
        <v>3801</v>
      </c>
      <c r="K12" s="362" t="s">
        <v>3802</v>
      </c>
      <c r="L12" s="399"/>
      <c r="M12" s="337"/>
    </row>
    <row r="13" spans="1:23" ht="20.05" customHeight="1" x14ac:dyDescent="0.35">
      <c r="B13" s="44"/>
      <c r="C13" s="44"/>
      <c r="D13" s="44"/>
      <c r="E13" s="44"/>
      <c r="F13" s="44"/>
      <c r="G13" s="44"/>
      <c r="H13" s="44"/>
      <c r="J13" s="351" t="s">
        <v>3803</v>
      </c>
      <c r="K13" s="362" t="s">
        <v>145</v>
      </c>
      <c r="L13" s="399" t="s">
        <v>145</v>
      </c>
      <c r="M13" s="337"/>
    </row>
    <row r="14" spans="1:23" ht="20.05" customHeight="1" x14ac:dyDescent="0.4">
      <c r="A14" s="45"/>
      <c r="B14" s="19"/>
      <c r="C14" s="46" t="s">
        <v>3804</v>
      </c>
      <c r="D14" s="19"/>
      <c r="E14" s="19"/>
      <c r="F14" s="19"/>
      <c r="G14" s="19"/>
      <c r="H14" s="47"/>
      <c r="I14" s="40"/>
      <c r="J14" s="351" t="s">
        <v>1279</v>
      </c>
      <c r="K14" s="362" t="s">
        <v>3805</v>
      </c>
      <c r="L14" s="399" t="s">
        <v>3805</v>
      </c>
      <c r="M14" s="337" t="str">
        <f>IF(mgmt_internet_proxy_chosen="Unselected", "Input is masked out and only required if using Proxy Server for depot connectivity","")</f>
        <v>Input is masked out and only required if using Proxy Server for depot connectivity</v>
      </c>
    </row>
    <row r="15" spans="1:23" ht="20.05" customHeight="1" x14ac:dyDescent="0.4">
      <c r="A15" s="45"/>
      <c r="B15" s="46"/>
      <c r="C15" s="48"/>
      <c r="D15" s="49"/>
      <c r="E15" s="49"/>
      <c r="F15" s="49"/>
      <c r="G15" s="49"/>
      <c r="H15" s="50"/>
      <c r="I15" s="40"/>
      <c r="J15" s="351" t="s">
        <v>1282</v>
      </c>
      <c r="K15" s="362" t="s">
        <v>3806</v>
      </c>
      <c r="L15" s="399"/>
      <c r="M15" s="337"/>
    </row>
    <row r="16" spans="1:23" ht="20.05" customHeight="1" x14ac:dyDescent="0.4">
      <c r="A16" s="45"/>
      <c r="B16" s="51"/>
      <c r="C16" s="52" t="s">
        <v>1344</v>
      </c>
      <c r="D16" s="53"/>
      <c r="E16" s="53"/>
      <c r="F16" s="53"/>
      <c r="G16" s="54"/>
      <c r="H16" s="50"/>
      <c r="I16" s="40"/>
      <c r="J16" s="351" t="s">
        <v>1284</v>
      </c>
      <c r="K16" s="362">
        <v>443</v>
      </c>
      <c r="L16" s="399"/>
      <c r="M16" s="337"/>
    </row>
    <row r="17" spans="1:13" ht="20.05" customHeight="1" x14ac:dyDescent="0.4">
      <c r="A17" s="45"/>
      <c r="B17" s="51"/>
      <c r="C17" s="52" t="s">
        <v>3807</v>
      </c>
      <c r="D17" s="53"/>
      <c r="E17" s="53"/>
      <c r="F17" s="53"/>
      <c r="G17" s="54"/>
      <c r="H17" s="50"/>
      <c r="I17" s="40"/>
      <c r="J17" s="351" t="s">
        <v>3808</v>
      </c>
      <c r="K17" s="362" t="s">
        <v>145</v>
      </c>
      <c r="L17" s="347" t="s">
        <v>145</v>
      </c>
      <c r="M17" s="345"/>
    </row>
    <row r="18" spans="1:13" ht="20.05" customHeight="1" x14ac:dyDescent="0.35">
      <c r="A18" s="45"/>
      <c r="B18" s="19"/>
      <c r="C18" s="55"/>
      <c r="D18" s="55"/>
      <c r="E18" s="55"/>
      <c r="F18" s="55"/>
      <c r="G18" s="55"/>
      <c r="H18" s="50"/>
      <c r="I18" s="40"/>
      <c r="J18" s="351" t="s">
        <v>27</v>
      </c>
      <c r="K18" s="362" t="s">
        <v>3809</v>
      </c>
      <c r="L18" s="347"/>
      <c r="M18" s="345" t="str">
        <f>IF(mgmt_internet_proxy_auth_chosen="Unselected", "Input is masked out and only required if using Proxy Server that required authentication","")</f>
        <v>Input is masked out and only required if using Proxy Server that required authentication</v>
      </c>
    </row>
    <row r="19" spans="1:13" ht="20.05" customHeight="1" x14ac:dyDescent="0.4">
      <c r="A19" s="45"/>
      <c r="B19" s="19"/>
      <c r="C19" s="252" t="str">
        <f>CONCATENATE(mgmt_domain_deployment_type_chosen, " Instance")</f>
        <v>VMware Cloud Foundation Instance</v>
      </c>
      <c r="D19" s="46"/>
      <c r="E19" s="46"/>
      <c r="F19" s="19"/>
      <c r="G19" s="57"/>
      <c r="H19" s="50"/>
      <c r="I19" s="40"/>
      <c r="J19" s="351" t="s">
        <v>29</v>
      </c>
      <c r="K19" s="362" t="s">
        <v>141</v>
      </c>
      <c r="L19" s="347"/>
      <c r="M19" s="345"/>
    </row>
    <row r="20" spans="1:13" ht="20.05" customHeight="1" x14ac:dyDescent="0.35">
      <c r="A20" s="45"/>
      <c r="B20" s="19"/>
      <c r="C20" s="58"/>
      <c r="D20" s="59"/>
      <c r="E20" s="59"/>
      <c r="F20" s="59"/>
      <c r="G20" s="57"/>
      <c r="H20" s="50"/>
      <c r="I20" s="40"/>
    </row>
    <row r="21" spans="1:13" ht="34" customHeight="1" x14ac:dyDescent="0.4">
      <c r="A21" s="45"/>
      <c r="B21" s="19"/>
      <c r="C21" s="58"/>
      <c r="D21" s="60"/>
      <c r="E21" s="46" t="str">
        <f>IF(mgmt_domain_deployment_type_chosen="VCF","Management Domain","Components")</f>
        <v>Components</v>
      </c>
      <c r="F21" s="61"/>
      <c r="G21" s="57"/>
      <c r="H21" s="50"/>
      <c r="I21" s="7"/>
      <c r="J21" s="407" t="s">
        <v>3810</v>
      </c>
      <c r="K21" s="408"/>
      <c r="L21" s="408"/>
      <c r="M21" s="409"/>
    </row>
    <row r="22" spans="1:13" ht="20.05" customHeight="1" x14ac:dyDescent="0.35">
      <c r="A22" s="45"/>
      <c r="B22" s="19"/>
      <c r="C22" s="58"/>
      <c r="D22" s="60"/>
      <c r="E22" s="49"/>
      <c r="F22" s="61"/>
      <c r="G22" s="57"/>
      <c r="H22" s="50"/>
      <c r="I22" s="7"/>
      <c r="J22" s="499"/>
      <c r="K22" s="500"/>
      <c r="L22" s="500"/>
      <c r="M22" s="501"/>
    </row>
    <row r="23" spans="1:13" ht="20.05" customHeight="1" x14ac:dyDescent="0.35">
      <c r="A23" s="45"/>
      <c r="B23" s="19"/>
      <c r="C23" s="58"/>
      <c r="D23" s="62"/>
      <c r="E23" s="63" t="s">
        <v>814</v>
      </c>
      <c r="F23" s="61"/>
      <c r="G23" s="57"/>
      <c r="H23" s="50"/>
      <c r="I23" s="7"/>
      <c r="J23" s="346" t="s">
        <v>17</v>
      </c>
      <c r="K23" s="346" t="s">
        <v>18</v>
      </c>
      <c r="L23" s="346" t="s">
        <v>19</v>
      </c>
      <c r="M23" s="346" t="s">
        <v>20</v>
      </c>
    </row>
    <row r="24" spans="1:13" ht="20.05" customHeight="1" x14ac:dyDescent="0.35">
      <c r="A24" s="45"/>
      <c r="B24" s="19"/>
      <c r="C24" s="58"/>
      <c r="D24" s="62"/>
      <c r="E24" s="63" t="s">
        <v>778</v>
      </c>
      <c r="F24" s="61"/>
      <c r="G24" s="57"/>
      <c r="H24" s="50"/>
      <c r="I24" s="7"/>
      <c r="J24" s="4" t="s">
        <v>3811</v>
      </c>
      <c r="K24" s="362" t="s">
        <v>3683</v>
      </c>
      <c r="L24" s="337" t="str">
        <f>mgmt_domain_deployment_type_chosen</f>
        <v>VMware Cloud Foundation</v>
      </c>
      <c r="M24" s="337"/>
    </row>
    <row r="25" spans="1:13" ht="20.05" customHeight="1" x14ac:dyDescent="0.35">
      <c r="A25" s="45"/>
      <c r="B25" s="19"/>
      <c r="C25" s="58"/>
      <c r="D25" s="62"/>
      <c r="E25" s="64" t="s">
        <v>96</v>
      </c>
      <c r="F25" s="61"/>
      <c r="G25" s="57"/>
      <c r="H25" s="50"/>
      <c r="I25" s="7"/>
      <c r="J25" s="4" t="s">
        <v>1306</v>
      </c>
      <c r="K25" s="362" t="s">
        <v>2486</v>
      </c>
      <c r="L25" s="337" t="str">
        <f>IF(vcf_granular_option_chosen="Deploy a new VCF fleet","Deploy a new VCF fleet",IF(vcf_granular_option_chosen="Deploy a VCF Instance in an existing VCF fleet","Deploy a VCF Instance in an existing VCF fleet",""))</f>
        <v>Deploy a new VCF fleet</v>
      </c>
      <c r="M25" s="286" t="s">
        <v>3812</v>
      </c>
    </row>
    <row r="26" spans="1:13" ht="20.05" customHeight="1" x14ac:dyDescent="0.35">
      <c r="A26" s="45"/>
      <c r="B26" s="19"/>
      <c r="C26" s="58"/>
      <c r="D26" s="62"/>
      <c r="E26" s="65" t="s">
        <v>1664</v>
      </c>
      <c r="F26" s="61"/>
      <c r="G26" s="57"/>
      <c r="H26" s="50"/>
      <c r="I26" s="7"/>
      <c r="J26" s="69"/>
      <c r="M26" s="306"/>
    </row>
    <row r="27" spans="1:13" ht="34" customHeight="1" x14ac:dyDescent="0.35">
      <c r="A27" s="45"/>
      <c r="B27" s="19"/>
      <c r="C27" s="58"/>
      <c r="D27" s="67"/>
      <c r="E27" s="59"/>
      <c r="F27" s="68"/>
      <c r="G27" s="57"/>
      <c r="H27" s="50"/>
      <c r="I27" s="7"/>
      <c r="J27" s="407" t="s">
        <v>3813</v>
      </c>
      <c r="K27" s="408"/>
      <c r="L27" s="408"/>
      <c r="M27" s="409"/>
    </row>
    <row r="28" spans="1:13" ht="20.05" customHeight="1" x14ac:dyDescent="0.35">
      <c r="A28" s="45"/>
      <c r="B28" s="19"/>
      <c r="C28" s="70"/>
      <c r="D28" s="55"/>
      <c r="E28" s="55"/>
      <c r="F28" s="55"/>
      <c r="G28" s="71"/>
      <c r="H28" s="50"/>
      <c r="I28" s="7"/>
      <c r="J28" s="496" t="s">
        <v>3814</v>
      </c>
      <c r="K28" s="497"/>
      <c r="L28" s="497"/>
      <c r="M28" s="498"/>
    </row>
    <row r="29" spans="1:13" ht="20.05" customHeight="1" x14ac:dyDescent="0.35">
      <c r="A29" s="45"/>
      <c r="B29" s="49"/>
      <c r="C29" s="49"/>
      <c r="D29" s="49"/>
      <c r="E29" s="49"/>
      <c r="F29" s="49"/>
      <c r="G29" s="49"/>
      <c r="H29" s="72"/>
      <c r="I29" s="7"/>
      <c r="J29" s="346" t="s">
        <v>17</v>
      </c>
      <c r="K29" s="346" t="s">
        <v>18</v>
      </c>
      <c r="L29" s="346" t="s">
        <v>19</v>
      </c>
      <c r="M29" s="346" t="s">
        <v>20</v>
      </c>
    </row>
    <row r="30" spans="1:13" ht="20.05" customHeight="1" x14ac:dyDescent="0.35">
      <c r="E30" s="73"/>
      <c r="F30" s="73"/>
      <c r="G30" s="73"/>
      <c r="H30" s="73"/>
      <c r="I30" s="7"/>
      <c r="J30" s="4" t="s">
        <v>1344</v>
      </c>
      <c r="K30" s="362" t="s">
        <v>145</v>
      </c>
      <c r="L30" s="347" t="s">
        <v>145</v>
      </c>
      <c r="M30" s="186" t="str">
        <f>IF(mgmt_domain_deployment_type_chosen="VMware vSphere Foundation","An existing VCF Operations instance cannot be used. If you want to use an existing VCF Operations instance, convert your vCenter to VMware vSphere Foundation deployment using the VCF Operations UI.","Use an existing VCF Operations instance as the management component in the VCF fleet.")</f>
        <v>Use an existing VCF Operations instance as the management component in the VCF fleet.</v>
      </c>
    </row>
    <row r="31" spans="1:13" ht="20.05" customHeight="1" x14ac:dyDescent="0.35">
      <c r="E31" s="73"/>
      <c r="F31" s="73"/>
      <c r="G31" s="73"/>
      <c r="H31" s="73"/>
      <c r="I31" s="7"/>
      <c r="J31" s="74" t="s">
        <v>3815</v>
      </c>
      <c r="K31" s="362" t="s">
        <v>145</v>
      </c>
      <c r="L31" s="347" t="s">
        <v>145</v>
      </c>
      <c r="M31" s="186" t="s">
        <v>3816</v>
      </c>
    </row>
    <row r="32" spans="1:13" ht="20.05" customHeight="1" x14ac:dyDescent="0.35">
      <c r="I32" s="7"/>
      <c r="J32" s="4" t="s">
        <v>3817</v>
      </c>
      <c r="K32" s="362" t="s">
        <v>145</v>
      </c>
      <c r="L32" s="75" t="s">
        <v>145</v>
      </c>
      <c r="M32" s="186" t="str">
        <f>IF(mgmt_domain_existing_vcenter_chosen="Selected","Use the NSX Manager connected to this vCenter as the management domain NSX Manager.","Input is masked out and only required if you are importing a vCenter with an NSX Manager connected to it")</f>
        <v>Input is masked out and only required if you are importing a vCenter with an NSX Manager connected to it</v>
      </c>
    </row>
    <row r="33" spans="5:13" ht="20.05" customHeight="1" x14ac:dyDescent="0.35">
      <c r="I33" s="7"/>
      <c r="J33" s="372"/>
      <c r="K33" s="344"/>
      <c r="L33" s="76"/>
      <c r="M33" s="344"/>
    </row>
    <row r="34" spans="5:13" ht="34" customHeight="1" x14ac:dyDescent="0.35">
      <c r="J34" s="407" t="s">
        <v>808</v>
      </c>
      <c r="K34" s="408"/>
      <c r="L34" s="408"/>
      <c r="M34" s="409"/>
    </row>
    <row r="35" spans="5:13" ht="20.05" customHeight="1" x14ac:dyDescent="0.35">
      <c r="J35" s="496" t="s">
        <v>768</v>
      </c>
      <c r="K35" s="497"/>
      <c r="L35" s="497"/>
      <c r="M35" s="498"/>
    </row>
    <row r="36" spans="5:13" ht="20.05" customHeight="1" x14ac:dyDescent="0.35">
      <c r="J36" s="346" t="s">
        <v>17</v>
      </c>
      <c r="K36" s="346" t="s">
        <v>18</v>
      </c>
      <c r="L36" s="346" t="s">
        <v>19</v>
      </c>
      <c r="M36" s="346" t="s">
        <v>20</v>
      </c>
    </row>
    <row r="37" spans="5:13" ht="20.05" customHeight="1" x14ac:dyDescent="0.35">
      <c r="J37" s="4" t="s">
        <v>195</v>
      </c>
      <c r="K37" s="362" t="str">
        <f>vcf_version_chosen</f>
        <v>9.0.2.0</v>
      </c>
      <c r="L37" s="77" t="str">
        <f>vcf_version_chosen</f>
        <v>9.0.2.0</v>
      </c>
      <c r="M37" s="337"/>
    </row>
    <row r="38" spans="5:13" ht="20.05" customHeight="1" x14ac:dyDescent="0.35">
      <c r="J38" s="4" t="s">
        <v>1994</v>
      </c>
      <c r="K38" s="78" t="str">
        <f>IF(mgmt_domain_chosen="First Instance","San Francisco","Los Angeles")</f>
        <v>San Francisco</v>
      </c>
      <c r="L38" s="79"/>
      <c r="M38" s="337" t="s">
        <v>3818</v>
      </c>
    </row>
    <row r="39" spans="5:13" ht="20.05" customHeight="1" x14ac:dyDescent="0.35">
      <c r="J39" s="4" t="s">
        <v>3819</v>
      </c>
      <c r="K39" s="362" t="str">
        <f>CONCATENATE(this_instance,"-m01")</f>
        <v>sfo-m01</v>
      </c>
      <c r="L39" s="347"/>
      <c r="M39" s="337"/>
    </row>
    <row r="40" spans="5:13" ht="20.05" customHeight="1" x14ac:dyDescent="0.35">
      <c r="J40" s="4" t="s">
        <v>3820</v>
      </c>
      <c r="K40" s="362" t="s">
        <v>145</v>
      </c>
      <c r="L40" s="347" t="s">
        <v>145</v>
      </c>
      <c r="M40" s="186" t="str">
        <f>IF(mgmt_domain_ops_automation_later_chosen="Selected","Use Deploy Fleet Management Day-N sheet to capture inputs","Select to perform deployment of VCF Operations and VCF Automation post Management Domain Creation")</f>
        <v>Select to perform deployment of VCF Operations and VCF Automation post Management Domain Creation</v>
      </c>
    </row>
    <row r="41" spans="5:13" ht="20.05" customHeight="1" x14ac:dyDescent="0.35">
      <c r="J41" s="4" t="s">
        <v>3821</v>
      </c>
      <c r="K41" s="362" t="s">
        <v>3822</v>
      </c>
      <c r="L41" s="347" t="s">
        <v>3822</v>
      </c>
      <c r="M41" s="186" t="s">
        <v>3823</v>
      </c>
    </row>
    <row r="42" spans="5:13" ht="20.05" customHeight="1" x14ac:dyDescent="0.35">
      <c r="J42" s="496" t="s">
        <v>1313</v>
      </c>
      <c r="K42" s="497"/>
      <c r="L42" s="497"/>
      <c r="M42" s="498"/>
    </row>
    <row r="43" spans="5:13" ht="20.05" customHeight="1" x14ac:dyDescent="0.35">
      <c r="J43" s="4" t="s">
        <v>3824</v>
      </c>
      <c r="K43" s="362" t="s">
        <v>1625</v>
      </c>
      <c r="L43" s="347"/>
      <c r="M43" s="337" t="str">
        <f>IF(mgmt_domain_existing_vcenter_chosen="Selected","Inputs are masked out as you are importing a vCenter. DNS inputs will be captured from vCenter during import","")</f>
        <v/>
      </c>
    </row>
    <row r="44" spans="5:13" ht="20.05" customHeight="1" x14ac:dyDescent="0.35">
      <c r="J44" s="4" t="s">
        <v>1315</v>
      </c>
      <c r="K44" s="362" t="str">
        <f>IF(mgmt_dpg_reuse_result="Included",CONCATENATE(prefix_mgmt_az1_cidr,"10.4"),CONCATENATE(prefix_mgmt_az1_cidr,"11.4"))</f>
        <v>10.11.10.4</v>
      </c>
      <c r="L44" s="347"/>
      <c r="M44" s="337" t="str">
        <f>IF(mgmt_domain_existing_vcenter_chosen="Selected","Inputs are masked out as you are importing a vCenter. DNS inputs will be captured from vCenter during import","")</f>
        <v/>
      </c>
    </row>
    <row r="45" spans="5:13" ht="20.05" customHeight="1" x14ac:dyDescent="0.35">
      <c r="J45" s="4" t="s">
        <v>1316</v>
      </c>
      <c r="K45" s="362" t="str">
        <f>IF(mgmt_dpg_reuse_result="Included",CONCATENATE(prefix_mgmt_az1_cidr,"10.5"),CONCATENATE(prefix_mgmt_az1_cidr,"11.5"))</f>
        <v>10.11.10.5</v>
      </c>
      <c r="L45" s="347"/>
      <c r="M45" s="337" t="str">
        <f>IF(mgmt_domain_existing_vcenter_chosen="Selected","Inputs are masked out as you are importing a vCenter. DNS inputs will be captured from vCenter during import","")</f>
        <v/>
      </c>
    </row>
    <row r="46" spans="5:13" ht="20.05" customHeight="1" x14ac:dyDescent="0.35">
      <c r="E46" s="73"/>
      <c r="F46" s="73"/>
      <c r="G46" s="73"/>
      <c r="H46" s="73"/>
      <c r="J46" s="496" t="s">
        <v>1326</v>
      </c>
      <c r="K46" s="497"/>
      <c r="L46" s="497"/>
      <c r="M46" s="498"/>
    </row>
    <row r="47" spans="5:13" ht="20.05" customHeight="1" x14ac:dyDescent="0.35">
      <c r="E47" s="73"/>
      <c r="F47" s="73"/>
      <c r="G47" s="73"/>
      <c r="H47" s="73"/>
      <c r="J47" s="4" t="s">
        <v>1315</v>
      </c>
      <c r="K47" s="362" t="str">
        <f>CONCATENATE("ntp0.",this_instance,".rainpole.io")</f>
        <v>ntp0.sfo.rainpole.io</v>
      </c>
      <c r="L47" s="347"/>
      <c r="M47" s="337" t="str">
        <f>IF(mgmt_domain_existing_vcenter_chosen="Selected","Inputs are masked out as you are importing a vCenter. NTP inputs will be captured from vCenter during import","")</f>
        <v/>
      </c>
    </row>
    <row r="48" spans="5:13" ht="20.05" customHeight="1" x14ac:dyDescent="0.35">
      <c r="E48" s="73"/>
      <c r="F48" s="73"/>
      <c r="G48" s="73"/>
      <c r="H48" s="73"/>
      <c r="I48" s="7"/>
      <c r="J48" s="4" t="s">
        <v>1316</v>
      </c>
      <c r="K48" s="362" t="str">
        <f>CONCATENATE("ntp1.",this_instance,".rainpole.io")</f>
        <v>ntp1.sfo.rainpole.io</v>
      </c>
      <c r="L48" s="347"/>
      <c r="M48" s="337" t="str">
        <f>IF(mgmt_domain_existing_vcenter_chosen="Selected","Inputs are masked out as you are importing a vCenter. NTP inputs will be captured from vCenter during import","")</f>
        <v/>
      </c>
    </row>
    <row r="49" spans="5:13" ht="19" customHeight="1" x14ac:dyDescent="0.35">
      <c r="E49" s="7"/>
      <c r="F49" s="7"/>
      <c r="G49" s="7"/>
      <c r="H49" s="7"/>
      <c r="I49" s="7"/>
      <c r="J49" s="4" t="s">
        <v>3825</v>
      </c>
      <c r="K49" s="362" t="s">
        <v>145</v>
      </c>
      <c r="L49" s="347" t="s">
        <v>145</v>
      </c>
      <c r="M49" s="337"/>
    </row>
    <row r="50" spans="5:13" ht="20.05" customHeight="1" x14ac:dyDescent="0.35">
      <c r="J50" s="4" t="s">
        <v>1328</v>
      </c>
      <c r="K50" s="362" t="s">
        <v>159</v>
      </c>
      <c r="L50" s="347" t="s">
        <v>159</v>
      </c>
      <c r="M50" s="337"/>
    </row>
    <row r="51" spans="5:13" ht="20.05" customHeight="1" x14ac:dyDescent="0.35">
      <c r="E51" s="7"/>
      <c r="F51" s="7"/>
      <c r="G51" s="7"/>
      <c r="H51" s="7"/>
      <c r="I51" s="7"/>
      <c r="J51" s="372"/>
      <c r="K51" s="344"/>
      <c r="L51" s="344"/>
      <c r="M51" s="344"/>
    </row>
    <row r="52" spans="5:13" ht="34" customHeight="1" x14ac:dyDescent="0.35">
      <c r="E52" s="7"/>
      <c r="F52" s="7"/>
      <c r="G52" s="7"/>
      <c r="H52" s="7"/>
      <c r="I52" s="7"/>
      <c r="J52" s="407" t="s">
        <v>1344</v>
      </c>
      <c r="K52" s="408"/>
      <c r="L52" s="408"/>
      <c r="M52" s="409"/>
    </row>
    <row r="53" spans="5:13" ht="20.05" customHeight="1" x14ac:dyDescent="0.35">
      <c r="E53" s="7"/>
      <c r="F53" s="7"/>
      <c r="G53" s="7"/>
      <c r="H53" s="7"/>
      <c r="I53" s="7"/>
      <c r="J53" s="496" t="s">
        <v>3826</v>
      </c>
      <c r="K53" s="497"/>
      <c r="L53" s="497"/>
      <c r="M53" s="498"/>
    </row>
    <row r="54" spans="5:13" ht="20.05" customHeight="1" x14ac:dyDescent="0.35">
      <c r="E54" s="7"/>
      <c r="F54" s="7"/>
      <c r="G54" s="7"/>
      <c r="H54" s="7"/>
      <c r="I54" s="7"/>
      <c r="J54" s="346" t="s">
        <v>17</v>
      </c>
      <c r="K54" s="346" t="s">
        <v>18</v>
      </c>
      <c r="L54" s="346" t="s">
        <v>19</v>
      </c>
      <c r="M54" s="346" t="s">
        <v>20</v>
      </c>
    </row>
    <row r="55" spans="5:13" ht="20.05" customHeight="1" x14ac:dyDescent="0.35">
      <c r="E55" s="7"/>
      <c r="F55" s="7"/>
      <c r="G55" s="7"/>
      <c r="H55" s="7"/>
      <c r="I55" s="7"/>
      <c r="J55" s="496" t="s">
        <v>1344</v>
      </c>
      <c r="K55" s="497"/>
      <c r="L55" s="497"/>
      <c r="M55" s="498"/>
    </row>
    <row r="56" spans="5:13" ht="20.05" customHeight="1" x14ac:dyDescent="0.35">
      <c r="E56" s="7"/>
      <c r="F56" s="7"/>
      <c r="G56" s="7"/>
      <c r="H56" s="7"/>
      <c r="I56" s="7"/>
      <c r="J56" s="4" t="s">
        <v>3827</v>
      </c>
      <c r="K56" s="362" t="s">
        <v>93</v>
      </c>
      <c r="L56" s="347" t="s">
        <v>93</v>
      </c>
      <c r="M56" s="337" t="str">
        <f>IF(mgmt_domain_ops_automation_later_chosen="Selected","Inputs are masked out as you have opted to deploy VCF Ops and Automation post MGMT Domain deployment",CONCATENATE(IF(mgmt_vcfops_appliance_size_chosen="Extra Small","2 vCPU, 8GB RAM, 274 GB Storage",
IF(mgmt_vcfops_appliance_size_chosen="Small","4 vCPU, 16GB RAM, 274 GB Storage",
IF(mgmt_vcfops_appliance_size_chosen="Medium","8 vCPU, 32GB RAM, 274 GB Storage",
IF(mgmt_vcfops_appliance_size_chosen="Large","16 vCPU, 48GB RAM, 274 GB Storage",
IF(mgmt_vcfops_appliance_size_chosen="Extra Large","24 vCPU, 128GB RAM, 274 GB Storage",
)))))," Per Appliance"))</f>
        <v>8 vCPU, 32GB RAM, 274 GB Storage Per Appliance</v>
      </c>
    </row>
    <row r="57" spans="5:13" ht="20.05" customHeight="1" x14ac:dyDescent="0.35">
      <c r="E57" s="7"/>
      <c r="F57" s="7"/>
      <c r="G57" s="7"/>
      <c r="H57" s="7"/>
      <c r="I57" s="7"/>
      <c r="J57" s="4" t="s">
        <v>553</v>
      </c>
      <c r="K57" s="80" t="str">
        <f>CONCATENATE(prefix_portable_component,"-ops01a.",sample_parent_dns_zone)</f>
        <v>flt-ops01a.rainpole.io</v>
      </c>
      <c r="L57" s="347"/>
      <c r="M57" s="337"/>
    </row>
    <row r="58" spans="5:13" ht="20.05" customHeight="1" x14ac:dyDescent="0.35">
      <c r="E58" s="7"/>
      <c r="F58" s="7"/>
      <c r="G58" s="7"/>
      <c r="H58" s="7"/>
      <c r="I58" s="7"/>
      <c r="J58" s="4" t="s">
        <v>554</v>
      </c>
      <c r="K58" s="80" t="str">
        <f>CONCATENATE(prefix_portable_component,"-ops01b.",sample_parent_dns_zone)</f>
        <v>flt-ops01b.rainpole.io</v>
      </c>
      <c r="L58" s="347"/>
      <c r="M58" s="337"/>
    </row>
    <row r="59" spans="5:13" ht="20.05" customHeight="1" x14ac:dyDescent="0.35">
      <c r="E59" s="7"/>
      <c r="F59" s="7"/>
      <c r="G59" s="7"/>
      <c r="H59" s="7"/>
      <c r="I59" s="7"/>
      <c r="J59" s="4" t="s">
        <v>555</v>
      </c>
      <c r="K59" s="362" t="str">
        <f>CONCATENATE(prefix_portable_component,"-ops01c.",sample_parent_dns_zone)</f>
        <v>flt-ops01c.rainpole.io</v>
      </c>
      <c r="L59" s="347"/>
      <c r="M59" s="337"/>
    </row>
    <row r="60" spans="5:13" ht="20.05" customHeight="1" x14ac:dyDescent="0.35">
      <c r="E60" s="7"/>
      <c r="F60" s="7"/>
      <c r="G60" s="7"/>
      <c r="H60" s="7"/>
      <c r="I60" s="7"/>
      <c r="J60" s="74" t="s">
        <v>3828</v>
      </c>
      <c r="K60" s="81" t="s">
        <v>141</v>
      </c>
      <c r="L60" s="82"/>
      <c r="M60" s="186" t="str">
        <f>IF(mgmt_domain_password_creation_chosen="Selected","Inputs are masked out as you have opted to deploy with system generated passwords","Minimum 15 Characters, 1 Uppercase, 1 Special")</f>
        <v>Minimum 15 Characters, 1 Uppercase, 1 Special</v>
      </c>
    </row>
    <row r="61" spans="5:13" ht="20.05" customHeight="1" x14ac:dyDescent="0.35">
      <c r="E61" s="7"/>
      <c r="F61" s="7"/>
      <c r="G61" s="7"/>
      <c r="H61" s="7"/>
      <c r="I61" s="7"/>
      <c r="J61" s="4" t="s">
        <v>562</v>
      </c>
      <c r="K61" s="362" t="s">
        <v>141</v>
      </c>
      <c r="L61" s="83"/>
      <c r="M61" s="337" t="str">
        <f>IF(mgmt_domain_password_creation_chosen="Selected","Inputs are masked out as you have opted to deploy with system generated passwords","Minimum 15 Characters, 1 Uppercase, 1 Special")</f>
        <v>Minimum 15 Characters, 1 Uppercase, 1 Special</v>
      </c>
    </row>
    <row r="62" spans="5:13" ht="20.05" customHeight="1" x14ac:dyDescent="0.35">
      <c r="E62" s="7"/>
      <c r="F62" s="7"/>
      <c r="G62" s="7"/>
      <c r="H62" s="7"/>
      <c r="I62" s="7"/>
      <c r="J62" s="496" t="s">
        <v>2754</v>
      </c>
      <c r="K62" s="497"/>
      <c r="L62" s="497"/>
      <c r="M62" s="498"/>
    </row>
    <row r="63" spans="5:13" ht="20.05" customHeight="1" x14ac:dyDescent="0.35">
      <c r="E63" s="7"/>
      <c r="F63" s="7"/>
      <c r="G63" s="7"/>
      <c r="H63" s="7"/>
      <c r="I63" s="7"/>
      <c r="J63" s="4" t="s">
        <v>3829</v>
      </c>
      <c r="K63" s="80" t="str">
        <f>CONCATENATE(prefix_portable_component,"-ops01.",sample_parent_dns_zone)</f>
        <v>flt-ops01.rainpole.io</v>
      </c>
      <c r="L63" s="347"/>
      <c r="M63" s="337" t="s">
        <v>557</v>
      </c>
    </row>
    <row r="64" spans="5:13" ht="20.05" customHeight="1" x14ac:dyDescent="0.35">
      <c r="E64" s="7"/>
      <c r="F64" s="7"/>
      <c r="G64" s="7"/>
      <c r="H64" s="7"/>
      <c r="I64" s="7"/>
      <c r="J64" s="496" t="s">
        <v>3830</v>
      </c>
      <c r="K64" s="497"/>
      <c r="L64" s="497"/>
      <c r="M64" s="498"/>
    </row>
    <row r="65" spans="5:13" ht="20.05" customHeight="1" x14ac:dyDescent="0.35">
      <c r="E65" s="7"/>
      <c r="F65" s="7"/>
      <c r="G65" s="7"/>
      <c r="H65" s="7"/>
      <c r="I65" s="7"/>
      <c r="J65" s="4" t="s">
        <v>3831</v>
      </c>
      <c r="K65" s="362" t="str">
        <f>CONCATENATE(prefix_portable_component,"-fm01.",sample_parent_dns_zone)</f>
        <v>flt-fm01.rainpole.io</v>
      </c>
      <c r="L65" s="347"/>
      <c r="M65" s="331" t="str">
        <f>IF(mgmt_domain_ops_automation_later_chosen="Selected","Inputs are masked out as you have opted to deploy VCF Ops and Automation post MGMT Domain deployment","4 vCPU, 12GB RAM, 194GB Storage")</f>
        <v>4 vCPU, 12GB RAM, 194GB Storage</v>
      </c>
    </row>
    <row r="66" spans="5:13" ht="20.05" customHeight="1" x14ac:dyDescent="0.35">
      <c r="E66" s="7"/>
      <c r="F66" s="7"/>
      <c r="G66" s="7"/>
      <c r="H66" s="7"/>
      <c r="I66" s="7"/>
      <c r="J66" s="4" t="s">
        <v>3832</v>
      </c>
      <c r="K66" s="362" t="s">
        <v>145</v>
      </c>
      <c r="L66" s="347" t="s">
        <v>145</v>
      </c>
      <c r="M66" s="337" t="str">
        <f>IF(mgmt_domain_password_creation_chosen="Selected","Inputs are masked out as you have opted to deploy with system generated passwords","")</f>
        <v/>
      </c>
    </row>
    <row r="67" spans="5:13" ht="20.05" customHeight="1" x14ac:dyDescent="0.35">
      <c r="E67" s="7"/>
      <c r="F67" s="7"/>
      <c r="G67" s="7"/>
      <c r="H67" s="7"/>
      <c r="I67" s="7"/>
      <c r="J67" s="4" t="s">
        <v>3828</v>
      </c>
      <c r="K67" s="362" t="s">
        <v>141</v>
      </c>
      <c r="L67" s="347"/>
      <c r="M67" s="337" t="str">
        <f>IF(mgmt_domain_password_creation_chosen="Selected","Inputs are masked out as you have opted to deploy with system generated passwords","Minimum 15 Characters, 1 Uppercase, 1 Special")</f>
        <v>Minimum 15 Characters, 1 Uppercase, 1 Special</v>
      </c>
    </row>
    <row r="68" spans="5:13" ht="20.05" customHeight="1" x14ac:dyDescent="0.35">
      <c r="E68" s="7"/>
      <c r="F68" s="7"/>
      <c r="G68" s="7"/>
      <c r="H68" s="7"/>
      <c r="I68" s="7"/>
      <c r="J68" s="351" t="s">
        <v>282</v>
      </c>
      <c r="K68" s="84" t="s">
        <v>141</v>
      </c>
      <c r="L68" s="347"/>
      <c r="M68" s="153" t="str">
        <f>IF(mgmt_domain_password_creation_chosen="Selected","Inputs are masked out as you have opted to deploy with system generated passwords","Minimum 15 Characters, 1 Uppercase, 1 Special")</f>
        <v>Minimum 15 Characters, 1 Uppercase, 1 Special</v>
      </c>
    </row>
    <row r="69" spans="5:13" ht="20.05" customHeight="1" x14ac:dyDescent="0.35">
      <c r="E69" s="7"/>
      <c r="F69" s="7"/>
      <c r="G69" s="7"/>
      <c r="H69" s="7"/>
      <c r="I69" s="7"/>
      <c r="J69" s="496" t="s">
        <v>1972</v>
      </c>
      <c r="K69" s="497"/>
      <c r="L69" s="497"/>
      <c r="M69" s="498"/>
    </row>
    <row r="70" spans="5:13" ht="20.05" customHeight="1" x14ac:dyDescent="0.35">
      <c r="E70" s="7"/>
      <c r="F70" s="7"/>
      <c r="G70" s="7"/>
      <c r="H70" s="7"/>
      <c r="I70" s="7"/>
      <c r="J70" s="4" t="s">
        <v>3831</v>
      </c>
      <c r="K70" s="85" t="str">
        <f>CONCATENATE(this_instance,"-cp01.",sample_child_dns_zone)</f>
        <v>sfo-cp01.sfo.rainpole.io</v>
      </c>
      <c r="L70" s="347"/>
      <c r="M70" s="4"/>
    </row>
    <row r="71" spans="5:13" ht="20.05" customHeight="1" x14ac:dyDescent="0.35">
      <c r="E71" s="7"/>
      <c r="F71" s="7"/>
      <c r="G71" s="7"/>
      <c r="H71" s="7"/>
      <c r="I71" s="7"/>
      <c r="J71" s="4" t="s">
        <v>3832</v>
      </c>
      <c r="K71" s="362" t="s">
        <v>145</v>
      </c>
      <c r="L71" s="347" t="s">
        <v>145</v>
      </c>
      <c r="M71" s="4"/>
    </row>
    <row r="72" spans="5:13" ht="20.05" customHeight="1" x14ac:dyDescent="0.35">
      <c r="E72" s="7"/>
      <c r="F72" s="7"/>
      <c r="G72" s="7"/>
      <c r="H72" s="7"/>
      <c r="I72" s="7"/>
      <c r="J72" s="4" t="s">
        <v>562</v>
      </c>
      <c r="K72" s="362" t="s">
        <v>141</v>
      </c>
      <c r="L72" s="347"/>
      <c r="M72" s="337" t="s">
        <v>3833</v>
      </c>
    </row>
    <row r="73" spans="5:13" ht="20.05" customHeight="1" x14ac:dyDescent="0.35">
      <c r="E73" s="7"/>
      <c r="F73" s="7"/>
      <c r="G73" s="7"/>
      <c r="H73" s="7"/>
      <c r="I73" s="7"/>
      <c r="J73" s="372"/>
      <c r="K73" s="372"/>
      <c r="L73" s="372"/>
      <c r="M73" s="372"/>
    </row>
    <row r="74" spans="5:13" ht="34" customHeight="1" x14ac:dyDescent="0.35">
      <c r="E74" s="7"/>
      <c r="F74" s="7"/>
      <c r="G74" s="7"/>
      <c r="H74" s="7"/>
      <c r="I74" s="7"/>
      <c r="J74" s="407" t="s">
        <v>3807</v>
      </c>
      <c r="K74" s="408"/>
      <c r="L74" s="408"/>
      <c r="M74" s="409"/>
    </row>
    <row r="75" spans="5:13" ht="20.05" customHeight="1" x14ac:dyDescent="0.35">
      <c r="E75" s="7"/>
      <c r="F75" s="7"/>
      <c r="G75" s="7"/>
      <c r="H75" s="7"/>
      <c r="I75" s="7"/>
      <c r="J75" s="496" t="s">
        <v>3834</v>
      </c>
      <c r="K75" s="497"/>
      <c r="L75" s="497"/>
      <c r="M75" s="498"/>
    </row>
    <row r="76" spans="5:13" ht="20.05" customHeight="1" x14ac:dyDescent="0.35">
      <c r="E76" s="7"/>
      <c r="F76" s="7"/>
      <c r="G76" s="7"/>
      <c r="H76" s="7"/>
      <c r="I76" s="7"/>
      <c r="J76" s="346" t="s">
        <v>17</v>
      </c>
      <c r="K76" s="346" t="s">
        <v>18</v>
      </c>
      <c r="L76" s="346" t="s">
        <v>19</v>
      </c>
      <c r="M76" s="346" t="s">
        <v>20</v>
      </c>
    </row>
    <row r="77" spans="5:13" ht="20.05" customHeight="1" x14ac:dyDescent="0.35">
      <c r="E77" s="7"/>
      <c r="F77" s="7"/>
      <c r="G77" s="7"/>
      <c r="H77" s="7"/>
      <c r="I77" s="7"/>
      <c r="J77" s="4" t="s">
        <v>3835</v>
      </c>
      <c r="K77" s="362" t="s">
        <v>145</v>
      </c>
      <c r="L77" s="347" t="s">
        <v>145</v>
      </c>
      <c r="M77" s="337" t="str">
        <f>IF(mgmt_domain_ops_automation_later_chosen="Selected","Inputs are masked out as you have opted to deploy VCF Ops and Automation post MGMT Domain deployment","Select to use VCF Operations to import or install VCF Automation once VCF installer is complete.")</f>
        <v>Select to use VCF Operations to import or install VCF Automation once VCF installer is complete.</v>
      </c>
    </row>
    <row r="78" spans="5:13" ht="20.05" customHeight="1" x14ac:dyDescent="0.35">
      <c r="E78" s="7"/>
      <c r="F78" s="7"/>
      <c r="G78" s="7"/>
      <c r="H78" s="7"/>
      <c r="I78" s="7"/>
      <c r="J78" s="4" t="s">
        <v>3831</v>
      </c>
      <c r="K78" s="362" t="str">
        <f>CONCATENATE(prefix_portable_component,"-auto01.",sample_parent_dns_zone)</f>
        <v>flt-auto01.rainpole.io</v>
      </c>
      <c r="L78" s="347"/>
      <c r="M78" s="337" t="str">
        <f>IF(OR(mgmt_domain_ops_automation_later_chosen="Selected",mgmt_domain_vcf_automation_later_chosen="Selected"),"Inputs are masked out as you have opted to deploy or import VCF Automation post MGMT Domain deployment","24 vCPU, 96GB RAM, 599GB Storage Per Appliance")</f>
        <v>24 vCPU, 96GB RAM, 599GB Storage Per Appliance</v>
      </c>
    </row>
    <row r="79" spans="5:13" ht="20.05" customHeight="1" x14ac:dyDescent="0.35">
      <c r="E79" s="7"/>
      <c r="F79" s="7"/>
      <c r="G79" s="7"/>
      <c r="H79" s="7"/>
      <c r="I79" s="7"/>
      <c r="J79" s="4" t="s">
        <v>3828</v>
      </c>
      <c r="K79" s="362" t="s">
        <v>141</v>
      </c>
      <c r="L79" s="347"/>
      <c r="M79" s="337" t="str">
        <f>IF(OR(mgmt_domain_ops_automation_later_chosen="Selected",mgmt_domain_vcf_automation_later_chosen="Selected"),"Inputs are masked out as you have opted to deploy or import VCF Automation post MGMT Domain deployment",IF(mgmt_domain_password_creation_chosen="Selected","Inputs are masked out as you have opted to deploy with system generated passwords","Minimum 15 Characters, 1 Uppercase, 1 Special"))</f>
        <v>Minimum 15 Characters, 1 Uppercase, 1 Special</v>
      </c>
    </row>
    <row r="80" spans="5:13" ht="20.05" customHeight="1" x14ac:dyDescent="0.35">
      <c r="E80" s="7"/>
      <c r="F80" s="7"/>
      <c r="G80" s="7"/>
      <c r="H80" s="7"/>
      <c r="I80" s="7"/>
      <c r="J80" s="4" t="s">
        <v>3836</v>
      </c>
      <c r="K80" s="80" t="str">
        <f>IF(mgmt_vcf_management_network_chosen="Use VM management network",IF(mgmt_dpg_reuse_result="Included",CONCATENATE(prefix_mgmt_az1_cidr,"10.46"),CONCATENATE(prefix_mgmt_az1_cidr,"11.46")),CONCATENATE(prefix_flt_shared_cidr,".46"))</f>
        <v>10.11.10.46</v>
      </c>
      <c r="L80" s="347"/>
      <c r="M80" s="337" t="str">
        <f>IF(OR(mgmt_domain_ops_automation_later_chosen="Selected",mgmt_domain_vcf_automation_later_chosen="Selected"),"Inputs are masked out as you have opted to deploy or import VCF Automation post MGMT Domain deployment","DNS  record is not required | This IP Address must be on the same network as vCenter, NSX Manager etc")</f>
        <v>DNS  record is not required | This IP Address must be on the same network as vCenter, NSX Manager etc</v>
      </c>
    </row>
    <row r="81" spans="5:13" ht="20.05" customHeight="1" x14ac:dyDescent="0.35">
      <c r="E81" s="7"/>
      <c r="F81" s="7"/>
      <c r="G81" s="7"/>
      <c r="H81" s="7"/>
      <c r="I81" s="7"/>
      <c r="J81" s="4" t="s">
        <v>3837</v>
      </c>
      <c r="K81" s="80" t="str">
        <f>IF(mgmt_vcf_management_network_chosen="Use VM management network",IF(mgmt_dpg_reuse_result="Included",CONCATENATE(prefix_mgmt_az1_cidr,"10.47"),CONCATENATE(prefix_mgmt_az1_cidr,"11.47")),CONCATENATE(prefix_flt_shared_cidr,".47"))</f>
        <v>10.11.10.47</v>
      </c>
      <c r="L81" s="347"/>
      <c r="M81" s="337" t="str">
        <f>IF(OR(mgmt_domain_ops_automation_later_chosen="Selected",mgmt_domain_vcf_automation_later_chosen="Selected"),"Inputs are masked out as you have opted to deploy or import VCF Automation post MGMT Domain deployment","DNS  record is not required | This IP Address must be on the same network as vCenter, NSX Manager etc")</f>
        <v>DNS  record is not required | This IP Address must be on the same network as vCenter, NSX Manager etc</v>
      </c>
    </row>
    <row r="82" spans="5:13" ht="20.05" customHeight="1" x14ac:dyDescent="0.35">
      <c r="E82" s="7"/>
      <c r="F82" s="7"/>
      <c r="G82" s="7"/>
      <c r="H82" s="7"/>
      <c r="I82" s="7"/>
      <c r="J82" s="4" t="s">
        <v>3838</v>
      </c>
      <c r="K82" s="135" t="str">
        <f>IF(mgmt_vcf_management_network_chosen="Use VM management network",IF(mgmt_dpg_reuse_result="Included",CONCATENATE(prefix_mgmt_az1_cidr,"10.48"),CONCATENATE(prefix_mgmt_az1_cidr,"11.48")),CONCATENATE(prefix_flt_shared_cidr,".48"))</f>
        <v>10.11.10.48</v>
      </c>
      <c r="L82" s="86"/>
      <c r="M82" s="337" t="str">
        <f>IF(OR(mgmt_domain_ops_automation_later_chosen="Selected",mgmt_domain_vcf_automation_later_chosen="Selected"),"Inputs are masked out as you have opted to deploy or import VCF Automation post MGMT Domain deployment","DNS  record is not required | This IP Address must be on the same network as vCenter, NSX Manager etc")</f>
        <v>DNS  record is not required | This IP Address must be on the same network as vCenter, NSX Manager etc</v>
      </c>
    </row>
    <row r="83" spans="5:13" ht="20.05" customHeight="1" x14ac:dyDescent="0.35">
      <c r="E83" s="7"/>
      <c r="F83" s="7"/>
      <c r="G83" s="7"/>
      <c r="H83" s="7"/>
      <c r="I83" s="7"/>
      <c r="J83" s="4" t="s">
        <v>3839</v>
      </c>
      <c r="K83" s="330" t="str">
        <f>IF(mgmt_vcf_management_network_chosen="Use VM management network",IF(mgmt_dpg_reuse_result="Included",CONCATENATE(prefix_mgmt_az1_cidr,"10.49"),CONCATENATE(prefix_mgmt_az1_cidr,"11.49")),CONCATENATE(prefix_flt_shared_cidr,".49"))</f>
        <v>10.11.10.49</v>
      </c>
      <c r="L83" s="88"/>
      <c r="M83" s="337" t="str">
        <f>IF(OR(mgmt_domain_ops_automation_later_chosen="Selected",mgmt_domain_vcf_automation_later_chosen="Selected"),"Inputs are masked out as you have opted to deploy or import VCF Automation post MGMT Domain deployment","DNS  record is not required | This IP Address must be on the same network as vCenter, NSX Manager etc")</f>
        <v>DNS  record is not required | This IP Address must be on the same network as vCenter, NSX Manager etc</v>
      </c>
    </row>
    <row r="84" spans="5:13" ht="20.05" customHeight="1" x14ac:dyDescent="0.35">
      <c r="E84" s="7"/>
      <c r="F84" s="7"/>
      <c r="G84" s="7"/>
      <c r="H84" s="7"/>
      <c r="I84" s="7"/>
      <c r="J84" s="4" t="s">
        <v>3840</v>
      </c>
      <c r="K84" s="80" t="str">
        <f>CONCATENATE(prefix_portable_component,"-auto")</f>
        <v>flt-auto</v>
      </c>
      <c r="L84" s="347"/>
      <c r="M84" s="337" t="str">
        <f>IF(OR(mgmt_domain_ops_automation_later_chosen="Selected",mgmt_domain_vcf_automation_later_chosen="Selected"),"Inputs are masked out as you have opted to deploy or import VCF Automation post MGMT Domain deployment","VCF Automation virtual machines will be deployed with Node Name Prefix&lt;generated id&gt;")</f>
        <v>VCF Automation virtual machines will be deployed with Node Name Prefix&lt;generated id&gt;</v>
      </c>
    </row>
    <row r="85" spans="5:13" ht="20.05" customHeight="1" x14ac:dyDescent="0.35">
      <c r="E85" s="7"/>
      <c r="F85" s="7"/>
      <c r="G85" s="7"/>
      <c r="H85" s="7"/>
      <c r="I85" s="7"/>
      <c r="J85" s="4" t="s">
        <v>629</v>
      </c>
      <c r="K85" s="80" t="s">
        <v>574</v>
      </c>
      <c r="L85" s="347" t="s">
        <v>574</v>
      </c>
      <c r="M85" s="337" t="str">
        <f>IF(OR(mgmt_domain_ops_automation_later_chosen="Selected",mgmt_domain_vcf_automation_later_chosen="Selected"),"Inputs are masked out as you have opted to deploy or import VCF Automation post MGMT Domain deployment","The CIDR used for pods running the internal Kubernetes cluster")</f>
        <v>The CIDR used for pods running the internal Kubernetes cluster</v>
      </c>
    </row>
    <row r="86" spans="5:13" ht="20.05" customHeight="1" x14ac:dyDescent="0.35">
      <c r="E86" s="7"/>
      <c r="F86" s="7"/>
      <c r="G86" s="7"/>
      <c r="H86" s="7"/>
      <c r="I86" s="7"/>
      <c r="J86" s="372"/>
      <c r="K86" s="372"/>
      <c r="L86" s="344"/>
      <c r="M86" s="372"/>
    </row>
    <row r="87" spans="5:13" ht="34" customHeight="1" x14ac:dyDescent="0.35">
      <c r="E87" s="7"/>
      <c r="F87" s="7"/>
      <c r="G87" s="7"/>
      <c r="H87" s="7"/>
      <c r="I87" s="7"/>
      <c r="J87" s="407" t="s">
        <v>814</v>
      </c>
      <c r="K87" s="408"/>
      <c r="L87" s="408"/>
      <c r="M87" s="409"/>
    </row>
    <row r="88" spans="5:13" ht="20.05" customHeight="1" x14ac:dyDescent="0.35">
      <c r="E88" s="7"/>
      <c r="F88" s="7"/>
      <c r="G88" s="7"/>
      <c r="H88" s="7"/>
      <c r="I88" s="7"/>
      <c r="J88" s="496" t="s">
        <v>3841</v>
      </c>
      <c r="K88" s="497"/>
      <c r="L88" s="497"/>
      <c r="M88" s="498"/>
    </row>
    <row r="89" spans="5:13" ht="20.05" customHeight="1" x14ac:dyDescent="0.35">
      <c r="E89" s="7"/>
      <c r="F89" s="7"/>
      <c r="G89" s="7"/>
      <c r="H89" s="7"/>
      <c r="I89" s="7"/>
      <c r="J89" s="346" t="s">
        <v>17</v>
      </c>
      <c r="K89" s="346" t="s">
        <v>18</v>
      </c>
      <c r="L89" s="346" t="s">
        <v>19</v>
      </c>
      <c r="M89" s="346" t="s">
        <v>20</v>
      </c>
    </row>
    <row r="90" spans="5:13" ht="20.05" customHeight="1" x14ac:dyDescent="0.35">
      <c r="E90" s="7"/>
      <c r="F90" s="7"/>
      <c r="G90" s="7"/>
      <c r="H90" s="7"/>
      <c r="I90" s="7"/>
      <c r="J90" s="4" t="s">
        <v>3831</v>
      </c>
      <c r="K90" s="89" t="str">
        <f>CONCATENATE(this_instance,"-m01-vc01.",sample_child_dns_zone)</f>
        <v>sfo-m01-vc01.sfo.rainpole.io</v>
      </c>
      <c r="L90" s="347"/>
      <c r="M90" s="337"/>
    </row>
    <row r="91" spans="5:13" ht="20.05" customHeight="1" x14ac:dyDescent="0.35">
      <c r="E91" s="7"/>
      <c r="F91" s="7"/>
      <c r="G91" s="7"/>
      <c r="H91" s="7"/>
      <c r="I91" s="7"/>
      <c r="J91" s="4" t="s">
        <v>784</v>
      </c>
      <c r="K91" s="362" t="s">
        <v>581</v>
      </c>
      <c r="L91" s="347" t="s">
        <v>581</v>
      </c>
      <c r="M91" s="337" t="str">
        <f>IF(mgmt_domain_existing_vcenter_chosen="Selected","Inputs are masked out as you have opted to import an existing vCenter Server",
IF(mgmt_vcenter_appliance_size_chosen="Tiny","2 vCPU, 10GB RAM",
IF(mgmt_vcenter_appliance_size_chosen="Small","4 vCPU, 21GB RAM",
IF(mgmt_vcenter_appliance_size_chosen="Medium","8 vCPU, 30GB RAM",
IF(mgmt_vcenter_appliance_size_chosen="Large","16 vCPU, 39GB RAM",
IF(mgmt_vcenter_appliance_size_chosen="Extra Large","24 vCPU, 58GB  RAM",
))))))</f>
        <v>4 vCPU, 21GB RAM</v>
      </c>
    </row>
    <row r="92" spans="5:13" ht="20.05" customHeight="1" x14ac:dyDescent="0.35">
      <c r="E92" s="7"/>
      <c r="F92" s="7"/>
      <c r="G92" s="7"/>
      <c r="H92" s="7"/>
      <c r="I92" s="7"/>
      <c r="J92" s="74" t="s">
        <v>1329</v>
      </c>
      <c r="K92" s="362" t="s">
        <v>852</v>
      </c>
      <c r="L92" s="347" t="s">
        <v>852</v>
      </c>
      <c r="M92" s="337" t="str">
        <f>IF(mgmt_domain_existing_vcenter_chosen="Selected","Inputs are masked out as you have opted to import an existing vCenter Server",
CONCATENATE(VLOOKUP(CONCATENATE(mgmt_vcenter_appliance_size_chosen,sizing_m01_vcenter_storage_size_chosen),table_vcenter_disk_gb,2,FALSE)," GB"))</f>
        <v>694 GB</v>
      </c>
    </row>
    <row r="93" spans="5:13" ht="20.05" customHeight="1" x14ac:dyDescent="0.35">
      <c r="E93" s="7"/>
      <c r="F93" s="7"/>
      <c r="G93" s="7"/>
      <c r="H93" s="7"/>
      <c r="I93" s="7"/>
      <c r="J93" s="4" t="s">
        <v>1945</v>
      </c>
      <c r="K93" s="362" t="str">
        <f>CONCATENATE(this_instance,"-m01-dc01")</f>
        <v>sfo-m01-dc01</v>
      </c>
      <c r="L93" s="347"/>
      <c r="M93" s="337" t="str">
        <f>IF(mgmt_domain_existing_vcenter_chosen="Selected","Inputs are masked out as you have opted to import an existing vCenter Server","")</f>
        <v/>
      </c>
    </row>
    <row r="94" spans="5:13" ht="20.05" customHeight="1" x14ac:dyDescent="0.35">
      <c r="E94" s="7"/>
      <c r="F94" s="7"/>
      <c r="G94" s="7"/>
      <c r="H94" s="7"/>
      <c r="I94" s="7"/>
      <c r="J94" s="4" t="s">
        <v>210</v>
      </c>
      <c r="K94" s="362" t="str">
        <f>CONCATENATE(this_instance,"-m01-cl01")</f>
        <v>sfo-m01-cl01</v>
      </c>
      <c r="L94" s="347"/>
      <c r="M94" s="337" t="str">
        <f>IF(mgmt_domain_existing_vcenter_chosen="Selected","Inputs are masked out as you have opted to import an existing vCenter Server","")</f>
        <v/>
      </c>
    </row>
    <row r="95" spans="5:13" ht="20.05" customHeight="1" x14ac:dyDescent="0.35">
      <c r="E95" s="7"/>
      <c r="F95" s="7"/>
      <c r="G95" s="7"/>
      <c r="H95" s="7"/>
      <c r="I95" s="7"/>
      <c r="J95" s="4" t="s">
        <v>606</v>
      </c>
      <c r="K95" s="362" t="s">
        <v>3017</v>
      </c>
      <c r="L95" s="347"/>
      <c r="M95" s="337" t="str">
        <f>IF(mgmt_domain_existing_vcenter_chosen="Selected","Inputs are masked out as you have opted to import an existing vCenter Server","")</f>
        <v/>
      </c>
    </row>
    <row r="96" spans="5:13" ht="20.05" customHeight="1" x14ac:dyDescent="0.35">
      <c r="E96" s="7"/>
      <c r="F96" s="7"/>
      <c r="G96" s="7"/>
      <c r="H96" s="7"/>
      <c r="I96" s="7"/>
      <c r="J96" s="4" t="s">
        <v>3842</v>
      </c>
      <c r="K96" s="362" t="s">
        <v>1844</v>
      </c>
      <c r="L96" s="347"/>
      <c r="M96" s="337" t="str">
        <f>IF(mgmt_domain_existing_vcenter_chosen="Unselected", "Input is masked out and only required if importing an existing vCenter","")</f>
        <v>Input is masked out and only required if importing an existing vCenter</v>
      </c>
    </row>
    <row r="97" spans="5:13" ht="20.05" customHeight="1" x14ac:dyDescent="0.35">
      <c r="E97" s="7"/>
      <c r="F97" s="7"/>
      <c r="G97" s="7"/>
      <c r="H97" s="7"/>
      <c r="I97" s="7"/>
      <c r="J97" s="4" t="s">
        <v>3828</v>
      </c>
      <c r="K97" s="362" t="s">
        <v>141</v>
      </c>
      <c r="L97" s="347"/>
      <c r="M97" s="337" t="str">
        <f>IF(mgmt_domain_existing_vcenter_chosen="Selected","",IF(mgmt_domain_password_creation_chosen="Selected","Inputs are masked out as you have opted deploy with system generated passwords","Minimum 15 Characters, 1 Uppercase, 1 Special"))</f>
        <v>Minimum 15 Characters, 1 Uppercase, 1 Special</v>
      </c>
    </row>
    <row r="98" spans="5:13" ht="20.05" customHeight="1" x14ac:dyDescent="0.35">
      <c r="E98" s="7"/>
      <c r="F98" s="7"/>
      <c r="G98" s="7"/>
      <c r="H98" s="7"/>
      <c r="I98" s="7"/>
      <c r="J98" s="4" t="s">
        <v>562</v>
      </c>
      <c r="K98" s="362" t="s">
        <v>141</v>
      </c>
      <c r="L98" s="347"/>
      <c r="M98" s="337" t="str">
        <f>IF(mgmt_domain_existing_vcenter_chosen="Selected","",IF(mgmt_domain_password_creation_chosen="Selected","Inputs are masked out as you have opted deploy with system generated passwords","Minimum 15 Characters, 1 Uppercase, 1 Special"))</f>
        <v>Minimum 15 Characters, 1 Uppercase, 1 Special</v>
      </c>
    </row>
    <row r="99" spans="5:13" ht="20.05" customHeight="1" x14ac:dyDescent="0.35">
      <c r="E99" s="7"/>
      <c r="F99" s="7"/>
      <c r="G99" s="7"/>
      <c r="H99" s="7"/>
      <c r="I99" s="7"/>
      <c r="J99" s="90"/>
      <c r="K99" s="90"/>
      <c r="L99" s="90"/>
      <c r="M99" s="90"/>
    </row>
    <row r="100" spans="5:13" ht="34" customHeight="1" x14ac:dyDescent="0.35">
      <c r="E100" s="7"/>
      <c r="F100" s="7"/>
      <c r="G100" s="7"/>
      <c r="H100" s="7"/>
      <c r="I100" s="7"/>
      <c r="J100" s="407" t="s">
        <v>778</v>
      </c>
      <c r="K100" s="408"/>
      <c r="L100" s="408"/>
      <c r="M100" s="409"/>
    </row>
    <row r="101" spans="5:13" ht="20.05" customHeight="1" x14ac:dyDescent="0.35">
      <c r="E101" s="7"/>
      <c r="F101" s="7"/>
      <c r="G101" s="7"/>
      <c r="H101" s="7"/>
      <c r="I101" s="7"/>
      <c r="J101" s="496" t="s">
        <v>3843</v>
      </c>
      <c r="K101" s="497"/>
      <c r="L101" s="497"/>
      <c r="M101" s="498"/>
    </row>
    <row r="102" spans="5:13" ht="20.05" customHeight="1" x14ac:dyDescent="0.35">
      <c r="E102" s="7"/>
      <c r="F102" s="7"/>
      <c r="G102" s="7"/>
      <c r="H102" s="7"/>
      <c r="I102" s="7"/>
      <c r="J102" s="346" t="s">
        <v>17</v>
      </c>
      <c r="K102" s="346" t="s">
        <v>18</v>
      </c>
      <c r="L102" s="346" t="s">
        <v>19</v>
      </c>
      <c r="M102" s="346" t="s">
        <v>20</v>
      </c>
    </row>
    <row r="103" spans="5:13" ht="20.05" customHeight="1" x14ac:dyDescent="0.35">
      <c r="E103" s="7"/>
      <c r="F103" s="7"/>
      <c r="G103" s="7"/>
      <c r="H103" s="7"/>
      <c r="I103" s="7"/>
      <c r="J103" s="4" t="s">
        <v>784</v>
      </c>
      <c r="K103" s="362" t="s">
        <v>93</v>
      </c>
      <c r="L103" s="347" t="s">
        <v>93</v>
      </c>
      <c r="M103" s="337" t="str">
        <f>IF(mgmt_domain_existing_nsx_manager_chosen="Selected","Inputs are masked out as you have opted to import with an existing NSX Cluster",
IF(mgmt_nsxt_appliance_size_chosen="Extra Small","2 vCPU, 8GB, 300GB Storage - Only supported via API. Use VCF.JSONGenerator to generate the JSON File once PnP is complete",
IF(mgmt_nsxt_appliance_size_chosen="Small","4 vCPU, 16GB, 300GB Storage",
IF(mgmt_nsxt_appliance_size_chosen="Medium","6 vCPU, 24GB, 300GB Storage",
IF(mgmt_nsxt_appliance_size_chosen="Large","12 vCPU, 48GB, 400GB Storage",
IF(mgmt_nsxt_appliance_size_chosen="XLarge","24 vCPU, 96GB, 400GB Storage Only supported via API. Use VCF.JSONGenerator to generate the JSON File once PnP is complete",
))))))</f>
        <v>6 vCPU, 24GB, 300GB Storage</v>
      </c>
    </row>
    <row r="104" spans="5:13" ht="20.05" customHeight="1" x14ac:dyDescent="0.35">
      <c r="E104" s="7"/>
      <c r="F104" s="7"/>
      <c r="G104" s="7"/>
      <c r="H104" s="7"/>
      <c r="I104" s="7"/>
      <c r="J104" s="4" t="s">
        <v>209</v>
      </c>
      <c r="K104" s="89" t="str">
        <f>CONCATENATE(this_instance,"-m01-nsx01",".",sample_child_dns_zone)</f>
        <v>sfo-m01-nsx01.sfo.rainpole.io</v>
      </c>
      <c r="L104" s="79"/>
      <c r="M104" s="337"/>
    </row>
    <row r="105" spans="5:13" ht="20.05" customHeight="1" x14ac:dyDescent="0.35">
      <c r="E105" s="7"/>
      <c r="F105" s="7"/>
      <c r="G105" s="7"/>
      <c r="H105" s="7"/>
      <c r="I105" s="7"/>
      <c r="J105" s="4" t="s">
        <v>785</v>
      </c>
      <c r="K105" s="89" t="str">
        <f>CONCATENATE(this_instance,"-m01-nsx01a",".",sample_child_dns_zone)</f>
        <v>sfo-m01-nsx01a.sfo.rainpole.io</v>
      </c>
      <c r="L105" s="347"/>
      <c r="M105" s="337" t="str">
        <f>IF(mgmt_domain_existing_nsx_manager_chosen="Selected","Inputs are masked out as you have opted to deploy with an existing NSX Cluster","")</f>
        <v/>
      </c>
    </row>
    <row r="106" spans="5:13" ht="20.05" customHeight="1" x14ac:dyDescent="0.35">
      <c r="E106" s="7"/>
      <c r="F106" s="7"/>
      <c r="G106" s="7"/>
      <c r="H106" s="7"/>
      <c r="I106" s="7"/>
      <c r="J106" s="4" t="s">
        <v>1341</v>
      </c>
      <c r="K106" s="89" t="str">
        <f>CONCATENATE(this_instance,"-m01-nsx01b",".",sample_child_dns_zone)</f>
        <v>sfo-m01-nsx01b.sfo.rainpole.io</v>
      </c>
      <c r="L106" s="347"/>
      <c r="M106" s="337" t="str">
        <f>IF(mgmt_domain_existing_nsx_manager_chosen="Selected","Inputs are masked out as you have opted to deploy with an existing NSX Cluster","")</f>
        <v/>
      </c>
    </row>
    <row r="107" spans="5:13" ht="20.05" customHeight="1" x14ac:dyDescent="0.35">
      <c r="E107" s="7"/>
      <c r="F107" s="7"/>
      <c r="G107" s="7"/>
      <c r="H107" s="7"/>
      <c r="I107" s="7"/>
      <c r="J107" s="4" t="s">
        <v>1342</v>
      </c>
      <c r="K107" s="89" t="str">
        <f>CONCATENATE(this_instance,"-m01-nsx01c",".",sample_child_dns_zone)</f>
        <v>sfo-m01-nsx01c.sfo.rainpole.io</v>
      </c>
      <c r="L107" s="347"/>
      <c r="M107" s="337" t="str">
        <f>IF(mgmt_domain_existing_nsx_manager_chosen="Selected","Inputs are masked out as you have opted to deploy with an existing NSX Cluster","")</f>
        <v/>
      </c>
    </row>
    <row r="108" spans="5:13" ht="20.05" customHeight="1" x14ac:dyDescent="0.35">
      <c r="E108" s="7"/>
      <c r="F108" s="7"/>
      <c r="G108" s="7"/>
      <c r="H108" s="7"/>
      <c r="I108" s="7"/>
      <c r="J108" s="4" t="s">
        <v>3828</v>
      </c>
      <c r="K108" s="362" t="s">
        <v>141</v>
      </c>
      <c r="L108" s="347"/>
      <c r="M108" s="337" t="str">
        <f>IF(mgmt_domain_password_creation_chosen="Selected","Inputs are masked out as you have opted to deploy with system generated passwords","Minimum 12 Characters, 1 Uppercase, 1 Special")</f>
        <v>Minimum 12 Characters, 1 Uppercase, 1 Special</v>
      </c>
    </row>
    <row r="109" spans="5:13" ht="20.05" customHeight="1" x14ac:dyDescent="0.35">
      <c r="E109" s="7"/>
      <c r="F109" s="7"/>
      <c r="G109" s="7"/>
      <c r="H109" s="7"/>
      <c r="I109" s="7"/>
      <c r="J109" s="4" t="s">
        <v>562</v>
      </c>
      <c r="K109" s="362" t="s">
        <v>141</v>
      </c>
      <c r="L109" s="347"/>
      <c r="M109" s="337" t="str">
        <f>IF(mgmt_domain_password_creation_chosen="Selected","Inputs are masked out as you have opted to deploy with system generated passwords","Minimum 12 Characters, 1 Uppercase, 1 Special")</f>
        <v>Minimum 12 Characters, 1 Uppercase, 1 Special</v>
      </c>
    </row>
    <row r="110" spans="5:13" ht="20.05" customHeight="1" x14ac:dyDescent="0.35">
      <c r="E110" s="7"/>
      <c r="F110" s="7"/>
      <c r="G110" s="7"/>
      <c r="H110" s="7"/>
      <c r="I110" s="7"/>
      <c r="J110" s="4" t="s">
        <v>828</v>
      </c>
      <c r="K110" s="362" t="s">
        <v>141</v>
      </c>
      <c r="L110" s="347"/>
      <c r="M110" s="337" t="str">
        <f>IF(mgmt_domain_password_creation_chosen="Selected","Inputs are masked out as you have opted to deploy with system generated passwords","Minimum 12 Characters, 1 Uppercase, 1 Special")</f>
        <v>Minimum 12 Characters, 1 Uppercase, 1 Special</v>
      </c>
    </row>
    <row r="111" spans="5:13" ht="20.05" customHeight="1" x14ac:dyDescent="0.35">
      <c r="E111" s="7"/>
      <c r="F111" s="7"/>
      <c r="G111" s="7"/>
      <c r="H111" s="7"/>
      <c r="I111" s="7"/>
      <c r="J111" s="4" t="s">
        <v>793</v>
      </c>
      <c r="K111" s="362" t="s">
        <v>145</v>
      </c>
      <c r="L111" s="347" t="s">
        <v>145</v>
      </c>
      <c r="M111" s="337" t="str">
        <f>IF(mgmt_domain_existing_nsx_manager_chosen="Unselected","Input is masked out and only required if importing an NSX Instance","")</f>
        <v>Input is masked out and only required if importing an NSX Instance</v>
      </c>
    </row>
    <row r="112" spans="5:13" ht="20.05" customHeight="1" x14ac:dyDescent="0.35">
      <c r="E112" s="7"/>
      <c r="F112" s="7"/>
      <c r="G112" s="7"/>
      <c r="H112" s="7"/>
      <c r="I112" s="7"/>
      <c r="J112" s="372"/>
      <c r="K112" s="372"/>
      <c r="L112" s="372"/>
      <c r="M112" s="372"/>
    </row>
    <row r="113" spans="5:13" ht="34" customHeight="1" x14ac:dyDescent="0.35">
      <c r="E113" s="7"/>
      <c r="F113" s="7"/>
      <c r="G113" s="7"/>
      <c r="H113" s="7"/>
      <c r="I113" s="7"/>
      <c r="J113" s="407" t="s">
        <v>834</v>
      </c>
      <c r="K113" s="408"/>
      <c r="L113" s="408"/>
      <c r="M113" s="409"/>
    </row>
    <row r="114" spans="5:13" ht="20.05" customHeight="1" x14ac:dyDescent="0.35">
      <c r="E114" s="7"/>
      <c r="F114" s="7"/>
      <c r="G114" s="7"/>
      <c r="H114" s="7"/>
      <c r="I114" s="7"/>
      <c r="J114" s="496" t="s">
        <v>3844</v>
      </c>
      <c r="K114" s="497"/>
      <c r="L114" s="497"/>
      <c r="M114" s="498"/>
    </row>
    <row r="115" spans="5:13" ht="20.05" customHeight="1" x14ac:dyDescent="0.35">
      <c r="E115" s="7"/>
      <c r="F115" s="7"/>
      <c r="G115" s="7"/>
      <c r="H115" s="7"/>
      <c r="I115" s="7"/>
      <c r="J115" s="346" t="s">
        <v>17</v>
      </c>
      <c r="K115" s="346" t="s">
        <v>18</v>
      </c>
      <c r="L115" s="346" t="s">
        <v>19</v>
      </c>
      <c r="M115" s="346" t="s">
        <v>20</v>
      </c>
    </row>
    <row r="116" spans="5:13" ht="20.05" customHeight="1" x14ac:dyDescent="0.35">
      <c r="E116" s="7"/>
      <c r="F116" s="7"/>
      <c r="G116" s="7"/>
      <c r="H116" s="7"/>
      <c r="I116" s="7"/>
      <c r="J116" s="4" t="s">
        <v>3845</v>
      </c>
      <c r="K116" s="362" t="s">
        <v>762</v>
      </c>
      <c r="L116" s="347" t="s">
        <v>762</v>
      </c>
      <c r="M116" s="337" t="str">
        <f>IF(mgmt_domain_existing_vcenter_chosen="Selected","Inputs are masked out as you have opted to import an existing vCenter Server","")</f>
        <v/>
      </c>
    </row>
    <row r="117" spans="5:13" ht="20.05" customHeight="1" x14ac:dyDescent="0.35">
      <c r="E117" s="7"/>
      <c r="F117" s="7"/>
      <c r="G117" s="7"/>
      <c r="H117" s="7"/>
      <c r="I117" s="7"/>
      <c r="J117" s="4" t="s">
        <v>3846</v>
      </c>
      <c r="K117" s="362" t="str">
        <f>IF(mgmt_principal_storage_chosen="VMFS on Fibre Channel (FC)",CONCATENATE(this_instance,"-m01-cl01-ds-vmfs01"),IF(mgmt_principal_storage_chosen="NFSv3",CONCATENATE(this_instance,"-m01-cl01-ds-nfs01"),CONCATENATE(this_instance,"-m01-cl01-ds-vsan01")))</f>
        <v>sfo-m01-cl01-ds-vsan01</v>
      </c>
      <c r="L117" s="347"/>
      <c r="M117" s="337" t="str">
        <f>IF(mgmt_domain_existing_vcenter_chosen="Selected","Inputs are masked out as you have opted to import an existing vCenter Server","")</f>
        <v/>
      </c>
    </row>
    <row r="118" spans="5:13" ht="20.05" customHeight="1" x14ac:dyDescent="0.35">
      <c r="E118" s="7"/>
      <c r="F118" s="7"/>
      <c r="G118" s="7"/>
      <c r="H118" s="7"/>
      <c r="I118" s="7"/>
      <c r="J118" s="74" t="s">
        <v>3847</v>
      </c>
      <c r="K118" s="362">
        <v>1</v>
      </c>
      <c r="L118" s="86" t="s">
        <v>842</v>
      </c>
      <c r="M118" s="337" t="str">
        <f>IF(mgmt_principal_storage_chosen&lt;&gt;"vSAN-OSA","Input is masked out and only required if configuring vSAN-OSA","")</f>
        <v>Input is masked out and only required if configuring vSAN-OSA</v>
      </c>
    </row>
    <row r="119" spans="5:13" ht="20.05" customHeight="1" x14ac:dyDescent="0.35">
      <c r="E119" s="7"/>
      <c r="F119" s="7"/>
      <c r="G119" s="7"/>
      <c r="H119" s="7"/>
      <c r="I119" s="7"/>
      <c r="J119" s="74" t="s">
        <v>3848</v>
      </c>
      <c r="K119" s="362" t="s">
        <v>145</v>
      </c>
      <c r="L119" s="86" t="s">
        <v>145</v>
      </c>
      <c r="M119" s="337" t="str">
        <f>IF(mgmt_principal_storage_chosen&lt;&gt;"vSAN-OSA","Input is masked out and only required if configuring vSAN-OSA","")</f>
        <v>Input is masked out and only required if configuring vSAN-OSA</v>
      </c>
    </row>
    <row r="120" spans="5:13" ht="20.05" customHeight="1" x14ac:dyDescent="0.35">
      <c r="E120" s="7"/>
      <c r="F120" s="7"/>
      <c r="G120" s="7"/>
      <c r="H120" s="7"/>
      <c r="I120" s="7"/>
      <c r="J120" s="74" t="s">
        <v>3849</v>
      </c>
      <c r="K120" s="81" t="str">
        <f>CONCATENATE("/share/",this_instance,"-m01-cl01-ds-nfs01")</f>
        <v>/share/sfo-m01-cl01-ds-nfs01</v>
      </c>
      <c r="L120" s="91"/>
      <c r="M120" s="186" t="str">
        <f>IF(mgmt_principal_storage_chosen&lt;&gt;"NFSv3","Input is masked out and only required if configuring NFS Storage","")</f>
        <v>Input is masked out and only required if configuring NFS Storage</v>
      </c>
    </row>
    <row r="121" spans="5:13" ht="20.05" customHeight="1" x14ac:dyDescent="0.35">
      <c r="E121" s="7"/>
      <c r="F121" s="7"/>
      <c r="G121" s="7"/>
      <c r="H121" s="7"/>
      <c r="I121" s="7"/>
      <c r="J121" s="74" t="s">
        <v>3850</v>
      </c>
      <c r="K121" s="81" t="str">
        <f>CONCATENATE(prefix_mgmt_az1_cidr,"15.200")</f>
        <v>10.11.15.200</v>
      </c>
      <c r="L121" s="91"/>
      <c r="M121" s="186" t="str">
        <f>IF(mgmt_principal_storage_chosen&lt;&gt;"NFSv3","Input is masked out and only required if configuring NFS Storage","")</f>
        <v>Input is masked out and only required if configuring NFS Storage</v>
      </c>
    </row>
    <row r="122" spans="5:13" ht="20.05" customHeight="1" x14ac:dyDescent="0.35">
      <c r="E122" s="7"/>
      <c r="F122" s="7"/>
      <c r="G122" s="7"/>
      <c r="H122" s="7"/>
      <c r="I122" s="7"/>
      <c r="J122" s="74" t="s">
        <v>3851</v>
      </c>
      <c r="K122" s="81" t="s">
        <v>159</v>
      </c>
      <c r="L122" s="86" t="s">
        <v>159</v>
      </c>
      <c r="M122" s="186" t="str">
        <f>IF(mgmt_principal_storage_chosen&lt;&gt;"NFSv3","Input is masked out and only required if configuring NFS Storage","")</f>
        <v>Input is masked out and only required if configuring NFS Storage</v>
      </c>
    </row>
    <row r="123" spans="5:13" ht="20.05" customHeight="1" x14ac:dyDescent="0.35">
      <c r="E123" s="7"/>
      <c r="F123" s="7"/>
      <c r="G123" s="7"/>
      <c r="H123" s="7"/>
      <c r="I123" s="7"/>
      <c r="J123" s="372"/>
      <c r="K123" s="344"/>
      <c r="L123" s="344"/>
      <c r="M123" s="344"/>
    </row>
    <row r="124" spans="5:13" ht="34" customHeight="1" x14ac:dyDescent="0.35">
      <c r="E124" s="7"/>
      <c r="F124" s="7"/>
      <c r="G124" s="7"/>
      <c r="H124" s="7"/>
      <c r="I124" s="7"/>
      <c r="J124" s="407" t="s">
        <v>3852</v>
      </c>
      <c r="K124" s="408"/>
      <c r="L124" s="408"/>
      <c r="M124" s="409"/>
    </row>
    <row r="125" spans="5:13" ht="20.05" customHeight="1" x14ac:dyDescent="0.35">
      <c r="E125" s="7"/>
      <c r="F125" s="7"/>
      <c r="G125" s="7"/>
      <c r="H125" s="7"/>
      <c r="I125" s="7"/>
      <c r="J125" s="496" t="s">
        <v>3853</v>
      </c>
      <c r="K125" s="497"/>
      <c r="L125" s="497"/>
      <c r="M125" s="498"/>
    </row>
    <row r="126" spans="5:13" ht="20.05" customHeight="1" x14ac:dyDescent="0.35">
      <c r="E126" s="7"/>
      <c r="F126" s="7"/>
      <c r="G126" s="7"/>
      <c r="H126" s="7"/>
      <c r="I126" s="7"/>
      <c r="J126" s="346" t="s">
        <v>17</v>
      </c>
      <c r="K126" s="346" t="s">
        <v>18</v>
      </c>
      <c r="L126" s="346" t="s">
        <v>19</v>
      </c>
      <c r="M126" s="346" t="s">
        <v>20</v>
      </c>
    </row>
    <row r="127" spans="5:13" ht="20.05" customHeight="1" x14ac:dyDescent="0.35">
      <c r="E127" s="7"/>
      <c r="F127" s="7"/>
      <c r="G127" s="7"/>
      <c r="H127" s="7"/>
      <c r="I127" s="7"/>
      <c r="J127" s="4" t="s">
        <v>2369</v>
      </c>
      <c r="K127" s="362" t="s">
        <v>30</v>
      </c>
      <c r="L127" s="347"/>
      <c r="M127" s="337" t="str">
        <f>IF(mgmt_domain_existing_vcenter_chosen="Selected","Inputs are masked out as you have opted to import an existing vCenter Server","")</f>
        <v/>
      </c>
    </row>
    <row r="128" spans="5:13" ht="20.05" customHeight="1" x14ac:dyDescent="0.35">
      <c r="E128" s="7"/>
      <c r="F128" s="7"/>
      <c r="G128" s="7"/>
      <c r="H128" s="7"/>
      <c r="I128" s="7"/>
      <c r="J128" s="4" t="s">
        <v>3854</v>
      </c>
      <c r="K128" s="362" t="str">
        <f>CONCATENATE(this_instance,"01-m01-r01-esx01",".",sample_child_dns_zone)</f>
        <v>sfo01-m01-r01-esx01.sfo.rainpole.io</v>
      </c>
      <c r="L128" s="347"/>
      <c r="M128" s="337"/>
    </row>
    <row r="129" spans="5:13" ht="20.05" customHeight="1" x14ac:dyDescent="0.35">
      <c r="E129" s="7"/>
      <c r="F129" s="7"/>
      <c r="G129" s="7"/>
      <c r="H129" s="7"/>
      <c r="I129" s="7"/>
      <c r="J129" s="4" t="s">
        <v>3855</v>
      </c>
      <c r="K129" s="362" t="str">
        <f>CONCATENATE(this_instance,"01-m01-r01-esx02",".",sample_child_dns_zone)</f>
        <v>sfo01-m01-r01-esx02.sfo.rainpole.io</v>
      </c>
      <c r="L129" s="347"/>
      <c r="M129" s="337"/>
    </row>
    <row r="130" spans="5:13" ht="20.05" customHeight="1" x14ac:dyDescent="0.35">
      <c r="E130" s="7"/>
      <c r="F130" s="7"/>
      <c r="G130" s="7"/>
      <c r="H130" s="7"/>
      <c r="I130" s="7"/>
      <c r="J130" s="4" t="s">
        <v>3856</v>
      </c>
      <c r="K130" s="362" t="str">
        <f>CONCATENATE(this_instance,"01-m01-r01-esx03",".",sample_child_dns_zone)</f>
        <v>sfo01-m01-r01-esx03.sfo.rainpole.io</v>
      </c>
      <c r="L130" s="347"/>
      <c r="M130" s="337"/>
    </row>
    <row r="131" spans="5:13" ht="20.05" customHeight="1" x14ac:dyDescent="0.35">
      <c r="E131" s="7"/>
      <c r="F131" s="7"/>
      <c r="G131" s="7"/>
      <c r="H131" s="7"/>
      <c r="I131" s="7"/>
      <c r="J131" s="4" t="s">
        <v>3857</v>
      </c>
      <c r="K131" s="362" t="str">
        <f>CONCATENATE(this_instance,"01-m01-r01-esx04",".",sample_child_dns_zone)</f>
        <v>sfo01-m01-r01-esx04.sfo.rainpole.io</v>
      </c>
      <c r="L131" s="347"/>
      <c r="M131" s="337"/>
    </row>
    <row r="132" spans="5:13" ht="20.05" customHeight="1" x14ac:dyDescent="0.35">
      <c r="E132" s="7"/>
      <c r="F132" s="7"/>
      <c r="G132" s="7"/>
      <c r="H132" s="7"/>
      <c r="I132" s="7"/>
      <c r="J132" s="4" t="s">
        <v>3858</v>
      </c>
      <c r="K132" s="89" t="str">
        <f>CONCATENATE(this_instance,"01-m01-r01-esx05",".",sample_child_dns_zone)</f>
        <v>sfo01-m01-r01-esx05.sfo.rainpole.io</v>
      </c>
      <c r="L132" s="347"/>
      <c r="M132" s="337"/>
    </row>
    <row r="133" spans="5:13" ht="20.05" customHeight="1" x14ac:dyDescent="0.35">
      <c r="E133" s="7"/>
      <c r="F133" s="7"/>
      <c r="G133" s="7"/>
      <c r="H133" s="7"/>
      <c r="I133" s="7"/>
      <c r="J133" s="4" t="s">
        <v>3859</v>
      </c>
      <c r="K133" s="89" t="str">
        <f>CONCATENATE(this_instance,"01-m01-r01-esx06",".",sample_child_dns_zone)</f>
        <v>sfo01-m01-r01-esx06.sfo.rainpole.io</v>
      </c>
      <c r="L133" s="347"/>
      <c r="M133" s="337"/>
    </row>
    <row r="134" spans="5:13" ht="20.05" customHeight="1" x14ac:dyDescent="0.35">
      <c r="E134" s="7"/>
      <c r="F134" s="7"/>
      <c r="G134" s="7"/>
      <c r="H134" s="7"/>
      <c r="I134" s="7"/>
      <c r="J134" s="4" t="s">
        <v>3860</v>
      </c>
      <c r="K134" s="89" t="str">
        <f>CONCATENATE(this_instance,"01-m01-r01-esx07",".",sample_child_dns_zone)</f>
        <v>sfo01-m01-r01-esx07.sfo.rainpole.io</v>
      </c>
      <c r="L134" s="347"/>
      <c r="M134" s="337"/>
    </row>
    <row r="135" spans="5:13" ht="20.05" customHeight="1" x14ac:dyDescent="0.35">
      <c r="E135" s="7"/>
      <c r="F135" s="7"/>
      <c r="G135" s="7"/>
      <c r="H135" s="7"/>
      <c r="I135" s="7"/>
      <c r="J135" s="4" t="s">
        <v>3861</v>
      </c>
      <c r="K135" s="89" t="str">
        <f>CONCATENATE(this_instance,"01-m01-r01-esx08",".",sample_child_dns_zone)</f>
        <v>sfo01-m01-r01-esx08.sfo.rainpole.io</v>
      </c>
      <c r="L135" s="347"/>
      <c r="M135" s="337"/>
    </row>
    <row r="136" spans="5:13" ht="20.05" customHeight="1" x14ac:dyDescent="0.35">
      <c r="E136" s="7"/>
      <c r="F136" s="7"/>
      <c r="G136" s="7"/>
      <c r="H136" s="7"/>
      <c r="I136" s="7"/>
      <c r="J136" s="4" t="s">
        <v>3862</v>
      </c>
      <c r="K136" s="89" t="str">
        <f>CONCATENATE(this_instance,"01-m01-r01-esx09",".",sample_child_dns_zone)</f>
        <v>sfo01-m01-r01-esx09.sfo.rainpole.io</v>
      </c>
      <c r="L136" s="347"/>
      <c r="M136" s="337"/>
    </row>
    <row r="137" spans="5:13" ht="20.05" customHeight="1" x14ac:dyDescent="0.35">
      <c r="E137" s="7"/>
      <c r="F137" s="7"/>
      <c r="G137" s="7"/>
      <c r="H137" s="7"/>
      <c r="I137" s="7"/>
      <c r="J137" s="4" t="s">
        <v>3863</v>
      </c>
      <c r="K137" s="89" t="str">
        <f>CONCATENATE(this_instance,"01-m01-r01-esx10",".",sample_child_dns_zone)</f>
        <v>sfo01-m01-r01-esx10.sfo.rainpole.io</v>
      </c>
      <c r="L137" s="347"/>
      <c r="M137" s="337"/>
    </row>
    <row r="138" spans="5:13" ht="20.05" customHeight="1" x14ac:dyDescent="0.35">
      <c r="E138" s="7"/>
      <c r="F138" s="7"/>
      <c r="G138" s="7"/>
      <c r="H138" s="7"/>
      <c r="I138" s="7"/>
      <c r="J138" s="4" t="s">
        <v>3864</v>
      </c>
      <c r="K138" s="89" t="str">
        <f>CONCATENATE(this_instance,"01-m01-r01-esx11",".",sample_child_dns_zone)</f>
        <v>sfo01-m01-r01-esx11.sfo.rainpole.io</v>
      </c>
      <c r="L138" s="347"/>
      <c r="M138" s="337"/>
    </row>
    <row r="139" spans="5:13" ht="20.05" customHeight="1" x14ac:dyDescent="0.35">
      <c r="E139" s="7"/>
      <c r="F139" s="7"/>
      <c r="G139" s="7"/>
      <c r="H139" s="7"/>
      <c r="I139" s="7"/>
      <c r="J139" s="4" t="s">
        <v>3865</v>
      </c>
      <c r="K139" s="89" t="str">
        <f>CONCATENATE(this_instance,"01-m01-r01-esx12",".",sample_child_dns_zone)</f>
        <v>sfo01-m01-r01-esx12.sfo.rainpole.io</v>
      </c>
      <c r="L139" s="347"/>
      <c r="M139" s="337"/>
    </row>
    <row r="140" spans="5:13" ht="20.05" customHeight="1" x14ac:dyDescent="0.35">
      <c r="E140" s="7"/>
      <c r="F140" s="7"/>
      <c r="G140" s="7"/>
      <c r="H140" s="7"/>
      <c r="I140" s="7"/>
      <c r="J140" s="4" t="s">
        <v>3866</v>
      </c>
      <c r="K140" s="89" t="str">
        <f>CONCATENATE(this_instance,"01-m01-r01-esx13",".",sample_child_dns_zone)</f>
        <v>sfo01-m01-r01-esx13.sfo.rainpole.io</v>
      </c>
      <c r="L140" s="347"/>
      <c r="M140" s="337"/>
    </row>
    <row r="141" spans="5:13" ht="20.05" customHeight="1" x14ac:dyDescent="0.35">
      <c r="E141" s="7"/>
      <c r="F141" s="7"/>
      <c r="G141" s="7"/>
      <c r="H141" s="7"/>
      <c r="I141" s="7"/>
      <c r="J141" s="4" t="s">
        <v>3867</v>
      </c>
      <c r="K141" s="89" t="str">
        <f>CONCATENATE(this_instance,"01-m01-r01-esx14",".",sample_child_dns_zone)</f>
        <v>sfo01-m01-r01-esx14.sfo.rainpole.io</v>
      </c>
      <c r="L141" s="347"/>
      <c r="M141" s="337"/>
    </row>
    <row r="142" spans="5:13" ht="20.05" customHeight="1" x14ac:dyDescent="0.35">
      <c r="E142" s="7"/>
      <c r="F142" s="7"/>
      <c r="G142" s="7"/>
      <c r="H142" s="7"/>
      <c r="I142" s="7"/>
      <c r="J142" s="4" t="s">
        <v>3868</v>
      </c>
      <c r="K142" s="89" t="str">
        <f>CONCATENATE(this_instance,"01-m01-r01-esx15",".",sample_child_dns_zone)</f>
        <v>sfo01-m01-r01-esx15.sfo.rainpole.io</v>
      </c>
      <c r="L142" s="347"/>
      <c r="M142" s="337"/>
    </row>
    <row r="143" spans="5:13" ht="20.05" customHeight="1" x14ac:dyDescent="0.35">
      <c r="E143" s="7"/>
      <c r="F143" s="7"/>
      <c r="G143" s="7"/>
      <c r="H143" s="7"/>
      <c r="I143" s="7"/>
      <c r="J143" s="4" t="s">
        <v>3869</v>
      </c>
      <c r="K143" s="89" t="str">
        <f>CONCATENATE(this_instance,"01-m01-r01-esx16",".",sample_child_dns_zone)</f>
        <v>sfo01-m01-r01-esx16.sfo.rainpole.io</v>
      </c>
      <c r="L143" s="347"/>
      <c r="M143" s="337"/>
    </row>
    <row r="144" spans="5:13" ht="20.05" customHeight="1" x14ac:dyDescent="0.35">
      <c r="E144" s="7"/>
      <c r="F144" s="7"/>
      <c r="G144" s="7"/>
      <c r="H144" s="7"/>
      <c r="I144" s="7"/>
      <c r="J144" s="372"/>
      <c r="K144" s="344"/>
      <c r="L144" s="76"/>
      <c r="M144" s="344"/>
    </row>
    <row r="145" spans="1:13" ht="34" customHeight="1" x14ac:dyDescent="0.35">
      <c r="E145" s="7"/>
      <c r="F145" s="7"/>
      <c r="G145" s="7"/>
      <c r="H145" s="7"/>
      <c r="I145" s="7"/>
      <c r="J145" s="407" t="s">
        <v>3870</v>
      </c>
      <c r="K145" s="408"/>
      <c r="L145" s="408"/>
      <c r="M145" s="409"/>
    </row>
    <row r="146" spans="1:13" ht="20.05" customHeight="1" x14ac:dyDescent="0.35">
      <c r="E146" s="7"/>
      <c r="F146" s="7"/>
      <c r="G146" s="7"/>
      <c r="H146" s="7"/>
      <c r="I146" s="7"/>
      <c r="J146" s="496" t="s">
        <v>213</v>
      </c>
      <c r="K146" s="497"/>
      <c r="L146" s="497"/>
      <c r="M146" s="498"/>
    </row>
    <row r="147" spans="1:13" ht="20.05" customHeight="1" x14ac:dyDescent="0.35">
      <c r="E147" s="7"/>
      <c r="F147" s="7"/>
      <c r="G147" s="7"/>
      <c r="H147" s="7"/>
      <c r="I147" s="7"/>
      <c r="J147" s="346" t="s">
        <v>17</v>
      </c>
      <c r="K147" s="346" t="s">
        <v>18</v>
      </c>
      <c r="L147" s="346" t="s">
        <v>19</v>
      </c>
      <c r="M147" s="346" t="s">
        <v>20</v>
      </c>
    </row>
    <row r="148" spans="1:13" ht="20.05" customHeight="1" x14ac:dyDescent="0.35">
      <c r="E148" s="7"/>
      <c r="F148" s="7"/>
      <c r="G148" s="7"/>
      <c r="H148" s="7"/>
      <c r="I148" s="7"/>
      <c r="J148" s="4" t="s">
        <v>85</v>
      </c>
      <c r="K148" s="80" t="str">
        <f>CONCATENATE(prefix_mgmt_az1_vlan,"11")</f>
        <v>1111</v>
      </c>
      <c r="L148" s="347"/>
      <c r="M148" s="337" t="str">
        <f>IF(mgmt_domain_existing_vcenter_chosen="Selected","Inputs are masked out as you have opted to import an existing vCenter Server","")</f>
        <v/>
      </c>
    </row>
    <row r="149" spans="1:13" ht="20.05" customHeight="1" x14ac:dyDescent="0.35">
      <c r="E149" s="7"/>
      <c r="F149" s="7"/>
      <c r="G149" s="7"/>
      <c r="H149" s="7"/>
      <c r="I149" s="7"/>
      <c r="J149" s="4" t="s">
        <v>187</v>
      </c>
      <c r="K149" s="80" t="str">
        <f>CONCATENATE(prefix_mgmt_az1_cidr,"11.1")</f>
        <v>10.11.11.1</v>
      </c>
      <c r="L149" s="347"/>
      <c r="M149" s="337" t="str">
        <f>IF(AND(mgmt_stretched_cluster_result="Included",mgmt_dpg_reuse_result="Excluded"),"Stretched L2","")</f>
        <v/>
      </c>
    </row>
    <row r="150" spans="1:13" ht="20.05" customHeight="1" x14ac:dyDescent="0.35">
      <c r="E150" s="7"/>
      <c r="F150" s="7"/>
      <c r="G150" s="7"/>
      <c r="H150" s="7"/>
      <c r="I150" s="7"/>
      <c r="J150" s="4" t="s">
        <v>188</v>
      </c>
      <c r="K150" s="80" t="str">
        <f>CONCATENATE(prefix_mgmt_az1_cidr,"11.0/24")</f>
        <v>10.11.11.0/24</v>
      </c>
      <c r="L150" s="347"/>
      <c r="M150" s="337"/>
    </row>
    <row r="151" spans="1:13" ht="20.05" customHeight="1" x14ac:dyDescent="0.35">
      <c r="E151" s="7"/>
      <c r="F151" s="7"/>
      <c r="G151" s="7"/>
      <c r="H151" s="7"/>
      <c r="I151" s="7"/>
      <c r="J151" s="4" t="s">
        <v>160</v>
      </c>
      <c r="K151" s="80">
        <v>1500</v>
      </c>
      <c r="L151" s="347"/>
      <c r="M151" s="337"/>
    </row>
    <row r="152" spans="1:13" ht="20.05" customHeight="1" x14ac:dyDescent="0.35">
      <c r="E152" s="7"/>
      <c r="F152" s="7"/>
      <c r="G152" s="7"/>
      <c r="H152" s="7"/>
      <c r="I152" s="7"/>
      <c r="J152" s="496" t="s">
        <v>932</v>
      </c>
      <c r="K152" s="497"/>
      <c r="L152" s="497"/>
      <c r="M152" s="498"/>
    </row>
    <row r="153" spans="1:13" s="92" customFormat="1" ht="20.05" customHeight="1" x14ac:dyDescent="0.35">
      <c r="A153" s="7"/>
      <c r="B153" s="7"/>
      <c r="C153" s="7"/>
      <c r="D153" s="7"/>
      <c r="E153" s="7"/>
      <c r="F153" s="7"/>
      <c r="G153" s="7"/>
      <c r="H153" s="7"/>
      <c r="I153" s="7"/>
      <c r="J153" s="4" t="s">
        <v>3871</v>
      </c>
      <c r="K153" s="362" t="s">
        <v>145</v>
      </c>
      <c r="L153" s="347" t="s">
        <v>145</v>
      </c>
      <c r="M153" s="337" t="str">
        <f>IF(mgmt_domain_existing_vcenter_chosen="Selected","Inputs are masked out as you have opted to import an existing vCenter Server","")</f>
        <v/>
      </c>
    </row>
    <row r="154" spans="1:13" s="92" customFormat="1" ht="20.05" customHeight="1" x14ac:dyDescent="0.35">
      <c r="A154" s="7"/>
      <c r="B154" s="7"/>
      <c r="C154" s="7"/>
      <c r="D154" s="7"/>
      <c r="E154" s="7"/>
      <c r="F154" s="7"/>
      <c r="G154" s="7"/>
      <c r="H154" s="7"/>
      <c r="I154" s="7"/>
      <c r="J154" s="4" t="s">
        <v>85</v>
      </c>
      <c r="K154" s="89" t="str">
        <f>IF(mgmt_dpg_reuse_result="Included",(CONCATENATE(prefix_mgmt_az1_vlan,"10")),(CONCATENATE(prefix_mgmt_az1_vlan,"11")))</f>
        <v>1110</v>
      </c>
      <c r="L154" s="347"/>
      <c r="M154" s="337"/>
    </row>
    <row r="155" spans="1:13" s="92" customFormat="1" ht="20.05" customHeight="1" x14ac:dyDescent="0.35">
      <c r="A155" s="7"/>
      <c r="B155" s="7"/>
      <c r="C155" s="7"/>
      <c r="D155" s="7"/>
      <c r="E155" s="7"/>
      <c r="F155" s="7"/>
      <c r="G155" s="7"/>
      <c r="H155" s="7"/>
      <c r="I155" s="7"/>
      <c r="J155" s="4" t="s">
        <v>187</v>
      </c>
      <c r="K155" s="80" t="str">
        <f>IF(mgmt_dpg_reuse_result="Included",CONCATENATE(prefix_mgmt_az1_cidr,"10.1"),CONCATENATE(prefix_mgmt_az1_cidr,"11.1"))</f>
        <v>10.11.10.1</v>
      </c>
      <c r="L155" s="347"/>
      <c r="M155" s="337"/>
    </row>
    <row r="156" spans="1:13" s="92" customFormat="1" ht="20.05" customHeight="1" x14ac:dyDescent="0.35">
      <c r="A156" s="7"/>
      <c r="B156" s="7"/>
      <c r="C156" s="7"/>
      <c r="D156" s="7"/>
      <c r="E156" s="7"/>
      <c r="F156" s="7"/>
      <c r="G156" s="7"/>
      <c r="H156" s="7"/>
      <c r="I156" s="7"/>
      <c r="J156" s="4" t="s">
        <v>188</v>
      </c>
      <c r="K156" s="80" t="str">
        <f>IF(mgmt_dpg_reuse_result="Included",CONCATENATE(prefix_mgmt_az1_cidr,"10.0/24"),CONCATENATE(prefix_mgmt_az1_cidr,"11.0/24"))</f>
        <v>10.11.10.0/24</v>
      </c>
      <c r="L156" s="347"/>
      <c r="M156" s="337"/>
    </row>
    <row r="157" spans="1:13" s="92" customFormat="1" ht="20.05" customHeight="1" x14ac:dyDescent="0.35">
      <c r="A157" s="7"/>
      <c r="B157" s="7"/>
      <c r="C157" s="7"/>
      <c r="D157" s="7"/>
      <c r="E157" s="7"/>
      <c r="F157" s="7"/>
      <c r="G157" s="7"/>
      <c r="H157" s="7"/>
      <c r="I157" s="7"/>
      <c r="J157" s="4" t="s">
        <v>160</v>
      </c>
      <c r="K157" s="80">
        <v>1500</v>
      </c>
      <c r="L157" s="347"/>
      <c r="M157" s="337"/>
    </row>
    <row r="158" spans="1:13" ht="20.05" customHeight="1" x14ac:dyDescent="0.35">
      <c r="E158" s="7"/>
      <c r="F158" s="7"/>
      <c r="G158" s="7"/>
      <c r="H158" s="7"/>
      <c r="I158" s="7"/>
      <c r="J158" s="496" t="s">
        <v>251</v>
      </c>
      <c r="K158" s="497"/>
      <c r="L158" s="497"/>
      <c r="M158" s="498"/>
    </row>
    <row r="159" spans="1:13" ht="20.05" customHeight="1" x14ac:dyDescent="0.35">
      <c r="E159" s="7"/>
      <c r="F159" s="7"/>
      <c r="G159" s="7"/>
      <c r="H159" s="7"/>
      <c r="I159" s="7"/>
      <c r="J159" s="4" t="s">
        <v>85</v>
      </c>
      <c r="K159" s="80" t="str">
        <f>CONCATENATE(prefix_mgmt_az1_vlan,"12")</f>
        <v>1112</v>
      </c>
      <c r="L159" s="347"/>
      <c r="M159" s="337" t="str">
        <f>IF(mgmt_domain_existing_vcenter_chosen="Selected","Inputs are masked out as you have opted to import an existing vCenter Server","")</f>
        <v/>
      </c>
    </row>
    <row r="160" spans="1:13" ht="20.05" customHeight="1" x14ac:dyDescent="0.35">
      <c r="E160" s="7"/>
      <c r="F160" s="7"/>
      <c r="G160" s="7"/>
      <c r="H160" s="7"/>
      <c r="I160" s="7"/>
      <c r="J160" s="4" t="s">
        <v>187</v>
      </c>
      <c r="K160" s="80" t="str">
        <f>CONCATENATE(prefix_mgmt_az1_cidr,"12.1")</f>
        <v>10.11.12.1</v>
      </c>
      <c r="L160" s="347"/>
      <c r="M160" s="337"/>
    </row>
    <row r="161" spans="5:13" ht="20.05" customHeight="1" x14ac:dyDescent="0.35">
      <c r="E161" s="7"/>
      <c r="F161" s="7"/>
      <c r="G161" s="7"/>
      <c r="H161" s="7"/>
      <c r="I161" s="7"/>
      <c r="J161" s="4" t="s">
        <v>188</v>
      </c>
      <c r="K161" s="80" t="str">
        <f>CONCATENATE(prefix_mgmt_az1_cidr,"12.0/24")</f>
        <v>10.11.12.0/24</v>
      </c>
      <c r="L161" s="347"/>
      <c r="M161" s="337"/>
    </row>
    <row r="162" spans="5:13" ht="20.05" customHeight="1" x14ac:dyDescent="0.35">
      <c r="E162" s="7"/>
      <c r="F162" s="7"/>
      <c r="G162" s="7"/>
      <c r="H162" s="7"/>
      <c r="I162" s="7"/>
      <c r="J162" s="4" t="s">
        <v>160</v>
      </c>
      <c r="K162" s="80">
        <v>9000</v>
      </c>
      <c r="L162" s="347"/>
      <c r="M162" s="337"/>
    </row>
    <row r="163" spans="5:13" ht="20.05" customHeight="1" x14ac:dyDescent="0.35">
      <c r="E163" s="7"/>
      <c r="F163" s="7"/>
      <c r="G163" s="7"/>
      <c r="H163" s="7"/>
      <c r="I163" s="7"/>
      <c r="J163" s="4" t="s">
        <v>3872</v>
      </c>
      <c r="K163" s="80" t="str">
        <f>CONCATENATE(prefix_mgmt_az1_cidr,"12.101")</f>
        <v>10.11.12.101</v>
      </c>
      <c r="L163" s="347"/>
      <c r="M163" s="337"/>
    </row>
    <row r="164" spans="5:13" ht="20.05" customHeight="1" x14ac:dyDescent="0.35">
      <c r="E164" s="7"/>
      <c r="F164" s="7"/>
      <c r="G164" s="7"/>
      <c r="H164" s="7"/>
      <c r="I164" s="7"/>
      <c r="J164" s="4" t="s">
        <v>3873</v>
      </c>
      <c r="K164" s="80" t="str">
        <f>CONCATENATE(prefix_mgmt_az1_cidr,"12.116")</f>
        <v>10.11.12.116</v>
      </c>
      <c r="L164" s="347"/>
      <c r="M164" s="337"/>
    </row>
    <row r="165" spans="5:13" ht="20.05" customHeight="1" x14ac:dyDescent="0.35">
      <c r="E165" s="7"/>
      <c r="F165" s="7"/>
      <c r="G165" s="7"/>
      <c r="H165" s="7"/>
      <c r="I165" s="7"/>
      <c r="J165" s="496" t="s">
        <v>257</v>
      </c>
      <c r="K165" s="497"/>
      <c r="L165" s="497"/>
      <c r="M165" s="498"/>
    </row>
    <row r="166" spans="5:13" ht="20.05" customHeight="1" x14ac:dyDescent="0.35">
      <c r="E166" s="7"/>
      <c r="F166" s="7"/>
      <c r="G166" s="7"/>
      <c r="H166" s="7"/>
      <c r="I166" s="7"/>
      <c r="J166" s="4" t="s">
        <v>85</v>
      </c>
      <c r="K166" s="80" t="str">
        <f>CONCATENATE(prefix_mgmt_az1_vlan,"13")</f>
        <v>1113</v>
      </c>
      <c r="L166" s="347"/>
      <c r="M166" s="143" t="str">
        <f>IF(mgmt_domain_existing_vcenter_chosen="Selected","Inputs are masked out as you have opted to import an existing vCenter Server","")</f>
        <v/>
      </c>
    </row>
    <row r="167" spans="5:13" ht="20.05" customHeight="1" x14ac:dyDescent="0.35">
      <c r="E167" s="7"/>
      <c r="F167" s="7"/>
      <c r="G167" s="7"/>
      <c r="H167" s="7"/>
      <c r="I167" s="7"/>
      <c r="J167" s="4" t="s">
        <v>187</v>
      </c>
      <c r="K167" s="80" t="str">
        <f>CONCATENATE(prefix_mgmt_az1_cidr,"13.1")</f>
        <v>10.11.13.1</v>
      </c>
      <c r="L167" s="347"/>
      <c r="M167" s="337"/>
    </row>
    <row r="168" spans="5:13" ht="20.05" customHeight="1" x14ac:dyDescent="0.35">
      <c r="E168" s="7"/>
      <c r="F168" s="7"/>
      <c r="G168" s="7"/>
      <c r="H168" s="7"/>
      <c r="I168" s="7"/>
      <c r="J168" s="4" t="s">
        <v>188</v>
      </c>
      <c r="K168" s="80" t="str">
        <f>CONCATENATE(prefix_mgmt_az1_cidr,"13.0/24")</f>
        <v>10.11.13.0/24</v>
      </c>
      <c r="L168" s="347"/>
      <c r="M168" s="337"/>
    </row>
    <row r="169" spans="5:13" ht="20.05" customHeight="1" x14ac:dyDescent="0.35">
      <c r="E169" s="7"/>
      <c r="F169" s="7"/>
      <c r="G169" s="7"/>
      <c r="H169" s="7"/>
      <c r="I169" s="7"/>
      <c r="J169" s="4" t="s">
        <v>160</v>
      </c>
      <c r="K169" s="80">
        <v>9000</v>
      </c>
      <c r="L169" s="347"/>
      <c r="M169" s="337"/>
    </row>
    <row r="170" spans="5:13" ht="20.05" customHeight="1" x14ac:dyDescent="0.35">
      <c r="E170" s="7"/>
      <c r="F170" s="7"/>
      <c r="G170" s="7"/>
      <c r="H170" s="7"/>
      <c r="I170" s="7"/>
      <c r="J170" s="4" t="s">
        <v>3874</v>
      </c>
      <c r="K170" s="80" t="str">
        <f>CONCATENATE(prefix_mgmt_az1_cidr,"13.101")</f>
        <v>10.11.13.101</v>
      </c>
      <c r="L170" s="347"/>
      <c r="M170" s="337"/>
    </row>
    <row r="171" spans="5:13" ht="20.05" customHeight="1" x14ac:dyDescent="0.35">
      <c r="E171" s="7"/>
      <c r="F171" s="7"/>
      <c r="G171" s="7"/>
      <c r="H171" s="7"/>
      <c r="I171" s="7"/>
      <c r="J171" s="4" t="s">
        <v>3875</v>
      </c>
      <c r="K171" s="80" t="str">
        <f>CONCATENATE(prefix_mgmt_az1_cidr,"13.116")</f>
        <v>10.11.13.116</v>
      </c>
      <c r="L171" s="347"/>
      <c r="M171" s="337"/>
    </row>
    <row r="172" spans="5:13" ht="20.05" customHeight="1" x14ac:dyDescent="0.35">
      <c r="E172" s="7"/>
      <c r="F172" s="7"/>
      <c r="G172" s="7"/>
      <c r="H172" s="7"/>
      <c r="I172" s="7"/>
      <c r="J172" s="496" t="s">
        <v>258</v>
      </c>
      <c r="K172" s="497"/>
      <c r="L172" s="497"/>
      <c r="M172" s="498"/>
    </row>
    <row r="173" spans="5:13" ht="20.05" customHeight="1" x14ac:dyDescent="0.35">
      <c r="E173" s="7"/>
      <c r="F173" s="7"/>
      <c r="G173" s="7"/>
      <c r="H173" s="7"/>
      <c r="I173" s="7"/>
      <c r="J173" s="4" t="s">
        <v>85</v>
      </c>
      <c r="K173" s="80" t="str">
        <f>CONCATENATE(prefix_mgmt_az1_vlan,"15")</f>
        <v>1115</v>
      </c>
      <c r="L173" s="347"/>
      <c r="M173" s="143" t="str">
        <f>IF(mgmt_domain_existing_vcenter_chosen="Selected","Inputs are masked out as you have opted to import an existing vCenter Server",IF(mgmt_principal_storage_chosen&lt;&gt;"NFSv3","This input is masked out and only required if configuring NFS Storage",""))</f>
        <v>This input is masked out and only required if configuring NFS Storage</v>
      </c>
    </row>
    <row r="174" spans="5:13" ht="20.05" customHeight="1" x14ac:dyDescent="0.35">
      <c r="E174" s="7"/>
      <c r="F174" s="7"/>
      <c r="G174" s="7"/>
      <c r="H174" s="7"/>
      <c r="I174" s="7"/>
      <c r="J174" s="4" t="s">
        <v>187</v>
      </c>
      <c r="K174" s="80" t="str">
        <f>CONCATENATE(prefix_mgmt_az1_cidr,"15.1")</f>
        <v>10.11.15.1</v>
      </c>
      <c r="L174" s="347"/>
      <c r="M174" s="143"/>
    </row>
    <row r="175" spans="5:13" ht="20.05" customHeight="1" x14ac:dyDescent="0.35">
      <c r="E175" s="7"/>
      <c r="F175" s="7"/>
      <c r="G175" s="7"/>
      <c r="H175" s="7"/>
      <c r="I175" s="7"/>
      <c r="J175" s="4" t="s">
        <v>188</v>
      </c>
      <c r="K175" s="80" t="str">
        <f>CONCATENATE(prefix_mgmt_az1_cidr,"15.0/24")</f>
        <v>10.11.15.0/24</v>
      </c>
      <c r="L175" s="347"/>
      <c r="M175" s="143"/>
    </row>
    <row r="176" spans="5:13" ht="20.05" customHeight="1" x14ac:dyDescent="0.35">
      <c r="E176" s="7"/>
      <c r="F176" s="7"/>
      <c r="G176" s="7"/>
      <c r="H176" s="7"/>
      <c r="I176" s="7"/>
      <c r="J176" s="4" t="s">
        <v>160</v>
      </c>
      <c r="K176" s="80">
        <v>9000</v>
      </c>
      <c r="L176" s="347"/>
      <c r="M176" s="143"/>
    </row>
    <row r="177" spans="5:13" ht="20.05" customHeight="1" x14ac:dyDescent="0.35">
      <c r="E177" s="7"/>
      <c r="F177" s="7"/>
      <c r="G177" s="7"/>
      <c r="H177" s="7"/>
      <c r="I177" s="7"/>
      <c r="J177" s="4" t="s">
        <v>3876</v>
      </c>
      <c r="K177" s="80" t="str">
        <f>CONCATENATE(prefix_mgmt_az1_cidr,"15.101")</f>
        <v>10.11.15.101</v>
      </c>
      <c r="L177" s="347"/>
      <c r="M177" s="143"/>
    </row>
    <row r="178" spans="5:13" ht="20.05" customHeight="1" x14ac:dyDescent="0.35">
      <c r="E178" s="7"/>
      <c r="F178" s="7"/>
      <c r="G178" s="7"/>
      <c r="H178" s="7"/>
      <c r="I178" s="7"/>
      <c r="J178" s="4" t="s">
        <v>3877</v>
      </c>
      <c r="K178" s="80" t="str">
        <f>CONCATENATE(prefix_mgmt_az1_cidr,"15.116")</f>
        <v>10.11.15.116</v>
      </c>
      <c r="L178" s="347"/>
      <c r="M178" s="143"/>
    </row>
    <row r="179" spans="5:13" ht="20.05" customHeight="1" x14ac:dyDescent="0.35">
      <c r="E179" s="7"/>
      <c r="F179" s="7"/>
      <c r="G179" s="7"/>
      <c r="H179" s="7"/>
      <c r="I179" s="7"/>
      <c r="J179" s="372"/>
      <c r="K179" s="344"/>
      <c r="L179" s="344"/>
      <c r="M179" s="344"/>
    </row>
    <row r="180" spans="5:13" ht="34" customHeight="1" x14ac:dyDescent="0.35">
      <c r="E180" s="7"/>
      <c r="F180" s="7"/>
      <c r="G180" s="7"/>
      <c r="H180" s="7"/>
      <c r="I180" s="7"/>
      <c r="J180" s="407" t="s">
        <v>849</v>
      </c>
      <c r="K180" s="408"/>
      <c r="L180" s="408"/>
      <c r="M180" s="409"/>
    </row>
    <row r="181" spans="5:13" ht="20.05" customHeight="1" x14ac:dyDescent="0.35">
      <c r="E181" s="7"/>
      <c r="F181" s="7"/>
      <c r="G181" s="7"/>
      <c r="H181" s="7"/>
      <c r="I181" s="7"/>
      <c r="J181" s="496" t="s">
        <v>3878</v>
      </c>
      <c r="K181" s="497"/>
      <c r="L181" s="497"/>
      <c r="M181" s="498"/>
    </row>
    <row r="182" spans="5:13" ht="20.05" customHeight="1" x14ac:dyDescent="0.35">
      <c r="E182" s="7"/>
      <c r="F182" s="7"/>
      <c r="G182" s="7"/>
      <c r="H182" s="7"/>
      <c r="I182" s="7"/>
      <c r="J182" s="346" t="s">
        <v>17</v>
      </c>
      <c r="K182" s="346" t="s">
        <v>18</v>
      </c>
      <c r="L182" s="346" t="s">
        <v>19</v>
      </c>
      <c r="M182" s="346" t="s">
        <v>20</v>
      </c>
    </row>
    <row r="183" spans="5:13" ht="20.05" customHeight="1" x14ac:dyDescent="0.35">
      <c r="E183" s="7"/>
      <c r="F183" s="7"/>
      <c r="G183" s="7"/>
      <c r="H183" s="7"/>
      <c r="I183" s="7"/>
      <c r="J183" s="4" t="s">
        <v>851</v>
      </c>
      <c r="K183" s="362" t="s">
        <v>852</v>
      </c>
      <c r="L183" s="347" t="s">
        <v>852</v>
      </c>
      <c r="M183" s="99" t="str">
        <f>IF(mgmt_domain_existing_vcenter_chosen="Selected","Inputs are masked out as you have opted to import an existing vCenter Server","")</f>
        <v/>
      </c>
    </row>
    <row r="184" spans="5:13" ht="20.05" customHeight="1" x14ac:dyDescent="0.35">
      <c r="E184" s="7"/>
      <c r="F184" s="7"/>
      <c r="G184" s="7"/>
      <c r="H184" s="7"/>
      <c r="I184" s="7"/>
      <c r="J184" s="372"/>
      <c r="K184" s="344"/>
      <c r="L184" s="76"/>
      <c r="M184" s="344"/>
    </row>
    <row r="185" spans="5:13" ht="34" customHeight="1" x14ac:dyDescent="0.35">
      <c r="E185" s="7"/>
      <c r="F185" s="7"/>
      <c r="G185" s="7"/>
      <c r="H185" s="7"/>
      <c r="I185" s="7"/>
      <c r="J185" s="340" t="s">
        <v>855</v>
      </c>
      <c r="K185" s="341"/>
      <c r="L185" s="341"/>
      <c r="M185" s="342"/>
    </row>
    <row r="186" spans="5:13" ht="20.05" customHeight="1" x14ac:dyDescent="0.35">
      <c r="E186" s="7"/>
      <c r="F186" s="7"/>
      <c r="G186" s="7"/>
      <c r="H186" s="7"/>
      <c r="I186" s="7"/>
      <c r="J186" s="363" t="s">
        <v>3879</v>
      </c>
      <c r="K186" s="364"/>
      <c r="L186" s="364"/>
      <c r="M186" s="365"/>
    </row>
    <row r="187" spans="5:13" ht="20.05" customHeight="1" x14ac:dyDescent="0.35">
      <c r="E187" s="7"/>
      <c r="F187" s="7"/>
      <c r="G187" s="7"/>
      <c r="H187" s="7"/>
      <c r="I187" s="7"/>
      <c r="J187" s="346" t="s">
        <v>17</v>
      </c>
      <c r="K187" s="346" t="s">
        <v>18</v>
      </c>
      <c r="L187" s="346" t="s">
        <v>19</v>
      </c>
      <c r="M187" s="346" t="s">
        <v>20</v>
      </c>
    </row>
    <row r="188" spans="5:13" ht="20.05" customHeight="1" x14ac:dyDescent="0.35">
      <c r="E188" s="7"/>
      <c r="F188" s="7"/>
      <c r="G188" s="7"/>
      <c r="H188" s="7"/>
      <c r="I188" s="7"/>
      <c r="J188" s="4" t="s">
        <v>3880</v>
      </c>
      <c r="K188" s="362" t="str">
        <f>CONCATENATE(this_instance,"-m01-cl01-vds01")</f>
        <v>sfo-m01-cl01-vds01</v>
      </c>
      <c r="L188" s="94"/>
      <c r="M188" s="337" t="str">
        <f>IF(mgmt_domain_existing_vcenter_chosen="Selected","Inputs are masked out as you have opted to import an existing vCenter Server","")</f>
        <v/>
      </c>
    </row>
    <row r="189" spans="5:13" ht="20.05" customHeight="1" x14ac:dyDescent="0.35">
      <c r="E189" s="7"/>
      <c r="F189" s="7"/>
      <c r="G189" s="7"/>
      <c r="H189" s="7"/>
      <c r="I189" s="7"/>
      <c r="J189" s="4" t="s">
        <v>160</v>
      </c>
      <c r="K189" s="362">
        <v>9000</v>
      </c>
      <c r="L189" s="347"/>
      <c r="M189" s="337"/>
    </row>
    <row r="190" spans="5:13" ht="20.05" customHeight="1" x14ac:dyDescent="0.35">
      <c r="E190" s="7"/>
      <c r="F190" s="7"/>
      <c r="G190" s="7"/>
      <c r="H190" s="7"/>
      <c r="I190" s="7"/>
      <c r="J190" s="4" t="s">
        <v>858</v>
      </c>
      <c r="K190" s="362" t="s">
        <v>859</v>
      </c>
      <c r="L190" s="347" t="s">
        <v>859</v>
      </c>
      <c r="M190" s="337" t="str">
        <f>IF(AND(mgmt_cl01_vds_profile_chosen="NSX Traffic Separation",mgmt_cl01_vds01_link_type_chosen="VDS LAG"),"VDS LAG / LACP is not supported on this VDS with the chosen VDS profile",
IF(AND(mgmt_cl01_vds_profile_chosen="Storage Traffic and NSX Traffic separation",mgmt_cl01_vds01_link_type_chosen="VDS LAG"),"VDS LAG / LACP is not supported on this VDS with the chosen VDS profile",
IF(mgmt_cl01_vds01_link_type_chosen="VDS Lag","Only supported via API. Use VCF.JSONGenerator to generate the JSON File once PnP is complete","Option is not visible VCF installer UI")))</f>
        <v>Option is not visible VCF installer UI</v>
      </c>
    </row>
    <row r="191" spans="5:13" ht="20.05" customHeight="1" x14ac:dyDescent="0.35">
      <c r="E191" s="7"/>
      <c r="F191" s="7"/>
      <c r="G191" s="7"/>
      <c r="H191" s="7"/>
      <c r="I191" s="7"/>
      <c r="J191" s="4" t="s">
        <v>860</v>
      </c>
      <c r="K191" s="362" t="str">
        <f>CONCATENATE("m01-cl01-vds1-lg")</f>
        <v>m01-cl01-vds1-lg</v>
      </c>
      <c r="L191" s="347"/>
      <c r="M191" s="337" t="str">
        <f>IF(mgmt_cl01_vds01_link_type_chosen="VDS Uplinks","This input is masked out as you have chosen to configure VDS Uplinks","Option is not visible in VCF Operations UI. There is a 16 Character Limit for LAG Name")</f>
        <v>This input is masked out as you have chosen to configure VDS Uplinks</v>
      </c>
    </row>
    <row r="192" spans="5:13" ht="20.05" customHeight="1" x14ac:dyDescent="0.35">
      <c r="E192" s="7"/>
      <c r="F192" s="7"/>
      <c r="G192" s="7"/>
      <c r="H192" s="7"/>
      <c r="I192" s="7"/>
      <c r="J192" s="4" t="s">
        <v>861</v>
      </c>
      <c r="K192" s="362" t="s">
        <v>862</v>
      </c>
      <c r="L192" s="347" t="s">
        <v>862</v>
      </c>
      <c r="M192" s="337" t="str">
        <f>IF(mgmt_cl01_vds01_link_type_chosen="VDS Uplinks","This input is masked out as you have chosen to configure VDS Uplinks","Option is not visible in VCF Installer UI")</f>
        <v>This input is masked out as you have chosen to configure VDS Uplinks</v>
      </c>
    </row>
    <row r="193" spans="5:13" ht="20.05" customHeight="1" x14ac:dyDescent="0.35">
      <c r="E193" s="7"/>
      <c r="F193" s="7"/>
      <c r="G193" s="7"/>
      <c r="H193" s="7"/>
      <c r="I193" s="7"/>
      <c r="J193" s="4" t="s">
        <v>863</v>
      </c>
      <c r="K193" s="362" t="s">
        <v>864</v>
      </c>
      <c r="L193" s="347" t="s">
        <v>864</v>
      </c>
      <c r="M193" s="337" t="str">
        <f>IF(mgmt_cl01_vds01_link_type_chosen="VDS Uplinks","This input is masked out as you have chosen to configure VDS Uplinks","Option is not visible in VCF Installer UI")</f>
        <v>This input is masked out as you have chosen to configure VDS Uplinks</v>
      </c>
    </row>
    <row r="194" spans="5:13" ht="20.05" customHeight="1" x14ac:dyDescent="0.35">
      <c r="E194" s="7"/>
      <c r="F194" s="7"/>
      <c r="G194" s="7"/>
      <c r="H194" s="7"/>
      <c r="I194" s="7"/>
      <c r="J194" s="4" t="s">
        <v>865</v>
      </c>
      <c r="K194" s="362" t="s">
        <v>866</v>
      </c>
      <c r="L194" s="347" t="s">
        <v>866</v>
      </c>
      <c r="M194" s="337" t="str">
        <f>IF(mgmt_cl01_vds01_link_type_chosen="VDS Uplinks","This input is masked out as you have chosen to configure VDS Uplinks","Option is not visible in VCF Installer UI")</f>
        <v>This input is masked out as you have chosen to configure VDS Uplinks</v>
      </c>
    </row>
    <row r="195" spans="5:13" ht="20.05" customHeight="1" x14ac:dyDescent="0.35">
      <c r="E195" s="7"/>
      <c r="F195" s="7"/>
      <c r="G195" s="7"/>
      <c r="H195" s="7"/>
      <c r="I195" s="7"/>
      <c r="J195" s="4" t="s">
        <v>867</v>
      </c>
      <c r="K195" s="362">
        <v>2</v>
      </c>
      <c r="L195" s="347"/>
      <c r="M195" s="337"/>
    </row>
    <row r="196" spans="5:13" ht="20.05" customHeight="1" x14ac:dyDescent="0.35">
      <c r="E196" s="7"/>
      <c r="F196" s="7"/>
      <c r="G196" s="7"/>
      <c r="H196" s="7"/>
      <c r="I196" s="7"/>
      <c r="J196" s="4" t="str">
        <f>IF(mgmt_cl01_vds01_link_type_chosen="VDS LAG",IF(mgmt_cl01_vds01_lag_name="Value Missing","lag-0",CONCATENATE(mgmt_cl01_vds01_lag_name,"-0")),"uplink1")</f>
        <v>uplink1</v>
      </c>
      <c r="K196" s="362" t="s">
        <v>1044</v>
      </c>
      <c r="L196" s="347"/>
      <c r="M196" s="337"/>
    </row>
    <row r="197" spans="5:13" ht="20.05" customHeight="1" x14ac:dyDescent="0.35">
      <c r="E197" s="7"/>
      <c r="F197" s="7"/>
      <c r="G197" s="7"/>
      <c r="H197" s="7"/>
      <c r="I197" s="7"/>
      <c r="J197" s="4" t="str">
        <f>IF(mgmt_cl01_vds01_link_type_chosen="VDS LAG",IF(mgmt_cl01_vds01_lag_name="Value Missing","lag-1",CONCATENATE(mgmt_cl01_vds01_lag_name,"-1")),"uplink2")</f>
        <v>uplink2</v>
      </c>
      <c r="K197" s="362" t="s">
        <v>1045</v>
      </c>
      <c r="L197" s="347"/>
      <c r="M197" s="337"/>
    </row>
    <row r="198" spans="5:13" ht="20.05" customHeight="1" x14ac:dyDescent="0.35">
      <c r="E198" s="7"/>
      <c r="F198" s="7"/>
      <c r="G198" s="7"/>
      <c r="H198" s="7"/>
      <c r="I198" s="7"/>
      <c r="J198" s="496" t="s">
        <v>872</v>
      </c>
      <c r="K198" s="497"/>
      <c r="L198" s="497"/>
      <c r="M198" s="498"/>
    </row>
    <row r="199" spans="5:13" ht="20.05" customHeight="1" x14ac:dyDescent="0.35">
      <c r="E199" s="7"/>
      <c r="F199" s="7"/>
      <c r="G199" s="7"/>
      <c r="H199" s="7"/>
      <c r="I199" s="7"/>
      <c r="J199" s="4" t="s">
        <v>3880</v>
      </c>
      <c r="K199" s="362" t="str">
        <f>CONCATENATE(this_instance,"-m01-cl01-vds02")</f>
        <v>sfo-m01-cl01-vds02</v>
      </c>
      <c r="L199" s="347"/>
      <c r="M199" s="337" t="str">
        <f>IF(mgmt_domain_existing_vcenter_chosen="Selected","Inputs are masked out as you have opted to import an existing vCenter Server",IF(mgmt_cl01_vds_profile_chosen="Default","This input is masked out due to VDS Profile selected",""))</f>
        <v>This input is masked out due to VDS Profile selected</v>
      </c>
    </row>
    <row r="200" spans="5:13" ht="20.05" customHeight="1" x14ac:dyDescent="0.35">
      <c r="E200" s="7"/>
      <c r="F200" s="7"/>
      <c r="G200" s="7"/>
      <c r="H200" s="7"/>
      <c r="I200" s="7"/>
      <c r="J200" s="4" t="s">
        <v>160</v>
      </c>
      <c r="K200" s="362">
        <v>9000</v>
      </c>
      <c r="L200" s="347"/>
      <c r="M200" s="337" t="str">
        <f>IF(mgmt_cl01_vds_profile_chosen="Default","This input is masked out due to VDS Profile selected","")</f>
        <v>This input is masked out due to VDS Profile selected</v>
      </c>
    </row>
    <row r="201" spans="5:13" ht="20.05" customHeight="1" x14ac:dyDescent="0.35">
      <c r="E201" s="7"/>
      <c r="F201" s="7"/>
      <c r="G201" s="7"/>
      <c r="H201" s="7"/>
      <c r="I201" s="7"/>
      <c r="J201" s="4" t="s">
        <v>858</v>
      </c>
      <c r="K201" s="362" t="s">
        <v>859</v>
      </c>
      <c r="L201" s="347" t="s">
        <v>859</v>
      </c>
      <c r="M201" s="337" t="str">
        <f>IF(AND(mgmt_cl01_vds_profile_chosen="Storage Traffic Separation",mgmt_cl01_vds01_link_type_chosen="VDS LAG",mgmt_cl01_vds02_link_type_chosen="VDS LAG",vcf_version&lt;&gt;"9.0.2.0"),"VDS LAG / LACP is not supported on this VDS with the chosen VDS profile and Primary VDS Lag configuration",
IF(AND(mgmt_cl01_vds_profile_chosen="Storage Traffic and NSX Traffic separation",mgmt_cl01_vds02_link_type_chosen="VDS LAG",vcf_version&lt;&gt;"9.0.2.0"),"VDS LAG / LACP is not supported on this VDS with the chosen VDS profile",
IF(mgmt_cl01_vds_profile_chosen="Default","This input is masked out due to VDS Profile selected",IF(mgmt_cl01_vds02_link_type_chosen="VDS Lag","Only supported via API. Use VCF.JSONGenerator to generate the JSON File once PnP is complete","Option is not visible VCF installer UI"))))</f>
        <v>This input is masked out due to VDS Profile selected</v>
      </c>
    </row>
    <row r="202" spans="5:13" ht="20.05" customHeight="1" x14ac:dyDescent="0.35">
      <c r="E202" s="7"/>
      <c r="F202" s="7"/>
      <c r="G202" s="7"/>
      <c r="H202" s="7"/>
      <c r="I202" s="7"/>
      <c r="J202" s="4" t="s">
        <v>860</v>
      </c>
      <c r="K202" s="362" t="str">
        <f>CONCATENATE("m01-cl01-vds2-lg")</f>
        <v>m01-cl01-vds2-lg</v>
      </c>
      <c r="L202" s="347"/>
      <c r="M202" s="337" t="str">
        <f>IF(mgmt_cl01_vds_profile_chosen="Default","This input is masked out due to VDS Profile selected",IF(mgmt_cl01_vds02_link_type_chosen="VDS Uplinks","This input is masked out as you have chosen to configure VDS Uplinks","Option is not visible in VCF Operations UI. There is a 16 Character Limit for LAG Name"))</f>
        <v>This input is masked out due to VDS Profile selected</v>
      </c>
    </row>
    <row r="203" spans="5:13" ht="20.05" customHeight="1" x14ac:dyDescent="0.35">
      <c r="E203" s="7"/>
      <c r="F203" s="7"/>
      <c r="G203" s="7"/>
      <c r="H203" s="7"/>
      <c r="I203" s="7"/>
      <c r="J203" s="4" t="s">
        <v>861</v>
      </c>
      <c r="K203" s="362" t="s">
        <v>862</v>
      </c>
      <c r="L203" s="347" t="s">
        <v>862</v>
      </c>
      <c r="M203" s="337" t="str">
        <f>IF(mgmt_cl01_vds_profile_chosen="Default","This input is masked out due to VDS Profile selected",IF(mgmt_cl01_vds02_link_type_chosen="VDS Uplinks","This input is masked out as you have chosen to configure VDS Uplinks","Option is not visible in VCF Installer UI"))</f>
        <v>This input is masked out due to VDS Profile selected</v>
      </c>
    </row>
    <row r="204" spans="5:13" ht="20.05" customHeight="1" x14ac:dyDescent="0.35">
      <c r="E204" s="7"/>
      <c r="F204" s="7"/>
      <c r="G204" s="7"/>
      <c r="H204" s="7"/>
      <c r="I204" s="7"/>
      <c r="J204" s="4" t="s">
        <v>863</v>
      </c>
      <c r="K204" s="362" t="s">
        <v>864</v>
      </c>
      <c r="L204" s="347" t="s">
        <v>864</v>
      </c>
      <c r="M204" s="337" t="str">
        <f>IF(mgmt_cl01_vds_profile_chosen="Default","This input is masked out due to VDS Profile selected",IF(mgmt_cl01_vds02_link_type_chosen="VDS Uplinks","This input is masked out as you have chosen to configure VDS Uplinks","Option is not visible in VCF Installer UI"))</f>
        <v>This input is masked out due to VDS Profile selected</v>
      </c>
    </row>
    <row r="205" spans="5:13" ht="20.05" customHeight="1" x14ac:dyDescent="0.35">
      <c r="E205" s="7"/>
      <c r="F205" s="7"/>
      <c r="G205" s="7"/>
      <c r="H205" s="7"/>
      <c r="I205" s="7"/>
      <c r="J205" s="4" t="s">
        <v>865</v>
      </c>
      <c r="K205" s="362" t="s">
        <v>866</v>
      </c>
      <c r="L205" s="347" t="s">
        <v>866</v>
      </c>
      <c r="M205" s="337" t="str">
        <f>IF(mgmt_cl01_vds_profile_chosen="Default","This input is masked out due to VDS Profile selected",IF(mgmt_cl01_vds02_link_type_chosen="VDS Uplinks","This input is masked out as you have chosen to configure VDS Uplinks","Option is not visible in VCF Installer UI"))</f>
        <v>This input is masked out due to VDS Profile selected</v>
      </c>
    </row>
    <row r="206" spans="5:13" ht="20.05" customHeight="1" x14ac:dyDescent="0.35">
      <c r="E206" s="7"/>
      <c r="F206" s="7"/>
      <c r="G206" s="7"/>
      <c r="H206" s="7"/>
      <c r="I206" s="7"/>
      <c r="J206" s="4" t="s">
        <v>867</v>
      </c>
      <c r="K206" s="362">
        <v>2</v>
      </c>
      <c r="L206" s="347"/>
      <c r="M206" s="337" t="str">
        <f>IF(mgmt_cl01_vds_profile_chosen="Default","This input is masked out due to VDS Profile selected","")</f>
        <v>This input is masked out due to VDS Profile selected</v>
      </c>
    </row>
    <row r="207" spans="5:13" ht="20.05" customHeight="1" x14ac:dyDescent="0.35">
      <c r="E207" s="7"/>
      <c r="F207" s="7"/>
      <c r="G207" s="7"/>
      <c r="H207" s="7"/>
      <c r="I207" s="7"/>
      <c r="J207" s="4" t="str">
        <f>IF(mgmt_cl01_vds02_link_type_chosen="VDS LAG",IF(mgmt_cl01_vds02_lag_name="Value Missing","lag-0",CONCATENATE(mgmt_cl01_vds02_lag_name,"-0")),"uplink1")</f>
        <v>uplink1</v>
      </c>
      <c r="K207" s="362" t="s">
        <v>3881</v>
      </c>
      <c r="L207" s="347"/>
      <c r="M207" s="337" t="str">
        <f>IF(mgmt_cl01_vds_profile_chosen="Default","This input is masked out due to VDS Profile selected","")</f>
        <v>This input is masked out due to VDS Profile selected</v>
      </c>
    </row>
    <row r="208" spans="5:13" ht="20.05" customHeight="1" x14ac:dyDescent="0.35">
      <c r="E208" s="7"/>
      <c r="F208" s="7"/>
      <c r="G208" s="7"/>
      <c r="H208" s="7"/>
      <c r="I208" s="7"/>
      <c r="J208" s="4" t="str">
        <f>IF(mgmt_cl01_vds02_link_type_chosen="VDS LAG",IF(mgmt_cl01_vds02_lag_name="Value Missing","lag-1",CONCATENATE(mgmt_cl01_vds02_lag_name,"-1")),"uplink2")</f>
        <v>uplink2</v>
      </c>
      <c r="K208" s="362" t="s">
        <v>3882</v>
      </c>
      <c r="L208" s="347"/>
      <c r="M208" s="337" t="str">
        <f>IF(mgmt_cl01_vds_profile_chosen="Default","This input is masked out due to VDS Profile selected","")</f>
        <v>This input is masked out due to VDS Profile selected</v>
      </c>
    </row>
    <row r="209" spans="5:13" ht="20.05" customHeight="1" x14ac:dyDescent="0.35">
      <c r="E209" s="7"/>
      <c r="F209" s="7"/>
      <c r="G209" s="7"/>
      <c r="H209" s="7"/>
      <c r="I209" s="7"/>
      <c r="J209" s="496" t="s">
        <v>875</v>
      </c>
      <c r="K209" s="497"/>
      <c r="L209" s="497"/>
      <c r="M209" s="498"/>
    </row>
    <row r="210" spans="5:13" ht="20.05" customHeight="1" x14ac:dyDescent="0.35">
      <c r="E210" s="7"/>
      <c r="F210" s="7"/>
      <c r="G210" s="7"/>
      <c r="H210" s="7"/>
      <c r="I210" s="7"/>
      <c r="J210" s="4" t="s">
        <v>3880</v>
      </c>
      <c r="K210" s="362" t="str">
        <f>CONCATENATE(this_instance,"-m01-cl01-vds03")</f>
        <v>sfo-m01-cl01-vds03</v>
      </c>
      <c r="L210" s="347"/>
      <c r="M210" s="337" t="str">
        <f>IF(mgmt_domain_existing_vcenter_chosen="Selected","Inputs are masked out as you have opted to import an existing vCenter Server",IF(mgmt_cl01_vds_profile_chosen&lt;&gt;"Storage Traffic and NSX Traffic Separation","This input is masked out due to VDS Profile selected",""))</f>
        <v>This input is masked out due to VDS Profile selected</v>
      </c>
    </row>
    <row r="211" spans="5:13" ht="20.05" customHeight="1" x14ac:dyDescent="0.35">
      <c r="E211" s="7"/>
      <c r="F211" s="7"/>
      <c r="G211" s="7"/>
      <c r="H211" s="7"/>
      <c r="I211" s="7"/>
      <c r="J211" s="4" t="s">
        <v>858</v>
      </c>
      <c r="K211" s="362" t="s">
        <v>859</v>
      </c>
      <c r="L211" s="347" t="s">
        <v>859</v>
      </c>
      <c r="M211" s="337" t="str">
        <f>IF(mgmt_cl01_vds_profile_chosen="Default","This input is masked out due to VDS Profile selected",IF(mgmt_cl01_vds03_link_type_chosen="VDS Lag","Only supported via API. Use VCF.JSONGenerator to generate the JSON File once PnP is complete","Option is not visible VCF installer UI"))</f>
        <v>This input is masked out due to VDS Profile selected</v>
      </c>
    </row>
    <row r="212" spans="5:13" ht="20.05" customHeight="1" x14ac:dyDescent="0.35">
      <c r="E212" s="7"/>
      <c r="F212" s="7"/>
      <c r="G212" s="7"/>
      <c r="H212" s="7"/>
      <c r="I212" s="7"/>
      <c r="J212" s="4" t="s">
        <v>160</v>
      </c>
      <c r="K212" s="362">
        <v>9000</v>
      </c>
      <c r="L212" s="347"/>
      <c r="M212" s="337" t="str">
        <f>IF(mgmt_cl01_vds_profile_chosen="Default","This input is masked out due to VDS Profile selected","")</f>
        <v>This input is masked out due to VDS Profile selected</v>
      </c>
    </row>
    <row r="213" spans="5:13" ht="20.05" customHeight="1" x14ac:dyDescent="0.35">
      <c r="E213" s="7"/>
      <c r="F213" s="7"/>
      <c r="G213" s="7"/>
      <c r="H213" s="7"/>
      <c r="I213" s="7"/>
      <c r="J213" s="4" t="s">
        <v>860</v>
      </c>
      <c r="K213" s="362" t="str">
        <f>CONCATENATE("m01-cl01-vds3-lg")</f>
        <v>m01-cl01-vds3-lg</v>
      </c>
      <c r="L213" s="347"/>
      <c r="M213" s="337" t="str">
        <f>IF(mgmt_cl01_vds_profile_chosen&lt;&gt;"Storage Traffic and NSX Traffic Separation","This input is masked out due to VDS Profile selected",IF(mgmt_cl01_vds03_link_type_chosen="VDS Uplinks","This input is masked out as you have chosen to configure VDS Uplinks","Option is not visible in VCF Operations UI. There is a 16 Character Limit for LAG Name"))</f>
        <v>This input is masked out due to VDS Profile selected</v>
      </c>
    </row>
    <row r="214" spans="5:13" ht="20.05" customHeight="1" x14ac:dyDescent="0.35">
      <c r="E214" s="7"/>
      <c r="F214" s="7"/>
      <c r="G214" s="7"/>
      <c r="H214" s="7"/>
      <c r="I214" s="7"/>
      <c r="J214" s="4" t="s">
        <v>861</v>
      </c>
      <c r="K214" s="362" t="s">
        <v>862</v>
      </c>
      <c r="L214" s="347" t="s">
        <v>862</v>
      </c>
      <c r="M214" s="337" t="str">
        <f>IF(mgmt_cl01_vds_profile_chosen&lt;&gt;"Storage Traffic and NSX Traffic Separation","This input is masked out due to VDS Profile selected",IF(mgmt_cl01_vds03_link_type_chosen="VDS Uplinks","This input is masked out as you have chosen to configure VDS Uplinks","Option is not visible in VCF Installer UI"))</f>
        <v>This input is masked out due to VDS Profile selected</v>
      </c>
    </row>
    <row r="215" spans="5:13" ht="20.05" customHeight="1" x14ac:dyDescent="0.35">
      <c r="E215" s="7"/>
      <c r="F215" s="7"/>
      <c r="G215" s="7"/>
      <c r="H215" s="7"/>
      <c r="I215" s="7"/>
      <c r="J215" s="4" t="s">
        <v>863</v>
      </c>
      <c r="K215" s="362" t="s">
        <v>864</v>
      </c>
      <c r="L215" s="347" t="s">
        <v>864</v>
      </c>
      <c r="M215" s="337" t="str">
        <f>IF(mgmt_cl01_vds_profile_chosen&lt;&gt;"Storage Traffic and NSX Traffic Separation","This input is masked out due to VDS Profile selected",IF(mgmt_cl01_vds03_link_type_chosen="VDS Uplinks","This input is masked out as you have chosen to configure VDS Uplinks","Option is not visible in VCF Installer UI"))</f>
        <v>This input is masked out due to VDS Profile selected</v>
      </c>
    </row>
    <row r="216" spans="5:13" ht="20.05" customHeight="1" x14ac:dyDescent="0.35">
      <c r="E216" s="7"/>
      <c r="F216" s="7"/>
      <c r="G216" s="7"/>
      <c r="H216" s="7"/>
      <c r="I216" s="7"/>
      <c r="J216" s="4" t="s">
        <v>865</v>
      </c>
      <c r="K216" s="362" t="s">
        <v>866</v>
      </c>
      <c r="L216" s="347" t="s">
        <v>866</v>
      </c>
      <c r="M216" s="337" t="str">
        <f>IF(mgmt_cl01_vds_profile_chosen&lt;&gt;"Storage Traffic and NSX Traffic Separation","This input is masked out due to VDS Profile selected",IF(mgmt_cl01_vds03_link_type_chosen="VDS Uplinks","This input is masked out as you have chosen to configure VDS Uplinks","Option is not visible in VCF Installer UI"))</f>
        <v>This input is masked out due to VDS Profile selected</v>
      </c>
    </row>
    <row r="217" spans="5:13" ht="20.05" customHeight="1" x14ac:dyDescent="0.35">
      <c r="E217" s="7"/>
      <c r="F217" s="7"/>
      <c r="G217" s="7"/>
      <c r="H217" s="7"/>
      <c r="I217" s="7"/>
      <c r="J217" s="4" t="s">
        <v>867</v>
      </c>
      <c r="K217" s="362">
        <v>2</v>
      </c>
      <c r="L217" s="347"/>
      <c r="M217" s="337" t="str">
        <f>IF(mgmt_cl01_vds_profile_chosen="Default","This input is masked out due to VDS Profile selected","")</f>
        <v>This input is masked out due to VDS Profile selected</v>
      </c>
    </row>
    <row r="218" spans="5:13" ht="20.05" customHeight="1" x14ac:dyDescent="0.35">
      <c r="E218" s="7"/>
      <c r="F218" s="7"/>
      <c r="G218" s="7"/>
      <c r="H218" s="7"/>
      <c r="I218" s="7"/>
      <c r="J218" s="4" t="str">
        <f>IF(mgmt_cl01_vds02_link_type_chosen="VDS LAG",IF(mgmt_cl01_vds03_lag_name="Value Missing","lag-0",CONCATENATE(mgmt_cl01_vds03_lag_name,"-0")),"uplink1")</f>
        <v>uplink1</v>
      </c>
      <c r="K218" s="362" t="s">
        <v>3883</v>
      </c>
      <c r="L218" s="347"/>
      <c r="M218" s="337" t="str">
        <f>IF(mgmt_cl01_vds_profile_chosen="Default","This input is masked out due to VDS Profile selected","")</f>
        <v>This input is masked out due to VDS Profile selected</v>
      </c>
    </row>
    <row r="219" spans="5:13" ht="20.05" customHeight="1" x14ac:dyDescent="0.35">
      <c r="E219" s="7"/>
      <c r="F219" s="7"/>
      <c r="G219" s="7"/>
      <c r="H219" s="7"/>
      <c r="I219" s="7"/>
      <c r="J219" s="4" t="str">
        <f>IF(mgmt_cl01_vds02_link_type_chosen="VDS LAG",IF(mgmt_cl01_vds03_lag_name="Value Missing","lag-1",CONCATENATE(mgmt_cl01_vds03_lag_name,"-1")),"uplink2")</f>
        <v>uplink2</v>
      </c>
      <c r="K219" s="362" t="s">
        <v>3884</v>
      </c>
      <c r="L219" s="347"/>
      <c r="M219" s="337" t="str">
        <f>IF(mgmt_cl01_vds_profile_chosen="Default","This input is masked out due to VDS Profile selected","")</f>
        <v>This input is masked out due to VDS Profile selected</v>
      </c>
    </row>
    <row r="220" spans="5:13" ht="20.05" customHeight="1" x14ac:dyDescent="0.35">
      <c r="E220" s="7"/>
      <c r="F220" s="7"/>
      <c r="G220" s="7"/>
      <c r="H220" s="7"/>
      <c r="I220" s="7"/>
      <c r="J220" s="363" t="s">
        <v>3885</v>
      </c>
      <c r="K220" s="364"/>
      <c r="L220" s="364"/>
      <c r="M220" s="365"/>
    </row>
    <row r="221" spans="5:13" ht="20.05" customHeight="1" x14ac:dyDescent="0.35">
      <c r="E221" s="7"/>
      <c r="F221" s="7"/>
      <c r="G221" s="7"/>
      <c r="H221" s="7"/>
      <c r="I221" s="7"/>
      <c r="J221" s="4" t="s">
        <v>185</v>
      </c>
      <c r="K221" s="362" t="str">
        <f>CONCATENATE(this_instance,"-m01-cl01-vds01-pg-mgmt")</f>
        <v>sfo-m01-cl01-vds01-pg-mgmt</v>
      </c>
      <c r="L221" s="95"/>
      <c r="M221" s="337" t="str">
        <f>IF(mgmt_domain_existing_vcenter_chosen="Selected","Inputs are masked out as you have opted to import an existing vCenter Server","Portgroup will be created on Primary Distributed Switch")</f>
        <v>Portgroup will be created on Primary Distributed Switch</v>
      </c>
    </row>
    <row r="222" spans="5:13" ht="20.05" customHeight="1" x14ac:dyDescent="0.35">
      <c r="E222" s="7"/>
      <c r="F222" s="7"/>
      <c r="G222" s="7"/>
      <c r="H222" s="7"/>
      <c r="I222" s="7"/>
      <c r="J222" s="4" t="s">
        <v>882</v>
      </c>
      <c r="K222" s="362" t="s">
        <v>883</v>
      </c>
      <c r="L222" s="347" t="s">
        <v>883</v>
      </c>
      <c r="M222" s="337" t="str">
        <f>IF(mgmt_cl01_vds01_link_type_chosen="VDS Lag","This input is masked out as you have chosen to configure VDS LAG","")</f>
        <v/>
      </c>
    </row>
    <row r="223" spans="5:13" ht="20.05" customHeight="1" x14ac:dyDescent="0.35">
      <c r="E223" s="7"/>
      <c r="F223" s="7"/>
      <c r="G223" s="7"/>
      <c r="H223" s="7"/>
      <c r="I223" s="7"/>
      <c r="J223" s="4" t="s">
        <v>884</v>
      </c>
      <c r="K223" s="362" t="s">
        <v>862</v>
      </c>
      <c r="L223" s="347" t="s">
        <v>862</v>
      </c>
      <c r="M223" s="337" t="str">
        <f>IF(mgmt_cl01_vds01_link_type_chosen="VDS Lag","This input is masked out as you have chosen to configure VDS LAG","")</f>
        <v/>
      </c>
    </row>
    <row r="224" spans="5:13" ht="20.05" customHeight="1" x14ac:dyDescent="0.35">
      <c r="E224" s="7"/>
      <c r="F224" s="7"/>
      <c r="G224" s="7"/>
      <c r="H224" s="7"/>
      <c r="I224" s="7"/>
      <c r="J224" s="4" t="s">
        <v>885</v>
      </c>
      <c r="K224" s="362" t="s">
        <v>862</v>
      </c>
      <c r="L224" s="347" t="s">
        <v>862</v>
      </c>
      <c r="M224" s="337" t="str">
        <f>IF(mgmt_cl01_vds01_link_type_chosen="VDS Lag","This input is masked out as you have chosen to configure VDS LAG","")</f>
        <v/>
      </c>
    </row>
    <row r="225" spans="5:13" ht="20.05" customHeight="1" x14ac:dyDescent="0.35">
      <c r="E225" s="7"/>
      <c r="F225" s="7"/>
      <c r="G225" s="7"/>
      <c r="H225" s="7"/>
      <c r="I225" s="7"/>
      <c r="J225" s="363" t="s">
        <v>886</v>
      </c>
      <c r="K225" s="364"/>
      <c r="L225" s="364"/>
      <c r="M225" s="365"/>
    </row>
    <row r="226" spans="5:13" ht="20.05" customHeight="1" x14ac:dyDescent="0.35">
      <c r="E226" s="7"/>
      <c r="F226" s="7"/>
      <c r="G226" s="7"/>
      <c r="H226" s="7"/>
      <c r="I226" s="7"/>
      <c r="J226" s="4" t="s">
        <v>185</v>
      </c>
      <c r="K226" s="362" t="str">
        <f>CONCATENATE(this_instance,"-m01-cl01-vds01-pg-vm-mgmt")</f>
        <v>sfo-m01-cl01-vds01-pg-vm-mgmt</v>
      </c>
      <c r="L226" s="95"/>
      <c r="M226" s="337" t="str">
        <f>IF(mgmt_domain_existing_vcenter_chosen="Selected","Inputs are masked out as you have opted to import an existing vCenter Server","Portgroup will be created on Primary Distributed Switch")</f>
        <v>Portgroup will be created on Primary Distributed Switch</v>
      </c>
    </row>
    <row r="227" spans="5:13" ht="20.05" customHeight="1" x14ac:dyDescent="0.35">
      <c r="E227" s="7"/>
      <c r="F227" s="7"/>
      <c r="G227" s="7"/>
      <c r="H227" s="7"/>
      <c r="I227" s="7"/>
      <c r="J227" s="4" t="s">
        <v>882</v>
      </c>
      <c r="K227" s="362" t="s">
        <v>883</v>
      </c>
      <c r="L227" s="347" t="s">
        <v>883</v>
      </c>
      <c r="M227" s="337" t="str">
        <f>IF(mgmt_cl01_vds01_link_type_chosen="VDS Lag","This input is masked out as you have chosen to configure VDS LAG","")</f>
        <v/>
      </c>
    </row>
    <row r="228" spans="5:13" ht="20.05" customHeight="1" x14ac:dyDescent="0.35">
      <c r="E228" s="7"/>
      <c r="F228" s="7"/>
      <c r="G228" s="7"/>
      <c r="H228" s="7"/>
      <c r="I228" s="7"/>
      <c r="J228" s="4" t="s">
        <v>884</v>
      </c>
      <c r="K228" s="362" t="s">
        <v>862</v>
      </c>
      <c r="L228" s="347" t="s">
        <v>862</v>
      </c>
      <c r="M228" s="337" t="str">
        <f>IF(mgmt_cl01_vds01_link_type_chosen="VDS Lag","This input is masked out as you have chosen to configure VDS LAG","")</f>
        <v/>
      </c>
    </row>
    <row r="229" spans="5:13" ht="20.05" customHeight="1" x14ac:dyDescent="0.35">
      <c r="E229" s="7"/>
      <c r="F229" s="7"/>
      <c r="G229" s="7"/>
      <c r="H229" s="7"/>
      <c r="I229" s="7"/>
      <c r="J229" s="4" t="s">
        <v>885</v>
      </c>
      <c r="K229" s="362" t="s">
        <v>862</v>
      </c>
      <c r="L229" s="347" t="s">
        <v>862</v>
      </c>
      <c r="M229" s="337" t="str">
        <f>IF(mgmt_cl01_vds01_link_type_chosen="VDS Lag","This input is masked out as you have chosen to configure VDS LAG","")</f>
        <v/>
      </c>
    </row>
    <row r="230" spans="5:13" ht="20.05" customHeight="1" x14ac:dyDescent="0.35">
      <c r="E230" s="7"/>
      <c r="F230" s="7"/>
      <c r="G230" s="7"/>
      <c r="H230" s="7"/>
      <c r="I230" s="7"/>
      <c r="J230" s="363" t="s">
        <v>888</v>
      </c>
      <c r="K230" s="364"/>
      <c r="L230" s="364"/>
      <c r="M230" s="365"/>
    </row>
    <row r="231" spans="5:13" ht="20.05" customHeight="1" x14ac:dyDescent="0.35">
      <c r="E231" s="7"/>
      <c r="F231" s="7"/>
      <c r="G231" s="7"/>
      <c r="H231" s="7"/>
      <c r="I231" s="7"/>
      <c r="J231" s="4" t="s">
        <v>185</v>
      </c>
      <c r="K231" s="362" t="str">
        <f>CONCATENATE(this_instance,"-m01-cl01-vds01-pg-vmotion")</f>
        <v>sfo-m01-cl01-vds01-pg-vmotion</v>
      </c>
      <c r="L231" s="347"/>
      <c r="M231" s="337" t="str">
        <f>IF(mgmt_domain_existing_vcenter_chosen="Selected","Inputs are masked out as you have opted to import an existing vCenter Server","Portgroup will be created on Primary Distributed Switch")</f>
        <v>Portgroup will be created on Primary Distributed Switch</v>
      </c>
    </row>
    <row r="232" spans="5:13" ht="20.05" customHeight="1" x14ac:dyDescent="0.35">
      <c r="E232" s="7"/>
      <c r="F232" s="7"/>
      <c r="G232" s="7"/>
      <c r="H232" s="7"/>
      <c r="I232" s="7"/>
      <c r="J232" s="4" t="s">
        <v>882</v>
      </c>
      <c r="K232" s="362" t="s">
        <v>883</v>
      </c>
      <c r="L232" s="347" t="s">
        <v>883</v>
      </c>
      <c r="M232" s="337" t="str">
        <f>IF(mgmt_cl01_vds01_link_type_chosen="VDS Lag","This input is masked out as you have chosen to configure VDS LAG","")</f>
        <v/>
      </c>
    </row>
    <row r="233" spans="5:13" ht="20.05" customHeight="1" x14ac:dyDescent="0.35">
      <c r="E233" s="7"/>
      <c r="F233" s="7"/>
      <c r="G233" s="7"/>
      <c r="H233" s="7"/>
      <c r="I233" s="7"/>
      <c r="J233" s="4" t="s">
        <v>884</v>
      </c>
      <c r="K233" s="362" t="s">
        <v>862</v>
      </c>
      <c r="L233" s="347" t="s">
        <v>862</v>
      </c>
      <c r="M233" s="337" t="str">
        <f>IF(mgmt_cl01_vds01_link_type_chosen="VDS Lag","This input is masked out as you have chosen to configure VDS LAG","")</f>
        <v/>
      </c>
    </row>
    <row r="234" spans="5:13" ht="20.05" customHeight="1" x14ac:dyDescent="0.35">
      <c r="E234" s="7"/>
      <c r="F234" s="7"/>
      <c r="G234" s="7"/>
      <c r="H234" s="7"/>
      <c r="I234" s="7"/>
      <c r="J234" s="4" t="s">
        <v>885</v>
      </c>
      <c r="K234" s="362" t="s">
        <v>862</v>
      </c>
      <c r="L234" s="347" t="s">
        <v>862</v>
      </c>
      <c r="M234" s="337" t="str">
        <f>IF(mgmt_cl01_vds01_link_type_chosen="VDS Lag","This input is masked out as you have chosen to configure VDS LAG","")</f>
        <v/>
      </c>
    </row>
    <row r="235" spans="5:13" ht="20.05" customHeight="1" x14ac:dyDescent="0.35">
      <c r="E235" s="7"/>
      <c r="F235" s="7"/>
      <c r="G235" s="7"/>
      <c r="H235" s="7"/>
      <c r="I235" s="7"/>
      <c r="J235" s="363" t="s">
        <v>3886</v>
      </c>
      <c r="K235" s="364"/>
      <c r="L235" s="364"/>
      <c r="M235" s="365"/>
    </row>
    <row r="236" spans="5:13" ht="20.05" customHeight="1" x14ac:dyDescent="0.35">
      <c r="E236" s="7"/>
      <c r="F236" s="7"/>
      <c r="G236" s="7"/>
      <c r="H236" s="7"/>
      <c r="I236" s="7"/>
      <c r="J236" s="4" t="s">
        <v>185</v>
      </c>
      <c r="K236" s="362" t="str">
        <f>CONCATENATE(this_instance,"-m01-cl01-vds01-pg-vsan")</f>
        <v>sfo-m01-cl01-vds01-pg-vsan</v>
      </c>
      <c r="L236" s="347"/>
      <c r="M236" s="337" t="str">
        <f>IF(mgmt_domain_existing_vcenter_chosen="Selected","Inputs are masked out as you have opted to import an existing vCenter Server",
IF(mgmt_cl01_vds_profile_chosen="Storage Traffic Separation","Portgroup will be created on Secondary Distributed Switch",
IF(mgmt_cl01_vds_profile_chosen="NSX Traffic Separation","Portgroup will be created on Primary Distributed Switch",
IF(mgmt_cl01_vds_profile_chosen="Storage Traffic and NSX Traffic Separation","Portgroup will be created on Secondary Distributed Switch",
IF(mgmt_cl01_vds_profile_chosen="Custom","","Portgroup will be created on Primary Distributed Switch")))))</f>
        <v>Portgroup will be created on Primary Distributed Switch</v>
      </c>
    </row>
    <row r="237" spans="5:13" ht="20.05" customHeight="1" x14ac:dyDescent="0.35">
      <c r="E237" s="7"/>
      <c r="F237" s="7"/>
      <c r="G237" s="7"/>
      <c r="H237" s="7"/>
      <c r="I237" s="7"/>
      <c r="J237" s="4" t="s">
        <v>882</v>
      </c>
      <c r="K237" s="362" t="s">
        <v>883</v>
      </c>
      <c r="L237" s="347" t="s">
        <v>883</v>
      </c>
      <c r="M237" s="337" t="str">
        <f>IF(AND(mgmt_cl01_vds_profile_chosen="Default",mgmt_cl01_vds01_link_type_chosen="VDS Lag"),"This input is masked out as you have chosen to configure VDS LAG",
IF(AND(mgmt_cl01_vds_profile_chosen="NSX Traffic Separation",mgmt_cl01_vds01_link_type_chosen="VDS Lag"),"This input is masked out as you have chosen to configure VDS LAG",
IF(AND(mgmt_cl01_vds_profile_chosen="Storage Traffic and NSX Traffic Separation",mgmt_cl01_vds02_link_type_chosen="VDS Lag"),"This input is masked out as you have chosen to configure VDS LAG",
IF(AND(mgmt_cl01_vds_profile_chosen="Storage Traffic Separation",mgmt_cl01_vds02_link_type_chosen="VDS Lag"),"This input is masked out as you have chosen to configure VDS LAG",""))))</f>
        <v/>
      </c>
    </row>
    <row r="238" spans="5:13" ht="20.05" customHeight="1" x14ac:dyDescent="0.35">
      <c r="E238" s="7"/>
      <c r="F238" s="7"/>
      <c r="G238" s="7"/>
      <c r="H238" s="7"/>
      <c r="I238" s="7"/>
      <c r="J238" s="4" t="s">
        <v>884</v>
      </c>
      <c r="K238" s="362" t="s">
        <v>862</v>
      </c>
      <c r="L238" s="347" t="s">
        <v>862</v>
      </c>
      <c r="M238" s="337" t="str">
        <f>IF(AND(mgmt_cl01_vds_profile_chosen="Default",mgmt_cl01_vds01_link_type_chosen="VDS Lag"),"This input is masked out as you have chosen to configure VDS LAG",
IF(AND(mgmt_cl01_vds_profile_chosen="NSX Traffic Separation",mgmt_cl01_vds01_link_type_chosen="VDS Lag"),"This input is masked out as you have chosen to configure VDS LAG",
IF(AND(mgmt_cl01_vds_profile_chosen="Storage Traffic and NSX Traffic Separation",mgmt_cl01_vds02_link_type_chosen="VDS Lag"),"This input is masked out as you have chosen to configure VDS LAG",
IF(AND(mgmt_cl01_vds_profile_chosen="Storage Traffic Separation",mgmt_cl01_vds02_link_type_chosen="VDS Lag"),"This input is masked out as you have chosen to configure VDS LAG",""))))</f>
        <v/>
      </c>
    </row>
    <row r="239" spans="5:13" ht="20.05" customHeight="1" x14ac:dyDescent="0.35">
      <c r="E239" s="7"/>
      <c r="F239" s="7"/>
      <c r="G239" s="7"/>
      <c r="H239" s="7"/>
      <c r="I239" s="7"/>
      <c r="J239" s="4" t="s">
        <v>885</v>
      </c>
      <c r="K239" s="362" t="s">
        <v>862</v>
      </c>
      <c r="L239" s="347" t="s">
        <v>862</v>
      </c>
      <c r="M239" s="337" t="str">
        <f>IF(AND(mgmt_cl01_vds_profile_chosen="Default",mgmt_cl01_vds01_link_type_chosen="VDS Lag"),"This input is masked out as you have chosen to configure VDS LAG",
IF(AND(mgmt_cl01_vds_profile_chosen="NSX Traffic Separation",mgmt_cl01_vds01_link_type_chosen="VDS Lag"),"This input is masked out as you have chosen to configure VDS LAG",
IF(AND(mgmt_cl01_vds_profile_chosen="Storage Traffic and NSX Traffic Separation",mgmt_cl01_vds02_link_type_chosen="VDS Lag"),"This input is masked out as you have chosen to configure VDS LAG",
IF(AND(mgmt_cl01_vds_profile_chosen="Storage Traffic Separation",mgmt_cl01_vds02_link_type_chosen="VDS Lag"),"This input is masked out as you have chosen to configure VDS LAG",""))))</f>
        <v/>
      </c>
    </row>
    <row r="240" spans="5:13" ht="20.05" customHeight="1" x14ac:dyDescent="0.35">
      <c r="E240" s="7"/>
      <c r="F240" s="7"/>
      <c r="G240" s="7"/>
      <c r="H240" s="7"/>
      <c r="I240" s="7"/>
      <c r="J240" s="363" t="s">
        <v>3887</v>
      </c>
      <c r="K240" s="364"/>
      <c r="L240" s="364"/>
      <c r="M240" s="365"/>
    </row>
    <row r="241" spans="5:13" ht="20.05" customHeight="1" x14ac:dyDescent="0.35">
      <c r="E241" s="7"/>
      <c r="F241" s="7"/>
      <c r="G241" s="7"/>
      <c r="H241" s="7"/>
      <c r="I241" s="7"/>
      <c r="J241" s="4" t="s">
        <v>185</v>
      </c>
      <c r="K241" s="362" t="str">
        <f>CONCATENATE(this_instance,"-m01-cl01-vds01-pg-nfs")</f>
        <v>sfo-m01-cl01-vds01-pg-nfs</v>
      </c>
      <c r="L241" s="347"/>
      <c r="M241" s="337" t="str">
        <f>IF(mgmt_domain_existing_vcenter_chosen="Selected","Inputs are masked out as you have opted to import an existing vCenter Server",IF(mgmt_principal_storage_chosen&lt;&gt;"NFSv3","This input is masked out and only required if configuring NFS Storage",
IF(mgmt_cl01_vds_profile_chosen="Storage Traffic Separation","Portgroup will be created on Secondary Distributed Switch",
IF(mgmt_cl01_vds_profile_chosen="NSX Traffic Separation","Portgroup will be created on Primary Distributed Switch",
IF(mgmt_cl01_vds_profile_chosen="Storage Traffic and NSX Traffic Separation","Portgroup will be created on Secondary Distributed Switch",
IF(mgmt_cl01_vds_profile_chosen="Custom","","Portgroup will be created on Primary Distributed Switch"))))))</f>
        <v>This input is masked out and only required if configuring NFS Storage</v>
      </c>
    </row>
    <row r="242" spans="5:13" ht="20.05" customHeight="1" x14ac:dyDescent="0.35">
      <c r="E242" s="7"/>
      <c r="F242" s="7"/>
      <c r="G242" s="7"/>
      <c r="H242" s="7"/>
      <c r="I242" s="7"/>
      <c r="J242" s="4" t="s">
        <v>882</v>
      </c>
      <c r="K242" s="362" t="s">
        <v>883</v>
      </c>
      <c r="L242" s="347" t="s">
        <v>883</v>
      </c>
      <c r="M242" s="337"/>
    </row>
    <row r="243" spans="5:13" ht="20.05" customHeight="1" x14ac:dyDescent="0.35">
      <c r="E243" s="7"/>
      <c r="F243" s="7"/>
      <c r="G243" s="7"/>
      <c r="H243" s="7"/>
      <c r="I243" s="7"/>
      <c r="J243" s="4" t="s">
        <v>884</v>
      </c>
      <c r="K243" s="362" t="s">
        <v>862</v>
      </c>
      <c r="L243" s="347" t="s">
        <v>862</v>
      </c>
      <c r="M243" s="337"/>
    </row>
    <row r="244" spans="5:13" ht="20.05" customHeight="1" x14ac:dyDescent="0.35">
      <c r="E244" s="7"/>
      <c r="F244" s="7"/>
      <c r="G244" s="7"/>
      <c r="H244" s="7"/>
      <c r="I244" s="7"/>
      <c r="J244" s="4" t="s">
        <v>885</v>
      </c>
      <c r="K244" s="362" t="s">
        <v>862</v>
      </c>
      <c r="L244" s="347" t="s">
        <v>862</v>
      </c>
      <c r="M244" s="337"/>
    </row>
    <row r="245" spans="5:13" ht="20.05" customHeight="1" x14ac:dyDescent="0.35">
      <c r="E245" s="7"/>
      <c r="F245" s="7"/>
      <c r="G245" s="7"/>
      <c r="H245" s="7"/>
      <c r="I245" s="7"/>
      <c r="J245" s="496" t="s">
        <v>890</v>
      </c>
      <c r="K245" s="497"/>
      <c r="L245" s="497"/>
      <c r="M245" s="498"/>
    </row>
    <row r="246" spans="5:13" ht="20.05" customHeight="1" x14ac:dyDescent="0.35">
      <c r="E246" s="7"/>
      <c r="F246" s="7"/>
      <c r="G246" s="7"/>
      <c r="H246" s="7"/>
      <c r="I246" s="7"/>
      <c r="J246" s="4" t="s">
        <v>891</v>
      </c>
      <c r="K246" s="362" t="s">
        <v>159</v>
      </c>
      <c r="L246" s="347" t="s">
        <v>159</v>
      </c>
      <c r="M246" s="337" t="s">
        <v>3888</v>
      </c>
    </row>
    <row r="247" spans="5:13" ht="20.05" customHeight="1" x14ac:dyDescent="0.35">
      <c r="E247" s="7"/>
      <c r="F247" s="7"/>
      <c r="G247" s="7"/>
      <c r="H247" s="7"/>
      <c r="I247" s="7"/>
      <c r="J247" s="4" t="s">
        <v>3889</v>
      </c>
      <c r="K247" s="362" t="s">
        <v>3890</v>
      </c>
      <c r="L247" s="347" t="s">
        <v>3890</v>
      </c>
      <c r="M247" s="337" t="str">
        <f>IF(mgmt_nsx_default_operation_mode_chosen="Selected","Inputs are masked out as you have opted to apply the default operational mode in NSX","")</f>
        <v>Inputs are masked out as you have opted to apply the default operational mode in NSX</v>
      </c>
    </row>
    <row r="248" spans="5:13" ht="20.05" customHeight="1" x14ac:dyDescent="0.35">
      <c r="E248" s="7"/>
      <c r="F248" s="7"/>
      <c r="G248" s="7"/>
      <c r="H248" s="7"/>
      <c r="I248" s="7"/>
      <c r="J248" s="4" t="s">
        <v>882</v>
      </c>
      <c r="K248" s="362" t="s">
        <v>3891</v>
      </c>
      <c r="L248" s="347" t="s">
        <v>3891</v>
      </c>
      <c r="M248" s="337" t="str">
        <f>IF(AND(mgmt_cl01_vds_profile_chosen="Default",mgmt_cl01_vds01_link_type_chosen="VDS Lag"),"This input is masked out as you have chosen to configure VDS LAG",
IF(AND(mgmt_cl01_vds_profile_chosen="NSX Traffic Separation",mgmt_cl01_vds02_link_type_chosen="VDS Lag"),"This input is masked out as you have chosen to configure VDS LAG",
IF(AND(mgmt_cl01_vds_profile_chosen="Storage Traffic and NSX Traffic Separation",mgmt_cl01_vds03_link_type_chosen="VDS Lag"),"This input is masked out as you have chosen to configure VDS LAG",
IF(AND(mgmt_cl01_vds_profile_chosen="Storage Traffic Separation",mgmt_cl01_vds01_link_type_chosen="VDS Lag"),"This input is masked out as you have chosen to configure VDS LAG",""))))</f>
        <v/>
      </c>
    </row>
    <row r="249" spans="5:13" ht="20.05" customHeight="1" x14ac:dyDescent="0.35">
      <c r="E249" s="7"/>
      <c r="F249" s="7"/>
      <c r="G249" s="7"/>
      <c r="H249" s="7"/>
      <c r="I249" s="7"/>
      <c r="J249" s="4" t="s">
        <v>884</v>
      </c>
      <c r="K249" s="362" t="s">
        <v>862</v>
      </c>
      <c r="L249" s="347" t="s">
        <v>862</v>
      </c>
      <c r="M249" s="337" t="str">
        <f>IF(AND(mgmt_cl01_vds_profile_chosen="Default",mgmt_cl01_vds01_link_type_chosen="VDS Lag"),"This input is masked out as you have chosen to configure VDS LAG",
IF(AND(mgmt_cl01_vds_profile_chosen="NSX Traffic Separation",mgmt_cl01_vds02_link_type_chosen="VDS Lag"),"This input is masked out as you have chosen to configure VDS LAG",
IF(AND(mgmt_cl01_vds_profile_chosen="Storage Traffic and NSX Traffic Separation",mgmt_cl01_vds03_link_type_chosen="VDS Lag"),"This input is masked out as you have chosen to configure VDS LAG",
IF(AND(mgmt_cl01_vds_profile_chosen="Storage Traffic Separation",mgmt_cl01_vds01_link_type_chosen="VDS Lag"),"This input is masked out as you have chosen to configure VDS LAG",""))))</f>
        <v/>
      </c>
    </row>
    <row r="250" spans="5:13" ht="20.05" customHeight="1" x14ac:dyDescent="0.35">
      <c r="E250" s="7"/>
      <c r="F250" s="7"/>
      <c r="G250" s="7"/>
      <c r="H250" s="7"/>
      <c r="I250" s="7"/>
      <c r="J250" s="4" t="s">
        <v>885</v>
      </c>
      <c r="K250" s="362" t="s">
        <v>862</v>
      </c>
      <c r="L250" s="347" t="s">
        <v>862</v>
      </c>
      <c r="M250" s="337" t="str">
        <f>IF(AND(mgmt_cl01_vds_profile_chosen="Default",mgmt_cl01_vds01_link_type_chosen="VDS Lag"),"This input is masked out as you have chosen to configure VDS LAG",
IF(AND(mgmt_cl01_vds_profile_chosen="NSX Traffic Separation",mgmt_cl01_vds02_link_type_chosen="VDS Lag"),"This input is masked out as you have chosen to configure VDS LAG",
IF(AND(mgmt_cl01_vds_profile_chosen="Storage Traffic and NSX Traffic Separation",mgmt_cl01_vds03_link_type_chosen="VDS Lag"),"This input is masked out as you have chosen to configure VDS LAG",
IF(AND(mgmt_cl01_vds_profile_chosen="Storage Traffic Separation",mgmt_cl01_vds01_link_type_chosen="VDS Lag"),"This input is masked out as you have chosen to configure VDS LAG",""))))</f>
        <v/>
      </c>
    </row>
    <row r="251" spans="5:13" ht="20.05" customHeight="1" x14ac:dyDescent="0.35">
      <c r="E251" s="7"/>
      <c r="F251" s="7"/>
      <c r="G251" s="7"/>
      <c r="H251" s="7"/>
      <c r="I251" s="7"/>
      <c r="J251" s="496" t="s">
        <v>894</v>
      </c>
      <c r="K251" s="497"/>
      <c r="L251" s="497"/>
      <c r="M251" s="498"/>
    </row>
    <row r="252" spans="5:13" ht="20.05" customHeight="1" x14ac:dyDescent="0.35">
      <c r="E252" s="7"/>
      <c r="F252" s="7"/>
      <c r="G252" s="7"/>
      <c r="H252" s="7"/>
      <c r="I252" s="7"/>
      <c r="J252" s="4" t="s">
        <v>895</v>
      </c>
      <c r="K252" s="362" t="str">
        <f>CONCATENATE("overlay-tz-",this_instance,"-m01-nsx01")</f>
        <v>overlay-tz-sfo-m01-nsx01</v>
      </c>
      <c r="L252" s="347"/>
      <c r="M252" s="337" t="str">
        <f>IF(mgmt_domain_existing_vcenter_chosen="Selected","Inputs are masked out as you have opted to import an existing vCenter Server",
IF(mgmt_cl01_vds_profile_chosen="Storage Traffic Separation","Overlay Traffic will be configured on Primary Distributed Switch",
IF(mgmt_cl01_vds_profile_chosen="NSX Traffic Separation","Overlay Traffic will be configured on Secondary Distributed Switch",
IF(mgmt_cl01_vds_profile_chosen="Storage Traffic and NSX Traffic Separation","Overlay Traffic will be configured on Tertiary Distributed Switch",
IF(mgmt_cl01_vds_profile_chosen="Custom","","Overlay Traffic will be configured on Primary Distributed Switch")))))</f>
        <v>Overlay Traffic will be configured on Primary Distributed Switch</v>
      </c>
    </row>
    <row r="253" spans="5:13" ht="20.05" customHeight="1" x14ac:dyDescent="0.35">
      <c r="E253" s="7"/>
      <c r="F253" s="7"/>
      <c r="G253" s="7"/>
      <c r="H253" s="7"/>
      <c r="I253" s="7"/>
      <c r="J253" s="4" t="s">
        <v>85</v>
      </c>
      <c r="K253" s="80" t="str">
        <f>CONCATENATE(prefix_mgmt_az1_vlan,"14")</f>
        <v>1114</v>
      </c>
      <c r="L253" s="347"/>
      <c r="M253" s="337"/>
    </row>
    <row r="254" spans="5:13" ht="20.05" customHeight="1" x14ac:dyDescent="0.35">
      <c r="E254" s="7"/>
      <c r="F254" s="7"/>
      <c r="G254" s="7"/>
      <c r="H254" s="7"/>
      <c r="I254" s="7"/>
      <c r="J254" s="4" t="s">
        <v>896</v>
      </c>
      <c r="K254" s="362" t="s">
        <v>3892</v>
      </c>
      <c r="L254" s="355" t="s">
        <v>3892</v>
      </c>
      <c r="M254" s="337"/>
    </row>
    <row r="255" spans="5:13" ht="20.05" customHeight="1" x14ac:dyDescent="0.35">
      <c r="E255" s="7"/>
      <c r="F255" s="7"/>
      <c r="G255" s="7"/>
      <c r="H255" s="7"/>
      <c r="I255" s="7"/>
      <c r="J255" s="4" t="s">
        <v>898</v>
      </c>
      <c r="K255" s="89" t="str">
        <f>CONCATENATE(this_instance,"01-m01","-r01-ip-pool01-host")</f>
        <v>sfo01-m01-r01-ip-pool01-host</v>
      </c>
      <c r="L255" s="347"/>
      <c r="M255" s="4" t="str">
        <f t="shared" ref="M255:M260" si="0">IF(mgmt_host_overlay_addressing_chosen&lt;&gt;"IP Pool","This input is masked out and only required if configuring IP Pools for Host Overlay","")</f>
        <v/>
      </c>
    </row>
    <row r="256" spans="5:13" ht="20.05" customHeight="1" x14ac:dyDescent="0.35">
      <c r="E256" s="7"/>
      <c r="F256" s="7"/>
      <c r="G256" s="7"/>
      <c r="H256" s="7"/>
      <c r="I256" s="7"/>
      <c r="J256" s="4" t="s">
        <v>263</v>
      </c>
      <c r="K256" s="80" t="s">
        <v>899</v>
      </c>
      <c r="L256" s="347"/>
      <c r="M256" s="4" t="str">
        <f t="shared" si="0"/>
        <v/>
      </c>
    </row>
    <row r="257" spans="1:13" ht="20.05" customHeight="1" x14ac:dyDescent="0.35">
      <c r="E257" s="7"/>
      <c r="F257" s="7"/>
      <c r="G257" s="7"/>
      <c r="H257" s="7"/>
      <c r="I257" s="7"/>
      <c r="J257" s="4" t="s">
        <v>460</v>
      </c>
      <c r="K257" s="80" t="str">
        <f>CONCATENATE(prefix_mgmt_az1_cidr,"14.0/24")</f>
        <v>10.11.14.0/24</v>
      </c>
      <c r="L257" s="347"/>
      <c r="M257" s="4" t="str">
        <f t="shared" si="0"/>
        <v/>
      </c>
    </row>
    <row r="258" spans="1:13" ht="20.05" customHeight="1" x14ac:dyDescent="0.35">
      <c r="E258" s="7"/>
      <c r="F258" s="7"/>
      <c r="G258" s="7"/>
      <c r="H258" s="7"/>
      <c r="I258" s="7"/>
      <c r="J258" s="4" t="s">
        <v>255</v>
      </c>
      <c r="K258" s="80" t="str">
        <f>CONCATENATE(prefix_mgmt_az1_cidr,"14.101")</f>
        <v>10.11.14.101</v>
      </c>
      <c r="L258" s="347"/>
      <c r="M258" s="4" t="str">
        <f t="shared" si="0"/>
        <v/>
      </c>
    </row>
    <row r="259" spans="1:13" ht="20.05" customHeight="1" x14ac:dyDescent="0.35">
      <c r="E259" s="7"/>
      <c r="F259" s="7"/>
      <c r="G259" s="7"/>
      <c r="H259" s="7"/>
      <c r="I259" s="7"/>
      <c r="J259" s="4" t="s">
        <v>256</v>
      </c>
      <c r="K259" s="80" t="str">
        <f>CONCATENATE(prefix_mgmt_az1_cidr,"14.132")</f>
        <v>10.11.14.132</v>
      </c>
      <c r="L259" s="347"/>
      <c r="M259" s="4" t="str">
        <f t="shared" si="0"/>
        <v/>
      </c>
    </row>
    <row r="260" spans="1:13" ht="20.05" customHeight="1" x14ac:dyDescent="0.35">
      <c r="E260" s="7"/>
      <c r="F260" s="7"/>
      <c r="G260" s="7"/>
      <c r="H260" s="7"/>
      <c r="I260" s="7"/>
      <c r="J260" s="4" t="s">
        <v>187</v>
      </c>
      <c r="K260" s="80" t="str">
        <f>CONCATENATE(prefix_mgmt_az1_cidr,"14.1")</f>
        <v>10.11.14.1</v>
      </c>
      <c r="L260" s="347"/>
      <c r="M260" s="4" t="str">
        <f t="shared" si="0"/>
        <v/>
      </c>
    </row>
    <row r="261" spans="1:13" ht="20.05" customHeight="1" x14ac:dyDescent="0.35">
      <c r="A261" s="8"/>
      <c r="B261" s="8"/>
      <c r="C261" s="8"/>
      <c r="D261" s="8"/>
      <c r="E261" s="7"/>
      <c r="F261" s="7"/>
      <c r="G261" s="7"/>
      <c r="H261" s="7"/>
      <c r="I261" s="7"/>
      <c r="J261" s="372"/>
      <c r="K261" s="344"/>
      <c r="L261" s="344"/>
      <c r="M261" s="344"/>
    </row>
    <row r="262" spans="1:13" ht="34" customHeight="1" x14ac:dyDescent="0.35">
      <c r="E262" s="7"/>
      <c r="F262" s="7"/>
      <c r="G262" s="7"/>
      <c r="H262" s="7"/>
      <c r="I262" s="7"/>
      <c r="J262" s="407" t="s">
        <v>1664</v>
      </c>
      <c r="K262" s="408"/>
      <c r="L262" s="408"/>
      <c r="M262" s="409"/>
    </row>
    <row r="263" spans="1:13" ht="20.05" customHeight="1" x14ac:dyDescent="0.35">
      <c r="E263" s="7"/>
      <c r="F263" s="7"/>
      <c r="G263" s="7"/>
      <c r="H263" s="7"/>
      <c r="I263" s="7"/>
      <c r="J263" s="496" t="s">
        <v>3893</v>
      </c>
      <c r="K263" s="497"/>
      <c r="L263" s="497"/>
      <c r="M263" s="498"/>
    </row>
    <row r="264" spans="1:13" ht="20.05" customHeight="1" x14ac:dyDescent="0.35">
      <c r="E264" s="7"/>
      <c r="F264" s="7"/>
      <c r="G264" s="7"/>
      <c r="H264" s="7"/>
      <c r="I264" s="7"/>
      <c r="J264" s="346" t="s">
        <v>17</v>
      </c>
      <c r="K264" s="346" t="s">
        <v>18</v>
      </c>
      <c r="L264" s="346" t="s">
        <v>19</v>
      </c>
      <c r="M264" s="346" t="s">
        <v>20</v>
      </c>
    </row>
    <row r="265" spans="1:13" ht="20.05" customHeight="1" x14ac:dyDescent="0.35">
      <c r="E265" s="7"/>
      <c r="F265" s="7"/>
      <c r="G265" s="7"/>
      <c r="H265" s="7"/>
      <c r="I265" s="7"/>
      <c r="J265" s="4" t="s">
        <v>3894</v>
      </c>
      <c r="K265" s="89" t="s">
        <v>3895</v>
      </c>
      <c r="L265" s="347" t="s">
        <v>3895</v>
      </c>
      <c r="M265" s="4" t="str">
        <f>IF(mgmt_domain_deployment_type_chosen="VMware vSphere Foundation","",IF(mgmt_vcf_installer_location_chosen="Deployed outside management domain","During the deployment process, a new SDDC Manager appliance will be deployed.","During the deployment process, the VCF installer will be converted to the SDDC Manager Appliance"))</f>
        <v>During the deployment process, the VCF installer will be converted to the SDDC Manager Appliance</v>
      </c>
    </row>
    <row r="266" spans="1:13" ht="20.05" customHeight="1" x14ac:dyDescent="0.35">
      <c r="E266" s="7"/>
      <c r="F266" s="7"/>
      <c r="G266" s="7"/>
      <c r="H266" s="7"/>
      <c r="I266" s="7"/>
      <c r="J266" s="4" t="s">
        <v>3831</v>
      </c>
      <c r="K266" s="89" t="str">
        <f>CONCATENATE(this_instance,"-vcf01",".",sample_child_dns_zone)</f>
        <v>sfo-vcf01.sfo.rainpole.io</v>
      </c>
      <c r="L266" s="347"/>
      <c r="M266" s="5" t="str">
        <f>IF(mgmt_vcf_installer_location_chosen="Deployed outside management domain","","Ensure this FQDN is used when setting the VCF Installer FQDN")</f>
        <v>Ensure this FQDN is used when setting the VCF Installer FQDN</v>
      </c>
    </row>
    <row r="267" spans="1:13" ht="20.05" customHeight="1" x14ac:dyDescent="0.35">
      <c r="E267" s="7"/>
      <c r="F267" s="7"/>
      <c r="G267" s="7"/>
      <c r="H267" s="7"/>
      <c r="I267" s="7"/>
      <c r="J267" s="4" t="s">
        <v>562</v>
      </c>
      <c r="K267" s="362" t="s">
        <v>141</v>
      </c>
      <c r="L267" s="347"/>
      <c r="M267" s="337" t="str">
        <f>IF(mgmt_domain_password_creation_chosen="Selected","Inputs are masked out as you have opted to deploy with system generated passwords","Minimum 12 Characters, 1 Uppercase, 1 Special")</f>
        <v>Minimum 12 Characters, 1 Uppercase, 1 Special</v>
      </c>
    </row>
    <row r="268" spans="1:13" ht="20.05" customHeight="1" x14ac:dyDescent="0.35">
      <c r="E268" s="7"/>
      <c r="F268" s="7"/>
      <c r="G268" s="7"/>
      <c r="H268" s="7"/>
      <c r="I268" s="7"/>
      <c r="J268" s="4" t="s">
        <v>3896</v>
      </c>
      <c r="K268" s="362" t="s">
        <v>141</v>
      </c>
      <c r="L268" s="347"/>
      <c r="M268" s="337" t="str">
        <f>IF(mgmt_domain_password_creation_chosen="Selected","Inputs are masked out as you have opted to deploy with system generated passwords","Minimum 12 Characters, 1 Uppercase, 1 Special")</f>
        <v>Minimum 12 Characters, 1 Uppercase, 1 Special</v>
      </c>
    </row>
    <row r="269" spans="1:13" ht="20.05" customHeight="1" x14ac:dyDescent="0.35">
      <c r="E269" s="7"/>
      <c r="F269" s="7"/>
      <c r="G269" s="7"/>
      <c r="H269" s="7"/>
      <c r="I269" s="7"/>
      <c r="J269" s="4" t="s">
        <v>3828</v>
      </c>
      <c r="K269" s="362" t="s">
        <v>141</v>
      </c>
      <c r="L269" s="347"/>
      <c r="M269" s="337" t="str">
        <f>IF(mgmt_domain_password_creation_chosen="Selected","Inputs are masked out as you have opted to deploy with system generated passwords","Minimum 12 Characters, 1 Uppercase, 1 Special")</f>
        <v>Minimum 12 Characters, 1 Uppercase, 1 Special</v>
      </c>
    </row>
    <row r="270" spans="1:13" ht="16" customHeight="1" x14ac:dyDescent="0.35">
      <c r="E270" s="7"/>
      <c r="F270" s="7"/>
      <c r="G270" s="7"/>
      <c r="H270" s="7"/>
      <c r="I270" s="7"/>
    </row>
    <row r="271" spans="1:13" ht="34" customHeight="1" x14ac:dyDescent="0.35">
      <c r="E271" s="7"/>
      <c r="F271" s="7"/>
      <c r="G271" s="7"/>
      <c r="H271" s="7"/>
      <c r="I271" s="7"/>
      <c r="J271" s="335" t="s">
        <v>3897</v>
      </c>
      <c r="K271" s="335"/>
      <c r="L271" s="335"/>
      <c r="M271" s="335"/>
    </row>
    <row r="272" spans="1:13" ht="20.05" customHeight="1" x14ac:dyDescent="0.35">
      <c r="E272" s="7"/>
      <c r="F272" s="7"/>
      <c r="G272" s="7"/>
      <c r="H272" s="7"/>
      <c r="I272" s="7"/>
      <c r="J272" s="346" t="s">
        <v>17</v>
      </c>
      <c r="K272" s="346" t="s">
        <v>18</v>
      </c>
      <c r="L272" s="346" t="s">
        <v>19</v>
      </c>
      <c r="M272" s="346" t="s">
        <v>20</v>
      </c>
    </row>
    <row r="273" spans="5:13" ht="20.05" customHeight="1" x14ac:dyDescent="0.35">
      <c r="E273" s="7"/>
      <c r="F273" s="7"/>
      <c r="G273" s="7"/>
      <c r="H273" s="7"/>
      <c r="I273" s="7"/>
      <c r="J273" s="496" t="s">
        <v>213</v>
      </c>
      <c r="K273" s="497"/>
      <c r="L273" s="497"/>
      <c r="M273" s="498"/>
    </row>
    <row r="274" spans="5:13" ht="20.05" customHeight="1" x14ac:dyDescent="0.4">
      <c r="F274" s="7"/>
      <c r="G274" s="7"/>
      <c r="H274" s="7"/>
      <c r="I274" s="7"/>
      <c r="J274" s="128" t="s">
        <v>85</v>
      </c>
      <c r="K274" s="362" t="str">
        <f>sample_mgmt_az1_mgmt_vlan</f>
        <v>1111</v>
      </c>
      <c r="L274" s="163" t="str">
        <f>mgmt_az1_mgmt_vlan</f>
        <v>Value Missing</v>
      </c>
      <c r="M274" s="337"/>
    </row>
    <row r="275" spans="5:13" ht="20.05" customHeight="1" x14ac:dyDescent="0.4">
      <c r="E275" s="7"/>
      <c r="F275" s="7"/>
      <c r="G275" s="7"/>
      <c r="H275" s="7"/>
      <c r="I275" s="7"/>
      <c r="J275" s="128" t="s">
        <v>187</v>
      </c>
      <c r="K275" s="362" t="str">
        <f>sample_mgmt_az1_mgmt_gateway_ip</f>
        <v>10.11.11.1</v>
      </c>
      <c r="L275" s="163" t="str">
        <f>mgmt_az1_mgmt_gateway_ip</f>
        <v>Value Missing</v>
      </c>
      <c r="M275" s="337"/>
    </row>
    <row r="276" spans="5:13" ht="20.05" customHeight="1" x14ac:dyDescent="0.4">
      <c r="E276" s="7"/>
      <c r="F276" s="7"/>
      <c r="G276" s="7"/>
      <c r="H276" s="7"/>
      <c r="I276" s="7"/>
      <c r="J276" s="128" t="s">
        <v>188</v>
      </c>
      <c r="K276" s="362" t="str">
        <f>sample_mgmt_az1_mgmt_cidr</f>
        <v>10.11.11.0/24</v>
      </c>
      <c r="L276" s="163" t="str">
        <f>mgmt_az1_mgmt_cidr</f>
        <v>Value Missing</v>
      </c>
      <c r="M276" s="337"/>
    </row>
    <row r="277" spans="5:13" ht="20.05" customHeight="1" x14ac:dyDescent="0.35">
      <c r="E277" s="7"/>
      <c r="F277" s="7"/>
      <c r="G277" s="7"/>
      <c r="H277" s="7"/>
      <c r="I277" s="7"/>
      <c r="J277" s="4" t="s">
        <v>160</v>
      </c>
      <c r="K277" s="362">
        <f>sample_mgmt_az1_mgmt_mtu</f>
        <v>1500</v>
      </c>
      <c r="L277" s="163" t="str">
        <f>mgmt_az1_mgmt_mtu</f>
        <v>Value Missing</v>
      </c>
      <c r="M277" s="337"/>
    </row>
    <row r="278" spans="5:13" ht="20.05" customHeight="1" x14ac:dyDescent="0.35">
      <c r="E278" s="7"/>
      <c r="F278" s="7"/>
      <c r="G278" s="7"/>
      <c r="H278" s="7"/>
      <c r="I278" s="7"/>
      <c r="J278" s="502" t="s">
        <v>932</v>
      </c>
      <c r="K278" s="503"/>
      <c r="L278" s="503"/>
      <c r="M278" s="504"/>
    </row>
    <row r="279" spans="5:13" ht="20.05" customHeight="1" x14ac:dyDescent="0.4">
      <c r="E279" s="7"/>
      <c r="F279" s="7"/>
      <c r="G279" s="7"/>
      <c r="H279" s="7"/>
      <c r="I279" s="7"/>
      <c r="J279" s="128" t="s">
        <v>85</v>
      </c>
      <c r="K279" s="80" t="str">
        <f>sample_mgmt_az1_mgmt_vm_vlan</f>
        <v>1110</v>
      </c>
      <c r="L279" s="337" t="str">
        <f>mgmt_az1_mgmt_vm_vlan</f>
        <v>Value Missing</v>
      </c>
      <c r="M279" s="345"/>
    </row>
    <row r="280" spans="5:13" ht="20.05" customHeight="1" x14ac:dyDescent="0.4">
      <c r="E280" s="7"/>
      <c r="F280" s="7"/>
      <c r="G280" s="7"/>
      <c r="H280" s="7"/>
      <c r="I280" s="7"/>
      <c r="J280" s="128" t="s">
        <v>187</v>
      </c>
      <c r="K280" s="80" t="str">
        <f>sample_mgmt_az1_mgmt_vm_gateway_ip</f>
        <v>10.11.10.1</v>
      </c>
      <c r="L280" s="337" t="str">
        <f>mgmt_az1_mgmt_vm_gateway_ip</f>
        <v>Value Missing</v>
      </c>
      <c r="M280" s="345"/>
    </row>
    <row r="281" spans="5:13" ht="20.05" customHeight="1" x14ac:dyDescent="0.4">
      <c r="E281" s="7"/>
      <c r="F281" s="7"/>
      <c r="G281" s="7"/>
      <c r="H281" s="7"/>
      <c r="I281" s="7"/>
      <c r="J281" s="128" t="s">
        <v>188</v>
      </c>
      <c r="K281" s="80" t="str">
        <f>sample_mgmt_az1_mgmt_vm_cidr</f>
        <v>10.11.10.0/24</v>
      </c>
      <c r="L281" s="337" t="str">
        <f>mgmt_az1_mgmt_vm_cidr</f>
        <v>Value Missing</v>
      </c>
      <c r="M281" s="345"/>
    </row>
    <row r="282" spans="5:13" ht="20.05" customHeight="1" x14ac:dyDescent="0.35">
      <c r="E282" s="7"/>
      <c r="F282" s="7"/>
      <c r="G282" s="7"/>
      <c r="H282" s="7"/>
      <c r="I282" s="7"/>
      <c r="J282" s="4" t="s">
        <v>160</v>
      </c>
      <c r="K282" s="80">
        <f>sample_mgmt_az1_mgmt_vm_mtu</f>
        <v>1500</v>
      </c>
      <c r="L282" s="337" t="str">
        <f>mgmt_az1_mgmt_vm_mtu</f>
        <v>Value Missing</v>
      </c>
      <c r="M282" s="345"/>
    </row>
    <row r="283" spans="5:13" ht="20.05" customHeight="1" x14ac:dyDescent="0.35">
      <c r="E283" s="7"/>
      <c r="F283" s="7"/>
      <c r="G283" s="7"/>
      <c r="H283" s="7"/>
      <c r="I283" s="7"/>
      <c r="J283" s="496" t="s">
        <v>251</v>
      </c>
      <c r="K283" s="497"/>
      <c r="L283" s="497"/>
      <c r="M283" s="498"/>
    </row>
    <row r="284" spans="5:13" ht="20.05" customHeight="1" x14ac:dyDescent="0.35">
      <c r="E284" s="7"/>
      <c r="F284" s="7"/>
      <c r="G284" s="7"/>
      <c r="H284" s="7"/>
      <c r="I284" s="7"/>
      <c r="J284" s="4" t="s">
        <v>85</v>
      </c>
      <c r="K284" s="80" t="str">
        <f>sample_mgmt_az1_vmotion_vlan</f>
        <v>1112</v>
      </c>
      <c r="L284" s="163" t="str">
        <f>mgmt_az1_vmotion_vlan</f>
        <v>Value Missing</v>
      </c>
      <c r="M284" s="93"/>
    </row>
    <row r="285" spans="5:13" ht="20.05" customHeight="1" x14ac:dyDescent="0.35">
      <c r="E285" s="7"/>
      <c r="F285" s="7"/>
      <c r="G285" s="7"/>
      <c r="H285" s="7"/>
      <c r="I285" s="7"/>
      <c r="J285" s="4" t="s">
        <v>187</v>
      </c>
      <c r="K285" s="80" t="str">
        <f>sample_mgmt_az1_vmotion_gateway_ip</f>
        <v>10.11.12.1</v>
      </c>
      <c r="L285" s="163" t="str">
        <f>mgmt_az1_vmotion_gateway_ip</f>
        <v>Value Missing</v>
      </c>
      <c r="M285" s="337"/>
    </row>
    <row r="286" spans="5:13" ht="20.05" customHeight="1" x14ac:dyDescent="0.35">
      <c r="E286" s="7"/>
      <c r="F286" s="7"/>
      <c r="G286" s="7"/>
      <c r="H286" s="7"/>
      <c r="I286" s="7"/>
      <c r="J286" s="4" t="s">
        <v>188</v>
      </c>
      <c r="K286" s="80" t="str">
        <f>sample_mgmt_az1_vmotion_cidr</f>
        <v>10.11.12.0/24</v>
      </c>
      <c r="L286" s="163" t="str">
        <f>mgmt_az1_vmotion_cidr</f>
        <v>Value Missing</v>
      </c>
      <c r="M286" s="337"/>
    </row>
    <row r="287" spans="5:13" ht="20.05" customHeight="1" x14ac:dyDescent="0.35">
      <c r="E287" s="7"/>
      <c r="F287" s="7"/>
      <c r="G287" s="7"/>
      <c r="H287" s="7"/>
      <c r="I287" s="7"/>
      <c r="J287" s="4" t="s">
        <v>160</v>
      </c>
      <c r="K287" s="80">
        <f>sample_mgmt_az1_vmotion_mtu</f>
        <v>9000</v>
      </c>
      <c r="L287" s="163" t="str">
        <f>mgmt_az1_vmotion_mtu</f>
        <v>Value Missing</v>
      </c>
      <c r="M287" s="337"/>
    </row>
    <row r="288" spans="5:13" ht="20.05" customHeight="1" x14ac:dyDescent="0.35">
      <c r="E288" s="7"/>
      <c r="F288" s="7"/>
      <c r="G288" s="7"/>
      <c r="H288" s="7"/>
      <c r="I288" s="7"/>
      <c r="J288" s="17" t="s">
        <v>255</v>
      </c>
      <c r="K288" s="80" t="str">
        <f>sample_mgmt_az1_vmotion_pool_start_ip</f>
        <v>10.11.12.101</v>
      </c>
      <c r="L288" s="163" t="str">
        <f>mgmt_az1_vmotion_pool_start_ip</f>
        <v>Value Missing</v>
      </c>
      <c r="M288" s="337"/>
    </row>
    <row r="289" spans="5:13" ht="20.05" customHeight="1" x14ac:dyDescent="0.35">
      <c r="E289" s="7"/>
      <c r="F289" s="7"/>
      <c r="G289" s="7"/>
      <c r="H289" s="7"/>
      <c r="I289" s="7"/>
      <c r="J289" s="17" t="s">
        <v>256</v>
      </c>
      <c r="K289" s="80" t="str">
        <f>sample_mgmt_az1_vmotion_pool_end_ip</f>
        <v>10.11.12.116</v>
      </c>
      <c r="L289" s="163" t="str">
        <f>mgmt_az1_vmotion_pool_end_ip</f>
        <v>Value Missing</v>
      </c>
      <c r="M289" s="337"/>
    </row>
    <row r="290" spans="5:13" ht="20.05" customHeight="1" x14ac:dyDescent="0.35">
      <c r="E290" s="7"/>
      <c r="F290" s="7"/>
      <c r="G290" s="7"/>
      <c r="H290" s="7"/>
      <c r="I290" s="7"/>
      <c r="J290" s="496" t="s">
        <v>257</v>
      </c>
      <c r="K290" s="497"/>
      <c r="L290" s="497"/>
      <c r="M290" s="498"/>
    </row>
    <row r="291" spans="5:13" ht="20.05" customHeight="1" x14ac:dyDescent="0.35">
      <c r="E291" s="7"/>
      <c r="F291" s="7"/>
      <c r="G291" s="7"/>
      <c r="H291" s="7"/>
      <c r="I291" s="7"/>
      <c r="J291" s="4" t="s">
        <v>85</v>
      </c>
      <c r="K291" s="80" t="str">
        <f>sample_mgmt_az1_vsan_vlan</f>
        <v>1113</v>
      </c>
      <c r="L291" s="163" t="str">
        <f>mgmt_az1_vsan_vlan</f>
        <v>Value Missing</v>
      </c>
      <c r="M291" s="345"/>
    </row>
    <row r="292" spans="5:13" ht="20.05" customHeight="1" x14ac:dyDescent="0.35">
      <c r="E292" s="7"/>
      <c r="F292" s="7"/>
      <c r="G292" s="7"/>
      <c r="H292" s="7"/>
      <c r="I292" s="7"/>
      <c r="J292" s="4" t="s">
        <v>187</v>
      </c>
      <c r="K292" s="80" t="str">
        <f>sample_mgmt_az1_vsan_gateway_ip</f>
        <v>10.11.13.1</v>
      </c>
      <c r="L292" s="163" t="str">
        <f>mgmt_az1_vsan_gateway_ip</f>
        <v>Value Missing</v>
      </c>
      <c r="M292" s="345" t="str">
        <f>IF(AND(mgmt_stretched_cluster_result="Included",mgmt_dpg_reuse_result="Excluded"),"Stretched L2","")</f>
        <v/>
      </c>
    </row>
    <row r="293" spans="5:13" ht="20.05" customHeight="1" x14ac:dyDescent="0.35">
      <c r="E293" s="7"/>
      <c r="F293" s="7"/>
      <c r="G293" s="7"/>
      <c r="H293" s="7"/>
      <c r="I293" s="7"/>
      <c r="J293" s="4" t="s">
        <v>188</v>
      </c>
      <c r="K293" s="80" t="str">
        <f>sample_mgmt_az1_vsan_cidr</f>
        <v>10.11.13.0/24</v>
      </c>
      <c r="L293" s="163" t="str">
        <f>mgmt_az1_vsan_cidr</f>
        <v>Value Missing</v>
      </c>
      <c r="M293" s="345"/>
    </row>
    <row r="294" spans="5:13" ht="20.05" customHeight="1" x14ac:dyDescent="0.35">
      <c r="E294" s="7"/>
      <c r="F294" s="7"/>
      <c r="G294" s="7"/>
      <c r="H294" s="7"/>
      <c r="I294" s="7"/>
      <c r="J294" s="4" t="s">
        <v>160</v>
      </c>
      <c r="K294" s="80">
        <f>sample_mgmt_az1_vsan_mtu</f>
        <v>9000</v>
      </c>
      <c r="L294" s="163" t="str">
        <f>mgmt_az1_vsan_mtu</f>
        <v>Value Missing</v>
      </c>
      <c r="M294" s="345"/>
    </row>
    <row r="295" spans="5:13" ht="20.05" customHeight="1" x14ac:dyDescent="0.35">
      <c r="E295" s="7"/>
      <c r="F295" s="7"/>
      <c r="G295" s="7"/>
      <c r="H295" s="7"/>
      <c r="I295" s="7"/>
      <c r="J295" s="17" t="s">
        <v>255</v>
      </c>
      <c r="K295" s="80" t="str">
        <f>sample_mgmt_az1_vsan_pool_start_ip</f>
        <v>10.11.13.101</v>
      </c>
      <c r="L295" s="163" t="str">
        <f>mgmt_az1_vsan_pool_start_ip</f>
        <v>Value Missing</v>
      </c>
      <c r="M295" s="345"/>
    </row>
    <row r="296" spans="5:13" ht="20.05" customHeight="1" x14ac:dyDescent="0.35">
      <c r="E296" s="7"/>
      <c r="F296" s="7"/>
      <c r="G296" s="7"/>
      <c r="H296" s="7"/>
      <c r="I296" s="7"/>
      <c r="J296" s="17" t="s">
        <v>256</v>
      </c>
      <c r="K296" s="80" t="str">
        <f>sample_mgmt_az1_vsan_pool_end_ip</f>
        <v>10.11.13.116</v>
      </c>
      <c r="L296" s="163" t="str">
        <f>mgmt_az1_vsan_pool_end_ip</f>
        <v>Value Missing</v>
      </c>
      <c r="M296" s="345"/>
    </row>
    <row r="297" spans="5:13" ht="20.05" customHeight="1" x14ac:dyDescent="0.35">
      <c r="E297" s="7"/>
      <c r="F297" s="7"/>
      <c r="G297" s="7"/>
      <c r="H297" s="7"/>
      <c r="I297" s="7"/>
      <c r="J297" s="496" t="s">
        <v>938</v>
      </c>
      <c r="K297" s="497"/>
      <c r="L297" s="497"/>
      <c r="M297" s="498"/>
    </row>
    <row r="298" spans="5:13" ht="20.05" customHeight="1" x14ac:dyDescent="0.35">
      <c r="E298" s="7"/>
      <c r="F298" s="7"/>
      <c r="G298" s="7"/>
      <c r="H298" s="7"/>
      <c r="I298" s="7"/>
      <c r="J298" s="4" t="s">
        <v>85</v>
      </c>
      <c r="K298" s="80" t="str">
        <f>sample_mgmt_az1_host_overlay_vlan</f>
        <v>1114</v>
      </c>
      <c r="L298" s="163" t="str">
        <f>mgmt_az1_host_overlay_vlan</f>
        <v>Value Missing</v>
      </c>
      <c r="M298" s="337"/>
    </row>
    <row r="299" spans="5:13" ht="20.05" customHeight="1" x14ac:dyDescent="0.35">
      <c r="E299" s="7"/>
      <c r="F299" s="7"/>
      <c r="G299" s="7"/>
      <c r="H299" s="7"/>
      <c r="I299" s="7"/>
      <c r="J299" s="4" t="s">
        <v>187</v>
      </c>
      <c r="K299" s="80" t="str">
        <f>sample_mgmt_az1_host_overlay_gateway_ip</f>
        <v>10.11.14.1</v>
      </c>
      <c r="L299" s="163" t="str">
        <f>mgmt_az1_host_overlay_gateway_ip</f>
        <v>Value Missing</v>
      </c>
      <c r="M299" s="337"/>
    </row>
    <row r="300" spans="5:13" ht="20.05" customHeight="1" x14ac:dyDescent="0.35">
      <c r="E300" s="7"/>
      <c r="F300" s="7"/>
      <c r="G300" s="7"/>
      <c r="H300" s="7"/>
      <c r="I300" s="7"/>
      <c r="J300" s="4" t="s">
        <v>188</v>
      </c>
      <c r="K300" s="80" t="str">
        <f>sample_mgmt_az1_host_overlay_cidr</f>
        <v>10.11.14.0/24</v>
      </c>
      <c r="L300" s="163" t="str">
        <f>mgmt_az1_host_overlay_cidr</f>
        <v>Value Missing</v>
      </c>
      <c r="M300" s="337"/>
    </row>
    <row r="301" spans="5:13" ht="20.05" customHeight="1" x14ac:dyDescent="0.35">
      <c r="E301" s="7"/>
      <c r="F301" s="7"/>
      <c r="G301" s="7"/>
      <c r="H301" s="7"/>
      <c r="I301" s="7"/>
      <c r="J301" s="4" t="s">
        <v>160</v>
      </c>
      <c r="K301" s="80">
        <v>9000</v>
      </c>
      <c r="L301" s="164"/>
      <c r="M301" s="337"/>
    </row>
    <row r="302" spans="5:13" ht="20.05" customHeight="1" x14ac:dyDescent="0.35">
      <c r="E302" s="7"/>
      <c r="F302" s="7"/>
      <c r="G302" s="7"/>
      <c r="H302" s="7"/>
      <c r="I302" s="7"/>
      <c r="J302" s="17" t="s">
        <v>255</v>
      </c>
      <c r="K302" s="80" t="str">
        <f>sample_mgmt_az1_host_overlay_pool_start_ip</f>
        <v>10.11.14.101</v>
      </c>
      <c r="L302" s="163" t="str">
        <f>mgmt_az1_host_overlay_pool_start_ip</f>
        <v>Value Missing</v>
      </c>
      <c r="M302" s="337"/>
    </row>
    <row r="303" spans="5:13" ht="20.05" customHeight="1" x14ac:dyDescent="0.35">
      <c r="E303" s="7"/>
      <c r="F303" s="7"/>
      <c r="G303" s="7"/>
      <c r="H303" s="7"/>
      <c r="I303" s="7"/>
      <c r="J303" s="17" t="s">
        <v>256</v>
      </c>
      <c r="K303" s="80" t="str">
        <f>sample_mgmt_az1_host_overlay_pool_end_ip</f>
        <v>10.11.14.132</v>
      </c>
      <c r="L303" s="163" t="str">
        <f>mgmt_az1_host_overlay_pool_end_ip</f>
        <v>Value Missing</v>
      </c>
      <c r="M303" s="337"/>
    </row>
    <row r="304" spans="5:13" ht="20.05" customHeight="1" x14ac:dyDescent="0.35">
      <c r="E304" s="7"/>
      <c r="F304" s="7"/>
      <c r="G304" s="7"/>
      <c r="H304" s="7"/>
      <c r="I304" s="7"/>
      <c r="J304" s="462" t="s">
        <v>3898</v>
      </c>
      <c r="K304" s="463"/>
      <c r="L304" s="463"/>
      <c r="M304" s="464"/>
    </row>
    <row r="305" spans="5:14" ht="20.05" customHeight="1" x14ac:dyDescent="0.35">
      <c r="E305" s="7"/>
      <c r="F305" s="7"/>
      <c r="G305" s="7"/>
      <c r="H305" s="7"/>
      <c r="I305" s="7"/>
      <c r="J305" s="96" t="s">
        <v>3899</v>
      </c>
      <c r="K305" s="346" t="s">
        <v>940</v>
      </c>
      <c r="L305" s="97" t="s">
        <v>941</v>
      </c>
      <c r="M305" s="346" t="s">
        <v>20</v>
      </c>
    </row>
    <row r="306" spans="5:14" ht="20.05" customHeight="1" x14ac:dyDescent="0.35">
      <c r="E306" s="7"/>
      <c r="F306" s="7"/>
      <c r="G306" s="7"/>
      <c r="H306" s="7"/>
      <c r="I306" s="7"/>
      <c r="J306" s="347" t="str">
        <f>xreg_vrslcm_fqdn</f>
        <v>Value Missing</v>
      </c>
      <c r="K306" s="98" t="str">
        <f>IF(mgmt_dpg_reuse_result="Included",CONCATENATE(prefix_mgmt_az1_cidr,"10.28"),CONCATENATE(prefix_mgmt_az1_cidr,"11.28"))</f>
        <v>10.11.10.28</v>
      </c>
      <c r="L306" s="347"/>
      <c r="M306" s="337" t="s">
        <v>3899</v>
      </c>
    </row>
    <row r="307" spans="5:14" ht="20.05" customHeight="1" x14ac:dyDescent="0.35">
      <c r="E307" s="7"/>
      <c r="F307" s="7"/>
      <c r="G307" s="7"/>
      <c r="H307" s="7"/>
      <c r="I307" s="7"/>
      <c r="J307" s="346" t="s">
        <v>3900</v>
      </c>
      <c r="K307" s="346" t="s">
        <v>940</v>
      </c>
      <c r="L307" s="97" t="s">
        <v>941</v>
      </c>
      <c r="M307" s="346" t="s">
        <v>20</v>
      </c>
    </row>
    <row r="308" spans="5:14" ht="20.05" customHeight="1" x14ac:dyDescent="0.35">
      <c r="E308" s="7"/>
      <c r="F308" s="7"/>
      <c r="G308" s="7"/>
      <c r="H308" s="7"/>
      <c r="I308" s="7"/>
      <c r="J308" s="347" t="str">
        <f>xreg_vrops_nodea_fqdn</f>
        <v>Value Missing</v>
      </c>
      <c r="K308" s="80" t="str">
        <f>IF(mgmt_vcf_management_network_chosen="Use VM management network",IF(mgmt_dpg_reuse_result="Included",CONCATENATE(prefix_mgmt_az1_cidr,"10.52"),CONCATENATE(prefix_mgmt_az1_cidr,"11.52")),CONCATENATE(prefix_flt_shared_cidr,".52"))</f>
        <v>10.11.10.52</v>
      </c>
      <c r="L308" s="347"/>
      <c r="M308" s="99" t="str">
        <f>IF(mgmt_domain_ops_automation_later_chosen="Selected","Inputs are masked out as you have opted to deploy VCF Ops and Automation post MGMT Domain deployment","Primary node of VCF Operations")</f>
        <v>Primary node of VCF Operations</v>
      </c>
    </row>
    <row r="309" spans="5:14" ht="20.05" customHeight="1" x14ac:dyDescent="0.35">
      <c r="E309" s="7"/>
      <c r="F309" s="7"/>
      <c r="G309" s="7"/>
      <c r="H309" s="7"/>
      <c r="I309" s="7"/>
      <c r="J309" s="347" t="str">
        <f>xreg_vrops_nodeb_fqdn</f>
        <v>Value Missing</v>
      </c>
      <c r="K309" s="80" t="str">
        <f>IF(mgmt_vcf_management_network_chosen="Use VM management network",IF(mgmt_dpg_reuse_result="Included",CONCATENATE(prefix_mgmt_az1_cidr,"10.53"),CONCATENATE(prefix_mgmt_az1_cidr,"11.53")),CONCATENATE(prefix_flt_shared_cidr,".53"))</f>
        <v>10.11.10.53</v>
      </c>
      <c r="L309" s="347"/>
      <c r="M309" s="99" t="str">
        <f>IF(mgmt_domain_ops_automation_later_chosen="Selected","Inputs are masked out as you have opted to deploy VCF Ops and Automation post MGMT Domain deployment","Primary replica node of VCF Operations")</f>
        <v>Primary replica node of VCF Operations</v>
      </c>
    </row>
    <row r="310" spans="5:14" ht="20.05" customHeight="1" x14ac:dyDescent="0.35">
      <c r="E310" s="7"/>
      <c r="F310" s="7"/>
      <c r="G310" s="7"/>
      <c r="H310" s="7"/>
      <c r="I310" s="7"/>
      <c r="J310" s="347" t="str">
        <f>xreg_vrops_nodec_fqdn</f>
        <v>Value Missing</v>
      </c>
      <c r="K310" s="80" t="str">
        <f>IF(mgmt_vcf_management_network_chosen="Use VM management network",IF(mgmt_dpg_reuse_result="Included",CONCATENATE(prefix_mgmt_az1_cidr,"10.54"),CONCATENATE(prefix_mgmt_az1_cidr,"11.54")),CONCATENATE(prefix_flt_shared_cidr,".54"))</f>
        <v>10.11.10.54</v>
      </c>
      <c r="L310" s="347"/>
      <c r="M310" s="99" t="str">
        <f>IF(mgmt_domain_ops_automation_later_chosen="Selected","Inputs are masked out as you have opted to deploy VCF Ops and Automation post MGMT Domain deployment","Data node 1 of VCF Operations")</f>
        <v>Data node 1 of VCF Operations</v>
      </c>
    </row>
    <row r="311" spans="5:14" ht="20.05" customHeight="1" x14ac:dyDescent="0.35">
      <c r="E311" s="7"/>
      <c r="F311" s="7"/>
      <c r="G311" s="7"/>
      <c r="H311" s="7"/>
      <c r="I311" s="7"/>
      <c r="J311" s="347" t="str">
        <f>xreg_vrops_collector_fqdn</f>
        <v>Value Missing</v>
      </c>
      <c r="K311" s="80" t="str">
        <f>IF(mgmt_dpg_reuse_result="Included",CONCATENATE(prefix_mgmt_az1_cidr,"10.12"),CONCATENATE(prefix_mgmt_az1_cidr,"11.12"))</f>
        <v>10.11.10.12</v>
      </c>
      <c r="L311" s="347"/>
      <c r="M311" s="99" t="str">
        <f>IF(mgmt_domain_ops_automation_later_chosen="Selected","Inputs are masked out as you have opted to deploy VCF Ops and Automation post MGMT Domain deployment","Operations Collector Appliance")</f>
        <v>Operations Collector Appliance</v>
      </c>
    </row>
    <row r="312" spans="5:14" ht="20.05" customHeight="1" x14ac:dyDescent="0.35">
      <c r="E312" s="7"/>
      <c r="F312" s="7"/>
      <c r="G312" s="7"/>
      <c r="H312" s="7"/>
      <c r="I312" s="7"/>
      <c r="J312" s="346" t="s">
        <v>2754</v>
      </c>
      <c r="K312" s="346" t="s">
        <v>940</v>
      </c>
      <c r="L312" s="97" t="s">
        <v>941</v>
      </c>
      <c r="M312" s="346" t="s">
        <v>20</v>
      </c>
    </row>
    <row r="313" spans="5:14" ht="20.05" customHeight="1" x14ac:dyDescent="0.35">
      <c r="E313" s="7"/>
      <c r="F313" s="7"/>
      <c r="G313" s="7"/>
      <c r="H313" s="7"/>
      <c r="I313" s="7"/>
      <c r="J313" s="347" t="str">
        <f>xreg_vrops_virtual_fqdn</f>
        <v>Value Missing</v>
      </c>
      <c r="K313" s="80" t="str">
        <f>IF(mgmt_vcf_management_network_chosen="Use VM management network",IF(mgmt_dpg_reuse_result="Included",CONCATENATE(prefix_mgmt_az1_cidr,"10.21"),CONCATENATE(prefix_mgmt_az1_cidr,"11.21")),CONCATENATE(prefix_flt_shared_cidr,".21"))</f>
        <v>10.11.10.21</v>
      </c>
      <c r="L313" s="347"/>
      <c r="M313" s="337" t="str">
        <f>IF(mgmt_domain_ops_automation_later_chosen="Selected","Inputs are masked out as you have opted to deploy VCF Ops and Automation post MGMT Domain deployment","VCF Operations VIP - Optional: For a high availability deployment, you can connect an external load balancer")</f>
        <v>VCF Operations VIP - Optional: For a high availability deployment, you can connect an external load balancer</v>
      </c>
    </row>
    <row r="314" spans="5:14" ht="20.05" customHeight="1" x14ac:dyDescent="0.35">
      <c r="E314" s="7"/>
      <c r="F314" s="7"/>
      <c r="G314" s="7"/>
      <c r="H314" s="7"/>
      <c r="I314" s="7"/>
      <c r="J314" s="346" t="s">
        <v>3807</v>
      </c>
      <c r="K314" s="346" t="s">
        <v>940</v>
      </c>
      <c r="L314" s="97" t="s">
        <v>941</v>
      </c>
      <c r="M314" s="346" t="s">
        <v>20</v>
      </c>
    </row>
    <row r="315" spans="5:14" ht="20.05" customHeight="1" x14ac:dyDescent="0.35">
      <c r="E315" s="7"/>
      <c r="F315" s="7"/>
      <c r="G315" s="7"/>
      <c r="H315" s="7"/>
      <c r="I315" s="7"/>
      <c r="J315" s="347" t="str">
        <f>xreg_vra_virtual_fqdn</f>
        <v>Value Missing</v>
      </c>
      <c r="K315" s="80" t="str">
        <f>IF(mgmt_vcf_management_network_chosen="Use VM management network",IF(mgmt_dpg_reuse_result="Included",CONCATENATE(prefix_mgmt_az1_cidr,"10.25"),CONCATENATE(prefix_mgmt_az1_cidr,"11.25")),CONCATENATE(prefix_flt_shared_cidr,".25"))</f>
        <v>10.11.10.25</v>
      </c>
      <c r="L315" s="347"/>
      <c r="M315" s="99" t="str">
        <f>IF(mgmt_domain_ops_automation_later_chosen="Selected","Inputs are masked out as you have opted to deploy VCF Ops and Automation post MGMT Domain deployment","")</f>
        <v/>
      </c>
    </row>
    <row r="316" spans="5:14" ht="20.05" customHeight="1" x14ac:dyDescent="0.35">
      <c r="E316" s="7"/>
      <c r="F316" s="7"/>
      <c r="G316" s="7"/>
      <c r="H316" s="7"/>
      <c r="I316" s="7"/>
      <c r="J316" s="347" t="s">
        <v>2729</v>
      </c>
      <c r="K316" s="80" t="str">
        <f>IF(mgmt_vcf_management_network_chosen="Use VM management network",IF(mgmt_dpg_reuse_result="Included",CONCATENATE(prefix_mgmt_az1_cidr,"10.46"),CONCATENATE(prefix_mgmt_az1_cidr,"11.46")),CONCATENATE(prefix_flt_shared_cidr,".46"))</f>
        <v>10.11.10.46</v>
      </c>
      <c r="L316" s="337" t="str">
        <f>IF(ISBLANK(input_xreg_vra_nodea_ip),"Value Missing",input_xreg_vra_nodea_ip)</f>
        <v>Value Missing</v>
      </c>
      <c r="M316" s="99" t="str">
        <f>IF(mgmt_domain_ops_automation_later_chosen="Selected","Inputs are masked out as you have opted to deploy VCF Ops and Automation post MGMT Domain deployment","")</f>
        <v/>
      </c>
    </row>
    <row r="317" spans="5:14" ht="20.05" customHeight="1" x14ac:dyDescent="0.35">
      <c r="E317" s="7"/>
      <c r="F317" s="7"/>
      <c r="G317" s="7"/>
      <c r="H317" s="7"/>
      <c r="I317" s="7"/>
      <c r="J317" s="347" t="s">
        <v>2729</v>
      </c>
      <c r="K317" s="80" t="str">
        <f>IF(mgmt_vcf_management_network_chosen="Use VM management network",IF(mgmt_dpg_reuse_result="Included",CONCATENATE(prefix_mgmt_az1_cidr,"10.47"),CONCATENATE(prefix_mgmt_az1_cidr,"11.47")),CONCATENATE(prefix_flt_shared_cidr,".47"))</f>
        <v>10.11.10.47</v>
      </c>
      <c r="L317" s="337" t="str">
        <f>IF(ISBLANK(input_xreg_vra_nodeb_ip),"Value Missing",input_xreg_vra_nodeb_ip)</f>
        <v>Value Missing</v>
      </c>
      <c r="M317" s="99" t="str">
        <f>IF(mgmt_domain_ops_automation_later_chosen="Selected","Inputs are masked out as you have opted to deploy VCF Ops and Automation post MGMT Domain deployment","")</f>
        <v/>
      </c>
    </row>
    <row r="318" spans="5:14" ht="20.05" customHeight="1" x14ac:dyDescent="0.35">
      <c r="E318" s="7"/>
      <c r="F318" s="7"/>
      <c r="G318" s="7"/>
      <c r="H318" s="7"/>
      <c r="I318" s="7"/>
      <c r="J318" s="347" t="s">
        <v>2729</v>
      </c>
      <c r="K318" s="80" t="str">
        <f>IF(mgmt_vcf_management_network_chosen="Use VM management network",IF(mgmt_dpg_reuse_result="Included",CONCATENATE(prefix_mgmt_az1_cidr,"10.48"),CONCATENATE(prefix_mgmt_az1_cidr,"11.48")),CONCATENATE(prefix_flt_shared_cidr,".48"))</f>
        <v>10.11.10.48</v>
      </c>
      <c r="L318" s="337" t="str">
        <f>IF(ISBLANK(input_xreg_vra_nodec_ip),"Value Missing",input_xreg_vra_nodec_ip)</f>
        <v>Value Missing</v>
      </c>
      <c r="M318" s="99" t="str">
        <f>IF(mgmt_domain_ops_automation_later_chosen="Selected","Inputs are masked out as you have opted to deploy VCF Ops and Automation post MGMT Domain deployment","")</f>
        <v/>
      </c>
      <c r="N318" s="35"/>
    </row>
    <row r="319" spans="5:14" ht="20.05" customHeight="1" x14ac:dyDescent="0.35">
      <c r="E319" s="7"/>
      <c r="F319" s="7"/>
      <c r="G319" s="7"/>
      <c r="H319" s="7"/>
      <c r="I319" s="7"/>
      <c r="J319" s="347" t="s">
        <v>2729</v>
      </c>
      <c r="K319" s="80" t="str">
        <f>IF(mgmt_vcf_management_network_chosen="Use VM management network",IF(mgmt_dpg_reuse_result="Included",CONCATENATE(prefix_mgmt_az1_cidr,"10.49"),CONCATENATE(prefix_mgmt_az1_cidr,"11.49")),CONCATENATE(prefix_flt_shared_cidr,".49"))</f>
        <v>10.11.10.49</v>
      </c>
      <c r="L319" s="337" t="str">
        <f>IF(ISBLANK(input_xreg_vra_noded_ip),"Value Missing",input_xreg_vra_noded_ip)</f>
        <v>Value Missing</v>
      </c>
      <c r="M319" s="99" t="str">
        <f>IF(mgmt_domain_ops_automation_later_chosen="Selected","Inputs are masked out as you have opted to deploy VCF Ops and Automation post MGMT Domain deployment","")</f>
        <v/>
      </c>
      <c r="N319" s="2"/>
    </row>
    <row r="320" spans="5:14" ht="20.05" customHeight="1" x14ac:dyDescent="0.35">
      <c r="E320" s="7"/>
      <c r="F320" s="7"/>
      <c r="G320" s="7"/>
      <c r="H320" s="7"/>
      <c r="I320" s="7"/>
      <c r="J320" s="346" t="s">
        <v>3901</v>
      </c>
      <c r="K320" s="346" t="s">
        <v>940</v>
      </c>
      <c r="L320" s="97" t="s">
        <v>941</v>
      </c>
      <c r="M320" s="346" t="s">
        <v>20</v>
      </c>
      <c r="N320" s="2"/>
    </row>
    <row r="321" spans="5:14" ht="20.05" customHeight="1" x14ac:dyDescent="0.35">
      <c r="E321" s="7"/>
      <c r="F321" s="7"/>
      <c r="G321" s="7"/>
      <c r="H321" s="7"/>
      <c r="I321" s="7"/>
      <c r="J321" s="102"/>
      <c r="K321" s="89" t="str">
        <f>IF(mgmt_dpg_reuse_result="Included",CONCATENATE(prefix_mgmt_az1_cidr,"10.9"),CONCATENATE(prefix_mgmt_az1_cidr,"11.9"))</f>
        <v>10.11.10.9</v>
      </c>
      <c r="L321" s="347"/>
      <c r="M321" s="100" t="str">
        <f>IF(mgmt_vcf_installer_location_chosen="Deployed on one of the hosts in the management domain","VCF Installer","")</f>
        <v>VCF Installer</v>
      </c>
      <c r="N321" s="2"/>
    </row>
    <row r="322" spans="5:14" ht="20.05" customHeight="1" x14ac:dyDescent="0.35">
      <c r="E322" s="7"/>
      <c r="F322" s="7"/>
      <c r="G322" s="7"/>
      <c r="H322" s="7"/>
      <c r="I322" s="7"/>
      <c r="J322" s="331" t="str">
        <f>sddc_mgr_fqdn</f>
        <v>Value Missing</v>
      </c>
      <c r="K322" s="89" t="str">
        <f>IF(mgmt_dpg_reuse_result="Included",CONCATENATE(prefix_mgmt_az1_cidr,"10.13"),CONCATENATE(prefix_mgmt_az1_cidr,"11.13"))</f>
        <v>10.11.10.13</v>
      </c>
      <c r="L322" s="347"/>
      <c r="M322" s="100" t="str">
        <f>IF(mgmt_vcf_installer_location_chosen="Deployed outside management domain","SDDC Manager  Appliance",CONCATENATE("SDDC Manager  / Private Cloud Installer. ","Ensure this FQDN is used when setting the VCF Installer FQDN"))</f>
        <v>SDDC Manager  / Private Cloud Installer. Ensure this FQDN is used when setting the VCF Installer FQDN</v>
      </c>
    </row>
    <row r="323" spans="5:14" ht="20.05" customHeight="1" x14ac:dyDescent="0.35">
      <c r="E323" s="7"/>
      <c r="F323" s="7"/>
      <c r="G323" s="7"/>
      <c r="H323" s="7"/>
      <c r="I323" s="7"/>
      <c r="J323" s="331" t="str">
        <f>mgmt_vc_fqdn</f>
        <v>Value Missing</v>
      </c>
      <c r="K323" s="89" t="str">
        <f>IF(mgmt_dpg_reuse_result="Included",CONCATENATE(prefix_mgmt_az1_cidr,"10.70"),CONCATENATE(prefix_mgmt_az1_cidr,"11.70"))</f>
        <v>10.11.10.70</v>
      </c>
      <c r="L323" s="347"/>
      <c r="M323" s="100" t="s">
        <v>814</v>
      </c>
    </row>
    <row r="324" spans="5:14" ht="20.05" customHeight="1" x14ac:dyDescent="0.35">
      <c r="E324" s="7"/>
      <c r="F324" s="7"/>
      <c r="G324" s="7"/>
      <c r="H324" s="7"/>
      <c r="I324" s="7"/>
      <c r="J324" s="346" t="s">
        <v>2226</v>
      </c>
      <c r="K324" s="346" t="s">
        <v>940</v>
      </c>
      <c r="L324" s="97" t="s">
        <v>941</v>
      </c>
      <c r="M324" s="346" t="s">
        <v>20</v>
      </c>
    </row>
    <row r="325" spans="5:14" ht="20.05" customHeight="1" x14ac:dyDescent="0.35">
      <c r="E325" s="7"/>
      <c r="F325" s="7"/>
      <c r="G325" s="7"/>
      <c r="H325" s="7"/>
      <c r="I325" s="7"/>
      <c r="J325" s="331" t="str">
        <f>mgmt_nsxt_vip_fqdn</f>
        <v>Value Missing</v>
      </c>
      <c r="K325" s="89" t="str">
        <f>IF(mgmt_dpg_reuse_result="Included",CONCATENATE(prefix_mgmt_az1_cidr,"10.71"),CONCATENATE(prefix_mgmt_az1_cidr,"11.71"))</f>
        <v>10.11.10.71</v>
      </c>
      <c r="L325" s="347"/>
      <c r="M325" s="100" t="str">
        <f>IF(mgmt_domain_existing_nsx_manager_chosen="Included","Existing NSX Manager / Local Manager VIP","NSX Manager / Local Manager VIP")</f>
        <v>NSX Manager / Local Manager VIP</v>
      </c>
    </row>
    <row r="326" spans="5:14" ht="20.05" customHeight="1" x14ac:dyDescent="0.35">
      <c r="E326" s="7"/>
      <c r="F326" s="7"/>
      <c r="G326" s="7"/>
      <c r="H326" s="7"/>
      <c r="I326" s="7"/>
      <c r="J326" s="331" t="str">
        <f>mgmt_nsxt_mgra_fqdn</f>
        <v>Value Missing</v>
      </c>
      <c r="K326" s="89" t="str">
        <f>IF(mgmt_dpg_reuse_result="Included",CONCATENATE(prefix_mgmt_az1_cidr,"10.72"),CONCATENATE(prefix_mgmt_az1_cidr,"11.72"))</f>
        <v>10.11.10.72</v>
      </c>
      <c r="L326" s="347"/>
      <c r="M326" s="100" t="str">
        <f>IF(mgmt_domain_existing_nsx_manager_chosen="Included","Existing NSX Manager / Local Manager Node A","NSX Manager / Local Manager Node A")</f>
        <v>NSX Manager / Local Manager Node A</v>
      </c>
    </row>
    <row r="327" spans="5:14" ht="20.05" customHeight="1" x14ac:dyDescent="0.35">
      <c r="E327" s="7"/>
      <c r="F327" s="7"/>
      <c r="G327" s="7"/>
      <c r="H327" s="7"/>
      <c r="I327" s="7"/>
      <c r="J327" s="331" t="str">
        <f>mgmt_nsxt_mgrb_fqdn</f>
        <v>Value Missing</v>
      </c>
      <c r="K327" s="89" t="str">
        <f>IF(mgmt_dpg_reuse_result="Included",CONCATENATE(prefix_mgmt_az1_cidr,"10.73"),CONCATENATE(prefix_mgmt_az1_cidr,"11.73"))</f>
        <v>10.11.10.73</v>
      </c>
      <c r="L327" s="347"/>
      <c r="M327" s="100" t="str">
        <f>IF(mgmt_domain_existing_nsx_manager_chosen="Included","Existing NSX Manager / Local Manager Node B","NSX Manager / Local Manager Node B")</f>
        <v>NSX Manager / Local Manager Node B</v>
      </c>
    </row>
    <row r="328" spans="5:14" ht="20.05" customHeight="1" x14ac:dyDescent="0.35">
      <c r="E328" s="7"/>
      <c r="F328" s="7"/>
      <c r="G328" s="7"/>
      <c r="H328" s="7"/>
      <c r="I328" s="7"/>
      <c r="J328" s="331" t="str">
        <f>mgmt_nsxt_mgrc_fqdn</f>
        <v>Value Missing</v>
      </c>
      <c r="K328" s="89" t="str">
        <f>IF(mgmt_dpg_reuse_result="Included",CONCATENATE(prefix_mgmt_az1_cidr,"10.74"),CONCATENATE(prefix_mgmt_az1_cidr,"11.74"))</f>
        <v>10.11.10.74</v>
      </c>
      <c r="L328" s="347"/>
      <c r="M328" s="100" t="str">
        <f>IF(mgmt_domain_existing_nsx_manager_chosen="Included","Existing NSX Manager / Local Manager Node C","NSX Manager / Local Manager Node C")</f>
        <v>NSX Manager / Local Manager Node C</v>
      </c>
    </row>
    <row r="329" spans="5:14" ht="20.05" customHeight="1" x14ac:dyDescent="0.35">
      <c r="E329" s="7"/>
      <c r="F329" s="7"/>
      <c r="G329" s="7"/>
      <c r="H329" s="7"/>
      <c r="I329" s="7"/>
      <c r="J329" s="103" t="s">
        <v>214</v>
      </c>
      <c r="K329" s="346" t="s">
        <v>940</v>
      </c>
      <c r="L329" s="97" t="s">
        <v>941</v>
      </c>
      <c r="M329" s="346" t="s">
        <v>20</v>
      </c>
    </row>
    <row r="330" spans="5:14" ht="20.05" customHeight="1" x14ac:dyDescent="0.35">
      <c r="E330" s="7"/>
      <c r="F330" s="7"/>
      <c r="G330" s="7"/>
      <c r="H330" s="7"/>
      <c r="I330" s="7"/>
      <c r="J330" s="331" t="str">
        <f t="array" ref="J330:J345">mgmt_az1_host_fqdns</f>
        <v>Value Missing</v>
      </c>
      <c r="K330" s="89" t="str">
        <f>CONCATENATE(prefix_mgmt_az1_cidr,"11.101")</f>
        <v>10.11.11.101</v>
      </c>
      <c r="L330" s="347"/>
      <c r="M330" s="100" t="s">
        <v>216</v>
      </c>
    </row>
    <row r="331" spans="5:14" ht="20.05" customHeight="1" x14ac:dyDescent="0.35">
      <c r="E331" s="7"/>
      <c r="F331" s="7"/>
      <c r="G331" s="7"/>
      <c r="H331" s="7"/>
      <c r="I331" s="7"/>
      <c r="J331" s="331" t="str">
        <v>Value Missing</v>
      </c>
      <c r="K331" s="89" t="str">
        <f>CONCATENATE(prefix_mgmt_az1_cidr,"11.102")</f>
        <v>10.11.11.102</v>
      </c>
      <c r="L331" s="347"/>
      <c r="M331" s="100" t="s">
        <v>218</v>
      </c>
    </row>
    <row r="332" spans="5:14" ht="20.05" customHeight="1" x14ac:dyDescent="0.35">
      <c r="E332" s="7"/>
      <c r="F332" s="7"/>
      <c r="G332" s="7"/>
      <c r="H332" s="7"/>
      <c r="I332" s="7"/>
      <c r="J332" s="331" t="str">
        <v>Value Missing</v>
      </c>
      <c r="K332" s="89" t="str">
        <f>CONCATENATE(prefix_mgmt_az1_cidr,"11.103")</f>
        <v>10.11.11.103</v>
      </c>
      <c r="L332" s="347"/>
      <c r="M332" s="100" t="s">
        <v>220</v>
      </c>
    </row>
    <row r="333" spans="5:14" ht="20.05" customHeight="1" x14ac:dyDescent="0.35">
      <c r="E333" s="7"/>
      <c r="F333" s="7"/>
      <c r="G333" s="7"/>
      <c r="H333" s="7"/>
      <c r="I333" s="7"/>
      <c r="J333" s="331" t="str">
        <v>Value Missing</v>
      </c>
      <c r="K333" s="89" t="str">
        <f>CONCATENATE(prefix_mgmt_az1_cidr,"11.104")</f>
        <v>10.11.11.104</v>
      </c>
      <c r="L333" s="347"/>
      <c r="M333" s="100" t="s">
        <v>222</v>
      </c>
    </row>
    <row r="334" spans="5:14" ht="20.05" customHeight="1" x14ac:dyDescent="0.35">
      <c r="E334" s="7"/>
      <c r="F334" s="7"/>
      <c r="G334" s="7"/>
      <c r="H334" s="7"/>
      <c r="I334" s="7"/>
      <c r="J334" s="331" t="str">
        <v>Value Missing</v>
      </c>
      <c r="K334" s="89" t="str">
        <f>CONCATENATE(prefix_mgmt_az1_cidr,"11.105")</f>
        <v>10.11.11.105</v>
      </c>
      <c r="L334" s="347"/>
      <c r="M334" s="100" t="s">
        <v>224</v>
      </c>
    </row>
    <row r="335" spans="5:14" ht="20.05" customHeight="1" x14ac:dyDescent="0.35">
      <c r="E335" s="7"/>
      <c r="F335" s="7"/>
      <c r="G335" s="7"/>
      <c r="H335" s="7"/>
      <c r="I335" s="7"/>
      <c r="J335" s="331" t="str">
        <v>Value Missing</v>
      </c>
      <c r="K335" s="89" t="str">
        <f>CONCATENATE(prefix_mgmt_az1_cidr,"11.106")</f>
        <v>10.11.11.106</v>
      </c>
      <c r="L335" s="347"/>
      <c r="M335" s="100" t="s">
        <v>226</v>
      </c>
    </row>
    <row r="336" spans="5:14" ht="20.05" customHeight="1" x14ac:dyDescent="0.35">
      <c r="E336" s="7"/>
      <c r="F336" s="7"/>
      <c r="G336" s="7"/>
      <c r="H336" s="7"/>
      <c r="I336" s="7"/>
      <c r="J336" s="331" t="str">
        <v>Value Missing</v>
      </c>
      <c r="K336" s="89" t="str">
        <f>CONCATENATE(prefix_mgmt_az1_cidr,"11.107")</f>
        <v>10.11.11.107</v>
      </c>
      <c r="L336" s="347"/>
      <c r="M336" s="100" t="s">
        <v>228</v>
      </c>
    </row>
    <row r="337" spans="5:13" ht="20.05" customHeight="1" x14ac:dyDescent="0.35">
      <c r="E337" s="7"/>
      <c r="F337" s="7"/>
      <c r="G337" s="7"/>
      <c r="H337" s="7"/>
      <c r="I337" s="7"/>
      <c r="J337" s="331" t="str">
        <v>Value Missing</v>
      </c>
      <c r="K337" s="89" t="str">
        <f>CONCATENATE(prefix_mgmt_az1_cidr,"11.108")</f>
        <v>10.11.11.108</v>
      </c>
      <c r="L337" s="347"/>
      <c r="M337" s="100" t="s">
        <v>230</v>
      </c>
    </row>
    <row r="338" spans="5:13" ht="20.05" customHeight="1" x14ac:dyDescent="0.35">
      <c r="E338" s="7"/>
      <c r="F338" s="7"/>
      <c r="G338" s="7"/>
      <c r="H338" s="7"/>
      <c r="I338" s="7"/>
      <c r="J338" s="331" t="str">
        <v>Value Missing</v>
      </c>
      <c r="K338" s="89" t="str">
        <f>CONCATENATE(prefix_mgmt_az1_cidr,"11.109")</f>
        <v>10.11.11.109</v>
      </c>
      <c r="L338" s="347"/>
      <c r="M338" s="100" t="s">
        <v>232</v>
      </c>
    </row>
    <row r="339" spans="5:13" ht="20.05" customHeight="1" x14ac:dyDescent="0.35">
      <c r="E339" s="7"/>
      <c r="F339" s="7"/>
      <c r="G339" s="7"/>
      <c r="H339" s="7"/>
      <c r="I339" s="7"/>
      <c r="J339" s="331" t="str">
        <v>Value Missing</v>
      </c>
      <c r="K339" s="89" t="str">
        <f>CONCATENATE(prefix_mgmt_az1_cidr,"11.110")</f>
        <v>10.11.11.110</v>
      </c>
      <c r="L339" s="347"/>
      <c r="M339" s="100" t="s">
        <v>234</v>
      </c>
    </row>
    <row r="340" spans="5:13" ht="20.05" customHeight="1" x14ac:dyDescent="0.35">
      <c r="E340" s="7"/>
      <c r="F340" s="7"/>
      <c r="G340" s="7"/>
      <c r="H340" s="7"/>
      <c r="I340" s="7"/>
      <c r="J340" s="331" t="str">
        <v>Value Missing</v>
      </c>
      <c r="K340" s="89" t="str">
        <f>CONCATENATE(prefix_mgmt_az1_cidr,"11.111")</f>
        <v>10.11.11.111</v>
      </c>
      <c r="L340" s="347"/>
      <c r="M340" s="100" t="s">
        <v>236</v>
      </c>
    </row>
    <row r="341" spans="5:13" ht="20.05" customHeight="1" x14ac:dyDescent="0.35">
      <c r="E341" s="7"/>
      <c r="F341" s="7"/>
      <c r="G341" s="7"/>
      <c r="H341" s="7"/>
      <c r="I341" s="7"/>
      <c r="J341" s="331" t="str">
        <v>Value Missing</v>
      </c>
      <c r="K341" s="89" t="str">
        <f>CONCATENATE(prefix_mgmt_az1_cidr,"11.112")</f>
        <v>10.11.11.112</v>
      </c>
      <c r="L341" s="347"/>
      <c r="M341" s="100" t="s">
        <v>238</v>
      </c>
    </row>
    <row r="342" spans="5:13" ht="20.05" customHeight="1" x14ac:dyDescent="0.35">
      <c r="E342" s="7"/>
      <c r="F342" s="7"/>
      <c r="G342" s="7"/>
      <c r="H342" s="7"/>
      <c r="I342" s="7"/>
      <c r="J342" s="331" t="str">
        <v>Value Missing</v>
      </c>
      <c r="K342" s="89" t="str">
        <f>CONCATENATE(prefix_mgmt_az1_cidr,"11.113")</f>
        <v>10.11.11.113</v>
      </c>
      <c r="L342" s="347"/>
      <c r="M342" s="100" t="s">
        <v>240</v>
      </c>
    </row>
    <row r="343" spans="5:13" ht="20.05" customHeight="1" x14ac:dyDescent="0.35">
      <c r="E343" s="7"/>
      <c r="F343" s="7"/>
      <c r="G343" s="7"/>
      <c r="H343" s="7"/>
      <c r="I343" s="7"/>
      <c r="J343" s="331" t="str">
        <v>Value Missing</v>
      </c>
      <c r="K343" s="89" t="str">
        <f>CONCATENATE(prefix_mgmt_az1_cidr,"11.114")</f>
        <v>10.11.11.114</v>
      </c>
      <c r="L343" s="347"/>
      <c r="M343" s="100" t="s">
        <v>242</v>
      </c>
    </row>
    <row r="344" spans="5:13" ht="20.05" customHeight="1" x14ac:dyDescent="0.35">
      <c r="E344" s="7"/>
      <c r="F344" s="7"/>
      <c r="G344" s="7"/>
      <c r="H344" s="7"/>
      <c r="I344" s="7"/>
      <c r="J344" s="331" t="str">
        <v>Value Missing</v>
      </c>
      <c r="K344" s="89" t="str">
        <f>CONCATENATE(prefix_mgmt_az1_cidr,"11.115")</f>
        <v>10.11.11.115</v>
      </c>
      <c r="L344" s="347"/>
      <c r="M344" s="100" t="s">
        <v>244</v>
      </c>
    </row>
    <row r="345" spans="5:13" ht="20.05" customHeight="1" x14ac:dyDescent="0.35">
      <c r="E345" s="7"/>
      <c r="F345" s="7"/>
      <c r="G345" s="7"/>
      <c r="H345" s="7"/>
      <c r="I345" s="7"/>
      <c r="J345" s="331" t="str">
        <v>Value Missing</v>
      </c>
      <c r="K345" s="89" t="str">
        <f>CONCATENATE(prefix_mgmt_az1_cidr,"11.116")</f>
        <v>10.11.11.116</v>
      </c>
      <c r="L345" s="347"/>
      <c r="M345" s="100" t="s">
        <v>246</v>
      </c>
    </row>
    <row r="346" spans="5:13" x14ac:dyDescent="0.35">
      <c r="E346" s="7"/>
      <c r="F346" s="7"/>
      <c r="G346" s="7"/>
      <c r="H346" s="7"/>
      <c r="I346" s="7"/>
    </row>
    <row r="347" spans="5:13" ht="17.600000000000001" hidden="1" x14ac:dyDescent="0.35">
      <c r="E347" s="7"/>
      <c r="F347" s="7"/>
      <c r="G347" s="7"/>
      <c r="H347" s="7"/>
      <c r="I347" s="7"/>
      <c r="J347" s="335" t="s">
        <v>3902</v>
      </c>
      <c r="K347" s="335"/>
      <c r="L347" s="335"/>
      <c r="M347" s="335"/>
    </row>
    <row r="348" spans="5:13" ht="15.45" hidden="1" x14ac:dyDescent="0.35">
      <c r="E348" s="7"/>
      <c r="F348" s="7"/>
      <c r="G348" s="7"/>
      <c r="H348" s="7"/>
      <c r="I348" s="7"/>
      <c r="J348" s="4" t="s">
        <v>3903</v>
      </c>
      <c r="K348" s="4"/>
      <c r="L348" s="4"/>
      <c r="M348" s="4"/>
    </row>
    <row r="349" spans="5:13" ht="15.45" hidden="1" x14ac:dyDescent="0.35">
      <c r="E349" s="7"/>
      <c r="F349" s="7"/>
      <c r="G349" s="7"/>
      <c r="H349" s="7"/>
      <c r="I349" s="7"/>
      <c r="J349" s="4" t="s">
        <v>1953</v>
      </c>
      <c r="K349" s="491" t="s">
        <v>632</v>
      </c>
      <c r="L349" s="491"/>
      <c r="M349" s="347" t="s">
        <v>632</v>
      </c>
    </row>
    <row r="350" spans="5:13" ht="15.45" hidden="1" x14ac:dyDescent="0.35">
      <c r="E350" s="7"/>
      <c r="F350" s="7"/>
      <c r="G350" s="7"/>
      <c r="H350" s="7"/>
      <c r="I350" s="7"/>
      <c r="J350" s="4" t="s">
        <v>1958</v>
      </c>
      <c r="K350" s="491" t="str">
        <f>CONCATENATE(this_instance,"-m01-cl01-rp-sddc-mgmt")</f>
        <v>sfo-m01-cl01-rp-sddc-mgmt</v>
      </c>
      <c r="L350" s="491"/>
      <c r="M350" s="347"/>
    </row>
    <row r="351" spans="5:13" ht="15.45" hidden="1" x14ac:dyDescent="0.35">
      <c r="E351" s="7"/>
      <c r="F351" s="7"/>
      <c r="G351" s="7"/>
      <c r="H351" s="7"/>
      <c r="I351" s="7"/>
      <c r="J351" s="4" t="s">
        <v>1964</v>
      </c>
      <c r="K351" s="491" t="str">
        <f>CONCATENATE(this_instance,"-m01-cl01-rp-sddc-edge")</f>
        <v>sfo-m01-cl01-rp-sddc-edge</v>
      </c>
      <c r="L351" s="491"/>
      <c r="M351" s="347"/>
    </row>
    <row r="352" spans="5:13" ht="15.45" hidden="1" x14ac:dyDescent="0.35">
      <c r="E352" s="7"/>
      <c r="F352" s="7"/>
      <c r="G352" s="7"/>
      <c r="H352" s="7"/>
      <c r="I352" s="7"/>
      <c r="J352" s="4" t="s">
        <v>1970</v>
      </c>
      <c r="K352" s="491" t="str">
        <f>CONCATENATE(this_instance,"-m01-cl01-rp-user-edge")</f>
        <v>sfo-m01-cl01-rp-user-edge</v>
      </c>
      <c r="L352" s="491"/>
      <c r="M352" s="347"/>
    </row>
    <row r="353" spans="5:13" ht="15.45" hidden="1" x14ac:dyDescent="0.35">
      <c r="E353" s="7"/>
      <c r="F353" s="7"/>
      <c r="G353" s="7"/>
      <c r="H353" s="7"/>
      <c r="I353" s="7"/>
      <c r="J353" s="4" t="s">
        <v>1975</v>
      </c>
      <c r="K353" s="491" t="str">
        <f>CONCATENATE(this_instance,"-m01-cl01-rp-user-vm")</f>
        <v>sfo-m01-cl01-rp-user-vm</v>
      </c>
      <c r="L353" s="491"/>
      <c r="M353" s="347"/>
    </row>
    <row r="354" spans="5:13" x14ac:dyDescent="0.35">
      <c r="E354" s="7"/>
      <c r="F354" s="7"/>
      <c r="G354" s="7"/>
      <c r="H354" s="7"/>
      <c r="I354" s="7"/>
    </row>
    <row r="355" spans="5:13" x14ac:dyDescent="0.35">
      <c r="E355" s="7"/>
      <c r="F355" s="7"/>
      <c r="G355" s="7"/>
      <c r="H355" s="7"/>
      <c r="I355" s="7"/>
    </row>
    <row r="356" spans="5:13" x14ac:dyDescent="0.35">
      <c r="E356" s="7"/>
      <c r="F356" s="7"/>
      <c r="G356" s="7"/>
      <c r="H356" s="7"/>
      <c r="I356" s="7"/>
    </row>
    <row r="357" spans="5:13" x14ac:dyDescent="0.35">
      <c r="E357" s="7"/>
      <c r="F357" s="7"/>
      <c r="G357" s="7"/>
      <c r="H357" s="7"/>
      <c r="I357" s="7"/>
    </row>
    <row r="358" spans="5:13" x14ac:dyDescent="0.35">
      <c r="E358" s="7"/>
      <c r="F358" s="7"/>
      <c r="G358" s="7"/>
      <c r="H358" s="7"/>
      <c r="I358" s="7"/>
    </row>
    <row r="359" spans="5:13" x14ac:dyDescent="0.35">
      <c r="E359" s="7"/>
      <c r="F359" s="7"/>
      <c r="G359" s="7"/>
      <c r="H359" s="7"/>
      <c r="I359" s="7"/>
    </row>
    <row r="360" spans="5:13" x14ac:dyDescent="0.35">
      <c r="E360" s="7"/>
      <c r="F360" s="7"/>
      <c r="G360" s="7"/>
      <c r="H360" s="7"/>
      <c r="I360" s="7"/>
    </row>
    <row r="361" spans="5:13" x14ac:dyDescent="0.35">
      <c r="E361" s="7"/>
      <c r="F361" s="7"/>
      <c r="G361" s="7"/>
      <c r="H361" s="7"/>
      <c r="I361" s="7"/>
    </row>
    <row r="362" spans="5:13" x14ac:dyDescent="0.35">
      <c r="E362" s="7"/>
      <c r="F362" s="7"/>
      <c r="G362" s="7"/>
      <c r="H362" s="7"/>
      <c r="I362" s="7"/>
    </row>
    <row r="363" spans="5:13" x14ac:dyDescent="0.35">
      <c r="E363" s="7"/>
      <c r="F363" s="7"/>
      <c r="G363" s="7"/>
      <c r="H363" s="7"/>
      <c r="I363" s="7"/>
    </row>
    <row r="364" spans="5:13" x14ac:dyDescent="0.35">
      <c r="E364" s="7"/>
      <c r="F364" s="7"/>
      <c r="G364" s="7"/>
      <c r="H364" s="7"/>
      <c r="I364" s="7"/>
    </row>
    <row r="365" spans="5:13" x14ac:dyDescent="0.35">
      <c r="E365" s="7"/>
      <c r="F365" s="7"/>
      <c r="G365" s="7"/>
      <c r="H365" s="7"/>
      <c r="I365" s="7"/>
    </row>
    <row r="366" spans="5:13" x14ac:dyDescent="0.35">
      <c r="E366" s="7"/>
      <c r="F366" s="7"/>
      <c r="G366" s="7"/>
      <c r="H366" s="7"/>
      <c r="I366" s="7"/>
    </row>
    <row r="367" spans="5:13" x14ac:dyDescent="0.35">
      <c r="E367" s="7"/>
      <c r="F367" s="7"/>
      <c r="G367" s="7"/>
      <c r="H367" s="7"/>
      <c r="I367" s="7"/>
    </row>
    <row r="368" spans="5:13" x14ac:dyDescent="0.35">
      <c r="E368" s="7"/>
      <c r="F368" s="7"/>
      <c r="G368" s="7"/>
      <c r="H368" s="7"/>
      <c r="I368" s="7"/>
    </row>
    <row r="369" spans="5:12" x14ac:dyDescent="0.35">
      <c r="E369" s="7"/>
      <c r="F369" s="7"/>
      <c r="G369" s="7"/>
      <c r="H369" s="7"/>
      <c r="I369" s="7"/>
    </row>
    <row r="370" spans="5:12" x14ac:dyDescent="0.35">
      <c r="E370" s="7"/>
      <c r="F370" s="7"/>
      <c r="G370" s="7"/>
      <c r="H370" s="7"/>
      <c r="I370" s="7"/>
    </row>
    <row r="371" spans="5:12" x14ac:dyDescent="0.35">
      <c r="E371" s="7"/>
      <c r="F371" s="7"/>
      <c r="G371" s="7"/>
      <c r="H371" s="7"/>
      <c r="I371" s="7"/>
    </row>
    <row r="372" spans="5:12" x14ac:dyDescent="0.35">
      <c r="E372" s="7"/>
      <c r="F372" s="7"/>
      <c r="G372" s="7"/>
      <c r="H372" s="7"/>
      <c r="I372" s="7"/>
    </row>
    <row r="373" spans="5:12" x14ac:dyDescent="0.35">
      <c r="E373" s="7"/>
      <c r="F373" s="7"/>
      <c r="G373" s="7"/>
      <c r="H373" s="7"/>
      <c r="I373" s="7"/>
    </row>
    <row r="374" spans="5:12" x14ac:dyDescent="0.35">
      <c r="E374" s="7"/>
      <c r="F374" s="7"/>
      <c r="G374" s="7"/>
      <c r="H374" s="7"/>
      <c r="I374" s="7"/>
    </row>
    <row r="375" spans="5:12" x14ac:dyDescent="0.35">
      <c r="E375" s="7"/>
      <c r="F375" s="7"/>
      <c r="G375" s="7"/>
      <c r="H375" s="7"/>
      <c r="I375" s="7"/>
    </row>
    <row r="376" spans="5:12" x14ac:dyDescent="0.35">
      <c r="E376" s="7"/>
      <c r="F376" s="7"/>
      <c r="G376" s="7"/>
      <c r="H376" s="7"/>
      <c r="I376" s="7"/>
    </row>
    <row r="377" spans="5:12" x14ac:dyDescent="0.35">
      <c r="E377" s="7"/>
      <c r="F377" s="7"/>
      <c r="G377" s="7"/>
      <c r="H377" s="7"/>
      <c r="I377" s="7"/>
    </row>
    <row r="378" spans="5:12" x14ac:dyDescent="0.35">
      <c r="E378" s="7"/>
      <c r="F378" s="7"/>
      <c r="G378" s="7"/>
      <c r="H378" s="7"/>
      <c r="I378" s="7"/>
      <c r="L378" s="8">
        <v>1</v>
      </c>
    </row>
    <row r="379" spans="5:12" x14ac:dyDescent="0.35">
      <c r="E379" s="7"/>
      <c r="F379" s="7"/>
      <c r="G379" s="7"/>
      <c r="H379" s="7"/>
      <c r="I379" s="7"/>
    </row>
    <row r="380" spans="5:12" x14ac:dyDescent="0.35">
      <c r="E380" s="7"/>
      <c r="F380" s="7"/>
      <c r="G380" s="7"/>
      <c r="H380" s="7"/>
      <c r="I380" s="7"/>
    </row>
    <row r="381" spans="5:12" x14ac:dyDescent="0.35">
      <c r="E381" s="7"/>
      <c r="F381" s="7"/>
      <c r="G381" s="7"/>
      <c r="H381" s="7"/>
      <c r="I381" s="7"/>
    </row>
    <row r="382" spans="5:12" x14ac:dyDescent="0.35">
      <c r="E382" s="7"/>
      <c r="F382" s="7"/>
      <c r="G382" s="7"/>
      <c r="H382" s="7"/>
      <c r="I382" s="7"/>
    </row>
    <row r="383" spans="5:12" x14ac:dyDescent="0.35">
      <c r="E383" s="7"/>
      <c r="F383" s="7"/>
      <c r="G383" s="7"/>
      <c r="H383" s="7"/>
      <c r="I383" s="7"/>
    </row>
    <row r="384" spans="5:12" x14ac:dyDescent="0.35">
      <c r="E384" s="7"/>
      <c r="F384" s="7"/>
      <c r="G384" s="7"/>
      <c r="H384" s="7"/>
      <c r="I384" s="7"/>
    </row>
    <row r="385" spans="5:9" x14ac:dyDescent="0.35">
      <c r="E385" s="7"/>
      <c r="F385" s="7"/>
      <c r="G385" s="7"/>
      <c r="H385" s="7"/>
      <c r="I385" s="7"/>
    </row>
    <row r="386" spans="5:9" x14ac:dyDescent="0.35">
      <c r="E386" s="7"/>
      <c r="F386" s="7"/>
      <c r="G386" s="7"/>
      <c r="H386" s="7"/>
      <c r="I386" s="7"/>
    </row>
    <row r="387" spans="5:9" x14ac:dyDescent="0.35">
      <c r="E387" s="7"/>
      <c r="F387" s="7"/>
      <c r="G387" s="7"/>
      <c r="H387" s="7"/>
      <c r="I387" s="7"/>
    </row>
    <row r="388" spans="5:9" x14ac:dyDescent="0.35">
      <c r="E388" s="7"/>
      <c r="F388" s="7"/>
      <c r="G388" s="7"/>
      <c r="H388" s="7"/>
      <c r="I388" s="7"/>
    </row>
    <row r="389" spans="5:9" x14ac:dyDescent="0.35">
      <c r="E389" s="7"/>
      <c r="F389" s="7"/>
      <c r="G389" s="7"/>
      <c r="H389" s="7"/>
      <c r="I389" s="7"/>
    </row>
    <row r="390" spans="5:9" x14ac:dyDescent="0.35">
      <c r="E390" s="7"/>
      <c r="F390" s="7"/>
      <c r="G390" s="7"/>
      <c r="H390" s="7"/>
      <c r="I390" s="7"/>
    </row>
    <row r="391" spans="5:9" x14ac:dyDescent="0.35">
      <c r="E391" s="7"/>
      <c r="F391" s="7"/>
      <c r="G391" s="7"/>
      <c r="H391" s="7"/>
      <c r="I391" s="7"/>
    </row>
    <row r="392" spans="5:9" x14ac:dyDescent="0.35">
      <c r="E392" s="7"/>
      <c r="F392" s="7"/>
      <c r="G392" s="7"/>
      <c r="H392" s="7"/>
      <c r="I392" s="7"/>
    </row>
    <row r="393" spans="5:9" x14ac:dyDescent="0.35">
      <c r="E393" s="7"/>
      <c r="F393" s="7"/>
      <c r="G393" s="7"/>
      <c r="H393" s="7"/>
      <c r="I393" s="7"/>
    </row>
    <row r="394" spans="5:9" x14ac:dyDescent="0.35">
      <c r="E394" s="7"/>
      <c r="F394" s="7"/>
      <c r="G394" s="7"/>
      <c r="H394" s="7"/>
      <c r="I394" s="7"/>
    </row>
    <row r="395" spans="5:9" x14ac:dyDescent="0.35">
      <c r="E395" s="7"/>
      <c r="F395" s="7"/>
      <c r="G395" s="7"/>
      <c r="H395" s="7"/>
      <c r="I395" s="7"/>
    </row>
    <row r="396" spans="5:9" x14ac:dyDescent="0.35">
      <c r="E396" s="7"/>
      <c r="F396" s="7"/>
      <c r="G396" s="7"/>
      <c r="H396" s="7"/>
      <c r="I396" s="7"/>
    </row>
    <row r="397" spans="5:9" x14ac:dyDescent="0.35">
      <c r="E397" s="7"/>
      <c r="F397" s="7"/>
      <c r="G397" s="7"/>
      <c r="H397" s="7"/>
      <c r="I397" s="7"/>
    </row>
    <row r="398" spans="5:9" x14ac:dyDescent="0.35">
      <c r="E398" s="7"/>
      <c r="F398" s="7"/>
      <c r="G398" s="7"/>
      <c r="H398" s="7"/>
      <c r="I398" s="7"/>
    </row>
    <row r="399" spans="5:9" x14ac:dyDescent="0.35">
      <c r="E399" s="7"/>
      <c r="F399" s="7"/>
      <c r="G399" s="7"/>
      <c r="H399" s="7"/>
      <c r="I399" s="7"/>
    </row>
    <row r="400" spans="5:9" x14ac:dyDescent="0.35">
      <c r="E400" s="7"/>
      <c r="F400" s="7"/>
      <c r="G400" s="7"/>
      <c r="H400" s="7"/>
      <c r="I400" s="7"/>
    </row>
    <row r="401" spans="5:9" x14ac:dyDescent="0.35">
      <c r="E401" s="7"/>
      <c r="F401" s="7"/>
      <c r="G401" s="7"/>
      <c r="H401" s="7"/>
      <c r="I401" s="7"/>
    </row>
    <row r="402" spans="5:9" x14ac:dyDescent="0.35">
      <c r="E402" s="7"/>
      <c r="F402" s="7"/>
      <c r="G402" s="7"/>
      <c r="H402" s="7"/>
      <c r="I402" s="7"/>
    </row>
    <row r="403" spans="5:9" x14ac:dyDescent="0.35">
      <c r="E403" s="7"/>
      <c r="F403" s="7"/>
      <c r="G403" s="7"/>
      <c r="H403" s="7"/>
      <c r="I403" s="7"/>
    </row>
    <row r="404" spans="5:9" x14ac:dyDescent="0.35">
      <c r="E404" s="7"/>
      <c r="F404" s="7"/>
      <c r="G404" s="7"/>
      <c r="H404" s="7"/>
      <c r="I404" s="7"/>
    </row>
    <row r="405" spans="5:9" x14ac:dyDescent="0.35">
      <c r="E405" s="7"/>
      <c r="F405" s="7"/>
      <c r="G405" s="7"/>
      <c r="H405" s="7"/>
      <c r="I405" s="7"/>
    </row>
    <row r="406" spans="5:9" x14ac:dyDescent="0.35">
      <c r="E406" s="7"/>
      <c r="F406" s="7"/>
      <c r="G406" s="7"/>
      <c r="H406" s="7"/>
      <c r="I406" s="7"/>
    </row>
    <row r="407" spans="5:9" x14ac:dyDescent="0.35">
      <c r="E407" s="7"/>
      <c r="F407" s="7"/>
      <c r="G407" s="7"/>
      <c r="H407" s="7"/>
      <c r="I407" s="7"/>
    </row>
    <row r="408" spans="5:9" x14ac:dyDescent="0.35">
      <c r="E408" s="7"/>
      <c r="F408" s="7"/>
      <c r="G408" s="7"/>
      <c r="H408" s="7"/>
      <c r="I408" s="7"/>
    </row>
    <row r="409" spans="5:9" x14ac:dyDescent="0.35">
      <c r="E409" s="7"/>
      <c r="F409" s="7"/>
      <c r="G409" s="7"/>
      <c r="H409" s="7"/>
      <c r="I409" s="7"/>
    </row>
    <row r="410" spans="5:9" x14ac:dyDescent="0.35">
      <c r="E410" s="7"/>
      <c r="F410" s="7"/>
      <c r="G410" s="7"/>
      <c r="H410" s="7"/>
      <c r="I410" s="7"/>
    </row>
    <row r="411" spans="5:9" x14ac:dyDescent="0.35">
      <c r="E411" s="7"/>
      <c r="F411" s="7"/>
      <c r="G411" s="7"/>
      <c r="H411" s="7"/>
      <c r="I411" s="7"/>
    </row>
    <row r="412" spans="5:9" x14ac:dyDescent="0.35">
      <c r="E412" s="7"/>
      <c r="F412" s="7"/>
      <c r="G412" s="7"/>
      <c r="H412" s="7"/>
      <c r="I412" s="7"/>
    </row>
    <row r="413" spans="5:9" x14ac:dyDescent="0.35">
      <c r="E413" s="7"/>
      <c r="F413" s="7"/>
      <c r="G413" s="7"/>
      <c r="H413" s="7"/>
      <c r="I413" s="7"/>
    </row>
    <row r="414" spans="5:9" x14ac:dyDescent="0.35">
      <c r="E414" s="7"/>
      <c r="F414" s="7"/>
      <c r="G414" s="7"/>
      <c r="H414" s="7"/>
      <c r="I414" s="7"/>
    </row>
    <row r="415" spans="5:9" x14ac:dyDescent="0.35">
      <c r="E415" s="7"/>
      <c r="F415" s="7"/>
      <c r="G415" s="7"/>
      <c r="H415" s="7"/>
      <c r="I415" s="7"/>
    </row>
    <row r="416" spans="5:9" x14ac:dyDescent="0.35">
      <c r="E416" s="7"/>
      <c r="F416" s="7"/>
      <c r="G416" s="7"/>
      <c r="H416" s="7"/>
      <c r="I416" s="7"/>
    </row>
    <row r="417" spans="5:9" x14ac:dyDescent="0.35">
      <c r="E417" s="7"/>
      <c r="F417" s="7"/>
      <c r="G417" s="7"/>
      <c r="H417" s="7"/>
      <c r="I417" s="7"/>
    </row>
    <row r="418" spans="5:9" x14ac:dyDescent="0.35">
      <c r="E418" s="7"/>
      <c r="F418" s="7"/>
      <c r="G418" s="7"/>
      <c r="H418" s="7"/>
      <c r="I418" s="7"/>
    </row>
    <row r="419" spans="5:9" x14ac:dyDescent="0.35">
      <c r="E419" s="7"/>
      <c r="F419" s="7"/>
      <c r="G419" s="7"/>
      <c r="H419" s="7"/>
      <c r="I419" s="7"/>
    </row>
    <row r="420" spans="5:9" x14ac:dyDescent="0.35">
      <c r="E420" s="7"/>
      <c r="F420" s="7"/>
      <c r="G420" s="7"/>
      <c r="H420" s="7"/>
      <c r="I420" s="7"/>
    </row>
    <row r="421" spans="5:9" x14ac:dyDescent="0.35">
      <c r="E421" s="7"/>
      <c r="F421" s="7"/>
      <c r="G421" s="7"/>
      <c r="H421" s="7"/>
      <c r="I421" s="7"/>
    </row>
    <row r="422" spans="5:9" x14ac:dyDescent="0.35">
      <c r="E422" s="7"/>
      <c r="F422" s="7"/>
      <c r="G422" s="7"/>
      <c r="H422" s="7"/>
      <c r="I422" s="7"/>
    </row>
    <row r="423" spans="5:9" x14ac:dyDescent="0.35">
      <c r="E423" s="7"/>
      <c r="F423" s="7"/>
      <c r="G423" s="7"/>
      <c r="H423" s="7"/>
      <c r="I423" s="7"/>
    </row>
    <row r="424" spans="5:9" x14ac:dyDescent="0.35">
      <c r="E424" s="7"/>
      <c r="F424" s="7"/>
      <c r="G424" s="7"/>
      <c r="H424" s="7"/>
      <c r="I424" s="7"/>
    </row>
    <row r="425" spans="5:9" x14ac:dyDescent="0.35">
      <c r="E425" s="7"/>
      <c r="F425" s="7"/>
      <c r="G425" s="7"/>
      <c r="H425" s="7"/>
      <c r="I425" s="7"/>
    </row>
    <row r="426" spans="5:9" x14ac:dyDescent="0.35">
      <c r="E426" s="7"/>
      <c r="F426" s="7"/>
      <c r="G426" s="7"/>
      <c r="H426" s="7"/>
      <c r="I426" s="7"/>
    </row>
    <row r="427" spans="5:9" x14ac:dyDescent="0.35">
      <c r="E427" s="7"/>
      <c r="F427" s="7"/>
      <c r="G427" s="7"/>
      <c r="H427" s="7"/>
      <c r="I427" s="7"/>
    </row>
    <row r="428" spans="5:9" x14ac:dyDescent="0.35">
      <c r="E428" s="7"/>
      <c r="F428" s="7"/>
      <c r="G428" s="7"/>
      <c r="H428" s="7"/>
      <c r="I428" s="7"/>
    </row>
    <row r="429" spans="5:9" x14ac:dyDescent="0.35">
      <c r="E429" s="7"/>
      <c r="F429" s="7"/>
      <c r="G429" s="7"/>
      <c r="H429" s="7"/>
      <c r="I429" s="7"/>
    </row>
    <row r="430" spans="5:9" x14ac:dyDescent="0.35">
      <c r="E430" s="7"/>
      <c r="F430" s="7"/>
      <c r="G430" s="7"/>
      <c r="H430" s="7"/>
      <c r="I430" s="7"/>
    </row>
    <row r="431" spans="5:9" x14ac:dyDescent="0.35">
      <c r="E431" s="7"/>
      <c r="F431" s="7"/>
      <c r="G431" s="7"/>
      <c r="H431" s="7"/>
      <c r="I431" s="7"/>
    </row>
    <row r="432" spans="5:9" x14ac:dyDescent="0.35">
      <c r="E432" s="7"/>
      <c r="F432" s="7"/>
      <c r="G432" s="7"/>
      <c r="H432" s="7"/>
      <c r="I432" s="7"/>
    </row>
    <row r="433" spans="5:9" x14ac:dyDescent="0.35">
      <c r="E433" s="7"/>
      <c r="F433" s="7"/>
      <c r="G433" s="7"/>
      <c r="H433" s="7"/>
      <c r="I433" s="7"/>
    </row>
    <row r="434" spans="5:9" x14ac:dyDescent="0.35">
      <c r="E434" s="7"/>
      <c r="F434" s="7"/>
      <c r="G434" s="7"/>
      <c r="H434" s="7"/>
      <c r="I434" s="7"/>
    </row>
    <row r="435" spans="5:9" x14ac:dyDescent="0.35">
      <c r="E435" s="7"/>
      <c r="F435" s="7"/>
      <c r="G435" s="7"/>
      <c r="H435" s="7"/>
      <c r="I435" s="7"/>
    </row>
    <row r="436" spans="5:9" x14ac:dyDescent="0.35">
      <c r="E436" s="7"/>
      <c r="F436" s="7"/>
      <c r="G436" s="7"/>
      <c r="H436" s="7"/>
      <c r="I436" s="7"/>
    </row>
    <row r="437" spans="5:9" x14ac:dyDescent="0.35">
      <c r="E437" s="7"/>
      <c r="F437" s="7"/>
      <c r="G437" s="7"/>
      <c r="H437" s="7"/>
      <c r="I437" s="7"/>
    </row>
    <row r="438" spans="5:9" x14ac:dyDescent="0.35">
      <c r="E438" s="7"/>
      <c r="F438" s="7"/>
      <c r="G438" s="7"/>
      <c r="H438" s="7"/>
      <c r="I438" s="7"/>
    </row>
    <row r="439" spans="5:9" x14ac:dyDescent="0.35">
      <c r="E439" s="7"/>
      <c r="F439" s="7"/>
      <c r="G439" s="7"/>
      <c r="H439" s="7"/>
      <c r="I439" s="7"/>
    </row>
    <row r="440" spans="5:9" x14ac:dyDescent="0.35">
      <c r="E440" s="7"/>
      <c r="F440" s="7"/>
      <c r="G440" s="7"/>
      <c r="H440" s="7"/>
      <c r="I440" s="7"/>
    </row>
    <row r="441" spans="5:9" x14ac:dyDescent="0.35">
      <c r="E441" s="7"/>
      <c r="F441" s="7"/>
      <c r="G441" s="7"/>
      <c r="H441" s="7"/>
      <c r="I441" s="7"/>
    </row>
    <row r="442" spans="5:9" x14ac:dyDescent="0.35">
      <c r="E442" s="7"/>
      <c r="F442" s="7"/>
      <c r="G442" s="7"/>
      <c r="H442" s="7"/>
      <c r="I442" s="7"/>
    </row>
    <row r="443" spans="5:9" x14ac:dyDescent="0.35">
      <c r="E443" s="7"/>
      <c r="F443" s="7"/>
      <c r="G443" s="7"/>
      <c r="H443" s="7"/>
      <c r="I443" s="7"/>
    </row>
    <row r="444" spans="5:9" x14ac:dyDescent="0.35">
      <c r="E444" s="7"/>
      <c r="F444" s="7"/>
      <c r="G444" s="7"/>
      <c r="H444" s="7"/>
      <c r="I444" s="7"/>
    </row>
    <row r="445" spans="5:9" x14ac:dyDescent="0.35">
      <c r="E445" s="7"/>
      <c r="F445" s="7"/>
      <c r="G445" s="7"/>
      <c r="H445" s="7"/>
      <c r="I445" s="7"/>
    </row>
    <row r="446" spans="5:9" x14ac:dyDescent="0.35">
      <c r="E446" s="7"/>
      <c r="F446" s="7"/>
      <c r="G446" s="7"/>
      <c r="H446" s="7"/>
      <c r="I446" s="7"/>
    </row>
    <row r="447" spans="5:9" x14ac:dyDescent="0.35">
      <c r="E447" s="7"/>
      <c r="F447" s="7"/>
      <c r="G447" s="7"/>
      <c r="H447" s="7"/>
      <c r="I447" s="7"/>
    </row>
    <row r="448" spans="5:9" x14ac:dyDescent="0.35">
      <c r="E448" s="7"/>
      <c r="F448" s="7"/>
      <c r="G448" s="7"/>
      <c r="H448" s="7"/>
      <c r="I448" s="7"/>
    </row>
    <row r="449" spans="5:9" x14ac:dyDescent="0.35">
      <c r="E449" s="7"/>
      <c r="F449" s="7"/>
      <c r="G449" s="7"/>
      <c r="H449" s="7"/>
      <c r="I449" s="7"/>
    </row>
    <row r="450" spans="5:9" x14ac:dyDescent="0.35">
      <c r="E450" s="7"/>
      <c r="F450" s="7"/>
      <c r="G450" s="7"/>
      <c r="H450" s="7"/>
      <c r="I450" s="7"/>
    </row>
    <row r="451" spans="5:9" x14ac:dyDescent="0.35">
      <c r="E451" s="7"/>
      <c r="F451" s="7"/>
      <c r="G451" s="7"/>
      <c r="H451" s="7"/>
      <c r="I451" s="7"/>
    </row>
    <row r="452" spans="5:9" x14ac:dyDescent="0.35">
      <c r="E452" s="7"/>
      <c r="F452" s="7"/>
      <c r="G452" s="7"/>
      <c r="H452" s="7"/>
      <c r="I452" s="7"/>
    </row>
    <row r="453" spans="5:9" x14ac:dyDescent="0.35">
      <c r="E453" s="7"/>
      <c r="F453" s="7"/>
      <c r="G453" s="7"/>
      <c r="H453" s="7"/>
      <c r="I453" s="7"/>
    </row>
    <row r="454" spans="5:9" x14ac:dyDescent="0.35">
      <c r="E454" s="7"/>
      <c r="F454" s="7"/>
      <c r="G454" s="7"/>
      <c r="H454" s="7"/>
      <c r="I454" s="7"/>
    </row>
    <row r="455" spans="5:9" x14ac:dyDescent="0.35">
      <c r="E455" s="7"/>
      <c r="F455" s="7"/>
      <c r="G455" s="7"/>
      <c r="H455" s="7"/>
      <c r="I455" s="7"/>
    </row>
    <row r="456" spans="5:9" x14ac:dyDescent="0.35">
      <c r="E456" s="7"/>
      <c r="F456" s="7"/>
      <c r="G456" s="7"/>
      <c r="H456" s="7"/>
      <c r="I456" s="7"/>
    </row>
    <row r="457" spans="5:9" x14ac:dyDescent="0.35">
      <c r="E457" s="7"/>
      <c r="F457" s="7"/>
      <c r="G457" s="7"/>
      <c r="H457" s="7"/>
      <c r="I457" s="7"/>
    </row>
    <row r="458" spans="5:9" x14ac:dyDescent="0.35">
      <c r="E458" s="7"/>
      <c r="F458" s="7"/>
      <c r="G458" s="7"/>
      <c r="H458" s="7"/>
      <c r="I458" s="7"/>
    </row>
    <row r="459" spans="5:9" x14ac:dyDescent="0.35">
      <c r="E459" s="7"/>
      <c r="F459" s="7"/>
      <c r="G459" s="7"/>
      <c r="H459" s="7"/>
      <c r="I459" s="7"/>
    </row>
    <row r="460" spans="5:9" x14ac:dyDescent="0.35">
      <c r="E460" s="7"/>
      <c r="F460" s="7"/>
      <c r="G460" s="7"/>
      <c r="H460" s="7"/>
      <c r="I460" s="7"/>
    </row>
    <row r="461" spans="5:9" x14ac:dyDescent="0.35">
      <c r="E461" s="7"/>
      <c r="F461" s="7"/>
      <c r="G461" s="7"/>
      <c r="H461" s="7"/>
      <c r="I461" s="7"/>
    </row>
    <row r="462" spans="5:9" x14ac:dyDescent="0.35">
      <c r="E462" s="7"/>
      <c r="F462" s="7"/>
      <c r="G462" s="7"/>
      <c r="H462" s="7"/>
      <c r="I462" s="7"/>
    </row>
    <row r="463" spans="5:9" x14ac:dyDescent="0.35">
      <c r="E463" s="7"/>
      <c r="F463" s="7"/>
      <c r="G463" s="7"/>
      <c r="H463" s="7"/>
      <c r="I463" s="7"/>
    </row>
    <row r="464" spans="5:9" x14ac:dyDescent="0.35">
      <c r="E464" s="7"/>
      <c r="F464" s="7"/>
      <c r="G464" s="7"/>
      <c r="H464" s="7"/>
      <c r="I464" s="7"/>
    </row>
    <row r="465" spans="5:9" x14ac:dyDescent="0.35">
      <c r="E465" s="7"/>
      <c r="F465" s="7"/>
      <c r="G465" s="7"/>
      <c r="H465" s="7"/>
      <c r="I465" s="7"/>
    </row>
    <row r="466" spans="5:9" x14ac:dyDescent="0.35">
      <c r="E466" s="7"/>
      <c r="F466" s="7"/>
      <c r="G466" s="7"/>
      <c r="H466" s="7"/>
      <c r="I466" s="7"/>
    </row>
    <row r="467" spans="5:9" x14ac:dyDescent="0.35">
      <c r="E467" s="7"/>
      <c r="F467" s="7"/>
      <c r="G467" s="7"/>
      <c r="H467" s="7"/>
      <c r="I467" s="7"/>
    </row>
    <row r="468" spans="5:9" x14ac:dyDescent="0.35">
      <c r="E468" s="7"/>
      <c r="F468" s="7"/>
      <c r="G468" s="7"/>
      <c r="H468" s="7"/>
      <c r="I468" s="7"/>
    </row>
    <row r="469" spans="5:9" x14ac:dyDescent="0.35">
      <c r="E469" s="7"/>
      <c r="F469" s="7"/>
      <c r="G469" s="7"/>
      <c r="H469" s="7"/>
      <c r="I469" s="7"/>
    </row>
    <row r="470" spans="5:9" x14ac:dyDescent="0.35">
      <c r="E470" s="7"/>
      <c r="F470" s="7"/>
      <c r="G470" s="7"/>
      <c r="H470" s="7"/>
      <c r="I470" s="7"/>
    </row>
    <row r="471" spans="5:9" x14ac:dyDescent="0.35">
      <c r="E471" s="7"/>
      <c r="F471" s="7"/>
      <c r="G471" s="7"/>
      <c r="H471" s="7"/>
      <c r="I471" s="7"/>
    </row>
    <row r="472" spans="5:9" x14ac:dyDescent="0.35">
      <c r="E472" s="7"/>
      <c r="F472" s="7"/>
      <c r="G472" s="7"/>
      <c r="H472" s="7"/>
      <c r="I472" s="7"/>
    </row>
    <row r="473" spans="5:9" x14ac:dyDescent="0.35">
      <c r="E473" s="7"/>
      <c r="F473" s="7"/>
      <c r="G473" s="7"/>
      <c r="H473" s="7"/>
      <c r="I473" s="7"/>
    </row>
    <row r="474" spans="5:9" x14ac:dyDescent="0.35">
      <c r="E474" s="7"/>
      <c r="F474" s="7"/>
      <c r="G474" s="7"/>
      <c r="H474" s="7"/>
      <c r="I474" s="7"/>
    </row>
    <row r="475" spans="5:9" x14ac:dyDescent="0.35">
      <c r="E475" s="7"/>
      <c r="F475" s="7"/>
      <c r="G475" s="7"/>
      <c r="H475" s="7"/>
      <c r="I475" s="7"/>
    </row>
    <row r="476" spans="5:9" x14ac:dyDescent="0.35">
      <c r="E476" s="7"/>
      <c r="F476" s="7"/>
      <c r="G476" s="7"/>
      <c r="H476" s="7"/>
      <c r="I476" s="7"/>
    </row>
    <row r="477" spans="5:9" x14ac:dyDescent="0.35">
      <c r="E477" s="7"/>
      <c r="F477" s="7"/>
      <c r="G477" s="7"/>
      <c r="H477" s="7"/>
      <c r="I477" s="7"/>
    </row>
    <row r="478" spans="5:9" x14ac:dyDescent="0.35">
      <c r="E478" s="7"/>
      <c r="F478" s="7"/>
      <c r="G478" s="7"/>
      <c r="H478" s="7"/>
      <c r="I478" s="7"/>
    </row>
    <row r="479" spans="5:9" x14ac:dyDescent="0.35">
      <c r="E479" s="7"/>
      <c r="F479" s="7"/>
      <c r="G479" s="7"/>
      <c r="H479" s="7"/>
      <c r="I479" s="7"/>
    </row>
    <row r="480" spans="5:9" x14ac:dyDescent="0.35">
      <c r="E480" s="7"/>
      <c r="F480" s="7"/>
      <c r="G480" s="7"/>
      <c r="H480" s="7"/>
      <c r="I480" s="7"/>
    </row>
    <row r="481" spans="5:9" x14ac:dyDescent="0.35">
      <c r="E481" s="7"/>
      <c r="F481" s="7"/>
      <c r="G481" s="7"/>
      <c r="H481" s="7"/>
      <c r="I481" s="7"/>
    </row>
    <row r="482" spans="5:9" x14ac:dyDescent="0.35">
      <c r="E482" s="7"/>
      <c r="F482" s="7"/>
      <c r="G482" s="7"/>
      <c r="H482" s="7"/>
      <c r="I482" s="7"/>
    </row>
    <row r="483" spans="5:9" x14ac:dyDescent="0.35">
      <c r="E483" s="7"/>
      <c r="F483" s="7"/>
      <c r="G483" s="7"/>
      <c r="H483" s="7"/>
      <c r="I483" s="7"/>
    </row>
    <row r="484" spans="5:9" x14ac:dyDescent="0.35">
      <c r="E484" s="7"/>
      <c r="F484" s="7"/>
      <c r="G484" s="7"/>
      <c r="H484" s="7"/>
      <c r="I484" s="7"/>
    </row>
    <row r="485" spans="5:9" x14ac:dyDescent="0.35">
      <c r="E485" s="7"/>
      <c r="F485" s="7"/>
      <c r="G485" s="7"/>
      <c r="H485" s="7"/>
      <c r="I485" s="7"/>
    </row>
    <row r="486" spans="5:9" x14ac:dyDescent="0.35">
      <c r="E486" s="7"/>
      <c r="F486" s="7"/>
      <c r="G486" s="7"/>
      <c r="H486" s="7"/>
      <c r="I486" s="7"/>
    </row>
    <row r="487" spans="5:9" x14ac:dyDescent="0.35">
      <c r="E487" s="7"/>
      <c r="F487" s="7"/>
      <c r="G487" s="7"/>
      <c r="H487" s="7"/>
      <c r="I487" s="7"/>
    </row>
    <row r="488" spans="5:9" x14ac:dyDescent="0.35">
      <c r="E488" s="7"/>
      <c r="F488" s="7"/>
      <c r="G488" s="7"/>
      <c r="H488" s="7"/>
      <c r="I488" s="7"/>
    </row>
    <row r="489" spans="5:9" x14ac:dyDescent="0.35">
      <c r="E489" s="7"/>
      <c r="F489" s="7"/>
      <c r="G489" s="7"/>
      <c r="H489" s="7"/>
      <c r="I489" s="7"/>
    </row>
    <row r="490" spans="5:9" x14ac:dyDescent="0.35">
      <c r="E490" s="7"/>
      <c r="F490" s="7"/>
      <c r="G490" s="7"/>
      <c r="H490" s="7"/>
      <c r="I490" s="7"/>
    </row>
    <row r="491" spans="5:9" x14ac:dyDescent="0.35">
      <c r="E491" s="7"/>
      <c r="F491" s="7"/>
      <c r="G491" s="7"/>
      <c r="H491" s="7"/>
      <c r="I491" s="7"/>
    </row>
    <row r="492" spans="5:9" x14ac:dyDescent="0.35">
      <c r="E492" s="7"/>
      <c r="F492" s="7"/>
      <c r="G492" s="7"/>
      <c r="H492" s="7"/>
      <c r="I492" s="7"/>
    </row>
    <row r="493" spans="5:9" x14ac:dyDescent="0.35">
      <c r="E493" s="7"/>
      <c r="F493" s="7"/>
      <c r="G493" s="7"/>
      <c r="H493" s="7"/>
      <c r="I493" s="7"/>
    </row>
    <row r="494" spans="5:9" x14ac:dyDescent="0.35">
      <c r="E494" s="7"/>
      <c r="F494" s="7"/>
      <c r="G494" s="7"/>
      <c r="H494" s="7"/>
      <c r="I494" s="7"/>
    </row>
    <row r="495" spans="5:9" x14ac:dyDescent="0.35">
      <c r="E495" s="7"/>
      <c r="F495" s="7"/>
      <c r="G495" s="7"/>
      <c r="H495" s="7"/>
      <c r="I495" s="7"/>
    </row>
    <row r="496" spans="5:9" x14ac:dyDescent="0.35">
      <c r="E496" s="7"/>
      <c r="F496" s="7"/>
      <c r="G496" s="7"/>
      <c r="H496" s="7"/>
      <c r="I496" s="7"/>
    </row>
    <row r="497" spans="5:9" x14ac:dyDescent="0.35">
      <c r="E497" s="7"/>
      <c r="F497" s="7"/>
      <c r="G497" s="7"/>
      <c r="H497" s="7"/>
      <c r="I497" s="7"/>
    </row>
    <row r="498" spans="5:9" x14ac:dyDescent="0.35">
      <c r="E498" s="7"/>
      <c r="F498" s="7"/>
      <c r="G498" s="7"/>
      <c r="H498" s="7"/>
      <c r="I498" s="7"/>
    </row>
    <row r="499" spans="5:9" x14ac:dyDescent="0.35">
      <c r="E499" s="7"/>
      <c r="F499" s="7"/>
      <c r="G499" s="7"/>
      <c r="H499" s="7"/>
      <c r="I499" s="7"/>
    </row>
    <row r="500" spans="5:9" x14ac:dyDescent="0.35">
      <c r="E500" s="7"/>
      <c r="F500" s="7"/>
      <c r="G500" s="7"/>
      <c r="H500" s="7"/>
      <c r="I500" s="7"/>
    </row>
    <row r="501" spans="5:9" x14ac:dyDescent="0.35">
      <c r="E501" s="7"/>
      <c r="F501" s="7"/>
      <c r="G501" s="7"/>
      <c r="H501" s="7"/>
      <c r="I501" s="7"/>
    </row>
    <row r="502" spans="5:9" x14ac:dyDescent="0.35">
      <c r="E502" s="7"/>
      <c r="F502" s="7"/>
      <c r="G502" s="7"/>
      <c r="H502" s="7"/>
      <c r="I502" s="7"/>
    </row>
    <row r="503" spans="5:9" x14ac:dyDescent="0.35">
      <c r="E503" s="7"/>
      <c r="F503" s="7"/>
      <c r="G503" s="7"/>
      <c r="H503" s="7"/>
      <c r="I503" s="7"/>
    </row>
    <row r="504" spans="5:9" x14ac:dyDescent="0.35">
      <c r="E504" s="7"/>
      <c r="F504" s="7"/>
      <c r="G504" s="7"/>
      <c r="H504" s="7"/>
      <c r="I504" s="7"/>
    </row>
    <row r="505" spans="5:9" x14ac:dyDescent="0.35">
      <c r="E505" s="7"/>
      <c r="F505" s="7"/>
      <c r="G505" s="7"/>
      <c r="H505" s="7"/>
      <c r="I505" s="7"/>
    </row>
    <row r="506" spans="5:9" x14ac:dyDescent="0.35">
      <c r="E506" s="7"/>
      <c r="F506" s="7"/>
      <c r="G506" s="7"/>
      <c r="H506" s="7"/>
      <c r="I506" s="7"/>
    </row>
    <row r="507" spans="5:9" x14ac:dyDescent="0.35">
      <c r="E507" s="7"/>
      <c r="F507" s="7"/>
      <c r="G507" s="7"/>
      <c r="H507" s="7"/>
      <c r="I507" s="7"/>
    </row>
    <row r="508" spans="5:9" x14ac:dyDescent="0.35">
      <c r="E508" s="7"/>
      <c r="F508" s="7"/>
      <c r="G508" s="7"/>
      <c r="H508" s="7"/>
      <c r="I508" s="7"/>
    </row>
    <row r="509" spans="5:9" x14ac:dyDescent="0.35">
      <c r="E509" s="7"/>
      <c r="F509" s="7"/>
      <c r="G509" s="7"/>
      <c r="H509" s="7"/>
      <c r="I509" s="7"/>
    </row>
    <row r="510" spans="5:9" x14ac:dyDescent="0.35">
      <c r="E510" s="7"/>
      <c r="F510" s="7"/>
      <c r="G510" s="7"/>
      <c r="H510" s="7"/>
      <c r="I510" s="7"/>
    </row>
    <row r="511" spans="5:9" x14ac:dyDescent="0.35">
      <c r="E511" s="7"/>
      <c r="F511" s="7"/>
      <c r="G511" s="7"/>
      <c r="H511" s="7"/>
      <c r="I511" s="7"/>
    </row>
    <row r="512" spans="5:9" x14ac:dyDescent="0.35">
      <c r="E512" s="7"/>
      <c r="F512" s="7"/>
      <c r="G512" s="7"/>
      <c r="H512" s="7"/>
      <c r="I512" s="7"/>
    </row>
    <row r="513" spans="5:9" x14ac:dyDescent="0.35">
      <c r="E513" s="7"/>
      <c r="F513" s="7"/>
      <c r="G513" s="7"/>
      <c r="H513" s="7"/>
      <c r="I513" s="7"/>
    </row>
    <row r="514" spans="5:9" x14ac:dyDescent="0.35">
      <c r="E514" s="7"/>
      <c r="F514" s="7"/>
      <c r="G514" s="7"/>
      <c r="H514" s="7"/>
      <c r="I514" s="7"/>
    </row>
    <row r="515" spans="5:9" x14ac:dyDescent="0.35">
      <c r="E515" s="7"/>
      <c r="F515" s="7"/>
      <c r="G515" s="7"/>
      <c r="H515" s="7"/>
      <c r="I515" s="7"/>
    </row>
    <row r="516" spans="5:9" x14ac:dyDescent="0.35">
      <c r="E516" s="7"/>
      <c r="F516" s="7"/>
      <c r="G516" s="7"/>
      <c r="H516" s="7"/>
      <c r="I516" s="7"/>
    </row>
    <row r="517" spans="5:9" x14ac:dyDescent="0.35">
      <c r="E517" s="7"/>
      <c r="F517" s="7"/>
      <c r="G517" s="7"/>
      <c r="H517" s="7"/>
      <c r="I517" s="7"/>
    </row>
    <row r="518" spans="5:9" x14ac:dyDescent="0.35">
      <c r="E518" s="7"/>
      <c r="F518" s="7"/>
      <c r="G518" s="7"/>
      <c r="H518" s="7"/>
      <c r="I518" s="7"/>
    </row>
    <row r="519" spans="5:9" x14ac:dyDescent="0.35">
      <c r="E519" s="7"/>
      <c r="F519" s="7"/>
      <c r="G519" s="7"/>
      <c r="H519" s="7"/>
      <c r="I519" s="7"/>
    </row>
    <row r="520" spans="5:9" x14ac:dyDescent="0.35">
      <c r="E520" s="7"/>
      <c r="F520" s="7"/>
      <c r="G520" s="7"/>
      <c r="H520" s="7"/>
      <c r="I520" s="7"/>
    </row>
    <row r="521" spans="5:9" x14ac:dyDescent="0.35">
      <c r="E521" s="7"/>
      <c r="F521" s="7"/>
      <c r="G521" s="7"/>
      <c r="H521" s="7"/>
      <c r="I521" s="7"/>
    </row>
    <row r="522" spans="5:9" x14ac:dyDescent="0.35">
      <c r="E522" s="7"/>
      <c r="F522" s="7"/>
      <c r="G522" s="7"/>
      <c r="H522" s="7"/>
      <c r="I522" s="7"/>
    </row>
    <row r="523" spans="5:9" x14ac:dyDescent="0.35">
      <c r="E523" s="7"/>
      <c r="F523" s="7"/>
      <c r="G523" s="7"/>
      <c r="H523" s="7"/>
      <c r="I523" s="7"/>
    </row>
    <row r="524" spans="5:9" x14ac:dyDescent="0.35">
      <c r="E524" s="7"/>
      <c r="F524" s="7"/>
      <c r="G524" s="7"/>
      <c r="H524" s="7"/>
      <c r="I524" s="7"/>
    </row>
    <row r="525" spans="5:9" x14ac:dyDescent="0.35">
      <c r="E525" s="7"/>
      <c r="F525" s="7"/>
      <c r="G525" s="7"/>
      <c r="H525" s="7"/>
      <c r="I525" s="7"/>
    </row>
    <row r="526" spans="5:9" x14ac:dyDescent="0.35">
      <c r="E526" s="7"/>
      <c r="F526" s="7"/>
      <c r="G526" s="7"/>
      <c r="H526" s="7"/>
      <c r="I526" s="7"/>
    </row>
    <row r="527" spans="5:9" x14ac:dyDescent="0.35">
      <c r="E527" s="7"/>
      <c r="F527" s="7"/>
      <c r="G527" s="7"/>
      <c r="H527" s="7"/>
      <c r="I527" s="7"/>
    </row>
    <row r="528" spans="5:9" x14ac:dyDescent="0.35">
      <c r="E528" s="7"/>
      <c r="F528" s="7"/>
      <c r="G528" s="7"/>
      <c r="H528" s="7"/>
      <c r="I528" s="7"/>
    </row>
    <row r="529" spans="5:9" x14ac:dyDescent="0.35">
      <c r="E529" s="7"/>
      <c r="F529" s="7"/>
      <c r="G529" s="7"/>
      <c r="H529" s="7"/>
      <c r="I529" s="7"/>
    </row>
    <row r="530" spans="5:9" x14ac:dyDescent="0.35">
      <c r="E530" s="7"/>
      <c r="F530" s="7"/>
      <c r="G530" s="7"/>
      <c r="H530" s="7"/>
      <c r="I530" s="7"/>
    </row>
    <row r="531" spans="5:9" x14ac:dyDescent="0.35">
      <c r="E531" s="7"/>
      <c r="F531" s="7"/>
      <c r="G531" s="7"/>
      <c r="H531" s="7"/>
      <c r="I531" s="7"/>
    </row>
    <row r="532" spans="5:9" x14ac:dyDescent="0.35">
      <c r="E532" s="7"/>
      <c r="F532" s="7"/>
      <c r="G532" s="7"/>
      <c r="H532" s="7"/>
      <c r="I532" s="7"/>
    </row>
    <row r="533" spans="5:9" x14ac:dyDescent="0.35">
      <c r="E533" s="7"/>
      <c r="F533" s="7"/>
      <c r="G533" s="7"/>
      <c r="H533" s="7"/>
      <c r="I533" s="7"/>
    </row>
    <row r="534" spans="5:9" x14ac:dyDescent="0.35">
      <c r="E534" s="7"/>
      <c r="F534" s="7"/>
      <c r="G534" s="7"/>
      <c r="H534" s="7"/>
      <c r="I534" s="7"/>
    </row>
    <row r="535" spans="5:9" x14ac:dyDescent="0.35">
      <c r="E535" s="7"/>
      <c r="F535" s="7"/>
      <c r="G535" s="7"/>
      <c r="H535" s="7"/>
      <c r="I535" s="7"/>
    </row>
    <row r="536" spans="5:9" x14ac:dyDescent="0.35">
      <c r="E536" s="7"/>
      <c r="F536" s="7"/>
      <c r="G536" s="7"/>
      <c r="H536" s="7"/>
      <c r="I536" s="7"/>
    </row>
    <row r="537" spans="5:9" x14ac:dyDescent="0.35">
      <c r="E537" s="7"/>
      <c r="F537" s="7"/>
      <c r="G537" s="7"/>
      <c r="H537" s="7"/>
      <c r="I537" s="7"/>
    </row>
    <row r="538" spans="5:9" x14ac:dyDescent="0.35">
      <c r="E538" s="7"/>
      <c r="F538" s="7"/>
      <c r="G538" s="7"/>
      <c r="H538" s="7"/>
      <c r="I538" s="7"/>
    </row>
    <row r="539" spans="5:9" x14ac:dyDescent="0.35">
      <c r="E539" s="7"/>
      <c r="F539" s="7"/>
      <c r="G539" s="7"/>
      <c r="H539" s="7"/>
      <c r="I539" s="7"/>
    </row>
    <row r="540" spans="5:9" x14ac:dyDescent="0.35">
      <c r="E540" s="7"/>
      <c r="F540" s="7"/>
      <c r="G540" s="7"/>
      <c r="H540" s="7"/>
      <c r="I540" s="7"/>
    </row>
    <row r="541" spans="5:9" x14ac:dyDescent="0.35">
      <c r="E541" s="7"/>
      <c r="F541" s="7"/>
      <c r="G541" s="7"/>
      <c r="H541" s="7"/>
      <c r="I541" s="7"/>
    </row>
    <row r="542" spans="5:9" x14ac:dyDescent="0.35">
      <c r="E542" s="7"/>
      <c r="F542" s="7"/>
      <c r="G542" s="7"/>
      <c r="H542" s="7"/>
      <c r="I542" s="7"/>
    </row>
    <row r="543" spans="5:9" x14ac:dyDescent="0.35">
      <c r="E543" s="7"/>
      <c r="F543" s="7"/>
      <c r="G543" s="7"/>
      <c r="H543" s="7"/>
      <c r="I543" s="7"/>
    </row>
    <row r="544" spans="5:9" x14ac:dyDescent="0.35">
      <c r="E544" s="7"/>
      <c r="F544" s="7"/>
      <c r="G544" s="7"/>
      <c r="H544" s="7"/>
      <c r="I544" s="7"/>
    </row>
    <row r="545" spans="5:9" x14ac:dyDescent="0.35">
      <c r="E545" s="7"/>
      <c r="F545" s="7"/>
      <c r="G545" s="7"/>
      <c r="H545" s="7"/>
      <c r="I545" s="7"/>
    </row>
    <row r="546" spans="5:9" x14ac:dyDescent="0.35">
      <c r="E546" s="7"/>
      <c r="F546" s="7"/>
      <c r="G546" s="7"/>
      <c r="H546" s="7"/>
      <c r="I546" s="7"/>
    </row>
    <row r="547" spans="5:9" x14ac:dyDescent="0.35">
      <c r="E547" s="7"/>
      <c r="F547" s="7"/>
      <c r="G547" s="7"/>
      <c r="H547" s="7"/>
      <c r="I547" s="7"/>
    </row>
    <row r="548" spans="5:9" x14ac:dyDescent="0.35">
      <c r="E548" s="7"/>
      <c r="F548" s="7"/>
      <c r="G548" s="7"/>
      <c r="H548" s="7"/>
      <c r="I548" s="7"/>
    </row>
    <row r="549" spans="5:9" x14ac:dyDescent="0.35">
      <c r="E549" s="7"/>
      <c r="F549" s="7"/>
      <c r="G549" s="7"/>
      <c r="H549" s="7"/>
      <c r="I549" s="7"/>
    </row>
    <row r="550" spans="5:9" x14ac:dyDescent="0.35">
      <c r="E550" s="7"/>
      <c r="F550" s="7"/>
      <c r="G550" s="7"/>
      <c r="H550" s="7"/>
      <c r="I550" s="7"/>
    </row>
    <row r="551" spans="5:9" x14ac:dyDescent="0.35">
      <c r="E551" s="7"/>
      <c r="F551" s="7"/>
      <c r="G551" s="7"/>
      <c r="H551" s="7"/>
      <c r="I551" s="7"/>
    </row>
    <row r="552" spans="5:9" x14ac:dyDescent="0.35">
      <c r="E552" s="7"/>
      <c r="F552" s="7"/>
      <c r="G552" s="7"/>
      <c r="H552" s="7"/>
      <c r="I552" s="7"/>
    </row>
    <row r="553" spans="5:9" x14ac:dyDescent="0.35">
      <c r="E553" s="7"/>
      <c r="F553" s="7"/>
      <c r="G553" s="7"/>
      <c r="H553" s="7"/>
      <c r="I553" s="7"/>
    </row>
    <row r="554" spans="5:9" x14ac:dyDescent="0.35">
      <c r="E554" s="7"/>
      <c r="F554" s="7"/>
      <c r="G554" s="7"/>
      <c r="H554" s="7"/>
      <c r="I554" s="7"/>
    </row>
    <row r="555" spans="5:9" x14ac:dyDescent="0.35">
      <c r="E555" s="7"/>
      <c r="F555" s="7"/>
      <c r="G555" s="7"/>
      <c r="H555" s="7"/>
      <c r="I555" s="7"/>
    </row>
    <row r="556" spans="5:9" x14ac:dyDescent="0.35">
      <c r="E556" s="7"/>
      <c r="F556" s="7"/>
      <c r="G556" s="7"/>
      <c r="H556" s="7"/>
      <c r="I556" s="7"/>
    </row>
    <row r="557" spans="5:9" x14ac:dyDescent="0.35">
      <c r="E557" s="7"/>
      <c r="F557" s="7"/>
      <c r="G557" s="7"/>
      <c r="H557" s="7"/>
      <c r="I557" s="7"/>
    </row>
    <row r="558" spans="5:9" x14ac:dyDescent="0.35">
      <c r="E558" s="7"/>
      <c r="F558" s="7"/>
      <c r="G558" s="7"/>
      <c r="H558" s="7"/>
      <c r="I558" s="7"/>
    </row>
    <row r="559" spans="5:9" x14ac:dyDescent="0.35">
      <c r="E559" s="7"/>
      <c r="F559" s="7"/>
      <c r="G559" s="7"/>
      <c r="H559" s="7"/>
      <c r="I559" s="7"/>
    </row>
    <row r="560" spans="5:9" x14ac:dyDescent="0.35">
      <c r="E560" s="7"/>
      <c r="F560" s="7"/>
      <c r="G560" s="7"/>
      <c r="H560" s="7"/>
      <c r="I560" s="7"/>
    </row>
    <row r="561" spans="5:9" x14ac:dyDescent="0.35">
      <c r="E561" s="7"/>
      <c r="F561" s="7"/>
      <c r="G561" s="7"/>
      <c r="H561" s="7"/>
      <c r="I561" s="7"/>
    </row>
    <row r="562" spans="5:9" x14ac:dyDescent="0.35">
      <c r="E562" s="7"/>
      <c r="F562" s="7"/>
      <c r="G562" s="7"/>
      <c r="H562" s="7"/>
      <c r="I562" s="7"/>
    </row>
    <row r="563" spans="5:9" x14ac:dyDescent="0.35">
      <c r="E563" s="7"/>
      <c r="F563" s="7"/>
      <c r="G563" s="7"/>
      <c r="H563" s="7"/>
      <c r="I563" s="7"/>
    </row>
    <row r="564" spans="5:9" x14ac:dyDescent="0.35">
      <c r="E564" s="7"/>
      <c r="F564" s="7"/>
      <c r="G564" s="7"/>
      <c r="H564" s="7"/>
      <c r="I564" s="7"/>
    </row>
    <row r="565" spans="5:9" x14ac:dyDescent="0.35">
      <c r="E565" s="7"/>
      <c r="F565" s="7"/>
      <c r="G565" s="7"/>
      <c r="H565" s="7"/>
      <c r="I565" s="7"/>
    </row>
    <row r="566" spans="5:9" x14ac:dyDescent="0.35">
      <c r="E566" s="7"/>
      <c r="F566" s="7"/>
      <c r="G566" s="7"/>
      <c r="H566" s="7"/>
      <c r="I566" s="7"/>
    </row>
    <row r="567" spans="5:9" x14ac:dyDescent="0.35">
      <c r="E567" s="7"/>
      <c r="F567" s="7"/>
      <c r="G567" s="7"/>
      <c r="H567" s="7"/>
      <c r="I567" s="7"/>
    </row>
    <row r="568" spans="5:9" x14ac:dyDescent="0.35">
      <c r="E568" s="7"/>
      <c r="F568" s="7"/>
      <c r="G568" s="7"/>
      <c r="H568" s="7"/>
      <c r="I568" s="7"/>
    </row>
    <row r="569" spans="5:9" x14ac:dyDescent="0.35">
      <c r="E569" s="7"/>
      <c r="F569" s="7"/>
      <c r="G569" s="7"/>
      <c r="H569" s="7"/>
      <c r="I569" s="7"/>
    </row>
    <row r="570" spans="5:9" x14ac:dyDescent="0.35">
      <c r="E570" s="7"/>
      <c r="F570" s="7"/>
      <c r="G570" s="7"/>
      <c r="H570" s="7"/>
      <c r="I570" s="7"/>
    </row>
    <row r="571" spans="5:9" x14ac:dyDescent="0.35">
      <c r="E571" s="7"/>
      <c r="F571" s="7"/>
      <c r="G571" s="7"/>
      <c r="H571" s="7"/>
      <c r="I571" s="7"/>
    </row>
    <row r="572" spans="5:9" x14ac:dyDescent="0.35">
      <c r="E572" s="7"/>
      <c r="F572" s="7"/>
      <c r="G572" s="7"/>
      <c r="H572" s="7"/>
      <c r="I572" s="7"/>
    </row>
    <row r="573" spans="5:9" x14ac:dyDescent="0.35">
      <c r="E573" s="7"/>
      <c r="F573" s="7"/>
      <c r="G573" s="7"/>
      <c r="H573" s="7"/>
      <c r="I573" s="7"/>
    </row>
    <row r="574" spans="5:9" x14ac:dyDescent="0.35">
      <c r="E574" s="7"/>
      <c r="F574" s="7"/>
      <c r="G574" s="7"/>
      <c r="H574" s="7"/>
      <c r="I574" s="7"/>
    </row>
    <row r="575" spans="5:9" x14ac:dyDescent="0.35">
      <c r="E575" s="7"/>
      <c r="F575" s="7"/>
      <c r="G575" s="7"/>
      <c r="H575" s="7"/>
      <c r="I575" s="7"/>
    </row>
    <row r="576" spans="5:9" x14ac:dyDescent="0.35">
      <c r="E576" s="7"/>
      <c r="F576" s="7"/>
      <c r="G576" s="7"/>
      <c r="H576" s="7"/>
      <c r="I576" s="7"/>
    </row>
    <row r="577" spans="5:9" x14ac:dyDescent="0.35">
      <c r="E577" s="7"/>
      <c r="F577" s="7"/>
      <c r="G577" s="7"/>
      <c r="H577" s="7"/>
      <c r="I577" s="7"/>
    </row>
    <row r="578" spans="5:9" x14ac:dyDescent="0.35">
      <c r="E578" s="7"/>
      <c r="F578" s="7"/>
      <c r="G578" s="7"/>
      <c r="H578" s="7"/>
      <c r="I578" s="7"/>
    </row>
    <row r="579" spans="5:9" x14ac:dyDescent="0.35">
      <c r="E579" s="7"/>
      <c r="F579" s="7"/>
      <c r="G579" s="7"/>
      <c r="H579" s="7"/>
      <c r="I579" s="7"/>
    </row>
    <row r="580" spans="5:9" x14ac:dyDescent="0.35">
      <c r="E580" s="7"/>
      <c r="F580" s="7"/>
      <c r="G580" s="7"/>
      <c r="H580" s="7"/>
      <c r="I580" s="7"/>
    </row>
    <row r="581" spans="5:9" x14ac:dyDescent="0.35">
      <c r="E581" s="7"/>
      <c r="F581" s="7"/>
      <c r="G581" s="7"/>
      <c r="H581" s="7"/>
      <c r="I581" s="7"/>
    </row>
    <row r="582" spans="5:9" x14ac:dyDescent="0.35">
      <c r="E582" s="7"/>
      <c r="F582" s="7"/>
      <c r="G582" s="7"/>
      <c r="H582" s="7"/>
      <c r="I582" s="7"/>
    </row>
    <row r="583" spans="5:9" x14ac:dyDescent="0.35">
      <c r="E583" s="7"/>
      <c r="F583" s="7"/>
      <c r="G583" s="7"/>
      <c r="H583" s="7"/>
      <c r="I583" s="7"/>
    </row>
    <row r="584" spans="5:9" x14ac:dyDescent="0.35">
      <c r="E584" s="7"/>
      <c r="F584" s="7"/>
      <c r="G584" s="7"/>
      <c r="H584" s="7"/>
      <c r="I584" s="7"/>
    </row>
    <row r="585" spans="5:9" x14ac:dyDescent="0.35">
      <c r="E585" s="7"/>
      <c r="F585" s="7"/>
      <c r="G585" s="7"/>
      <c r="H585" s="7"/>
      <c r="I585" s="7"/>
    </row>
    <row r="586" spans="5:9" x14ac:dyDescent="0.35">
      <c r="E586" s="7"/>
      <c r="F586" s="7"/>
      <c r="G586" s="7"/>
      <c r="H586" s="7"/>
      <c r="I586" s="7"/>
    </row>
    <row r="587" spans="5:9" x14ac:dyDescent="0.35">
      <c r="E587" s="7"/>
      <c r="F587" s="7"/>
      <c r="G587" s="7"/>
      <c r="H587" s="7"/>
      <c r="I587" s="7"/>
    </row>
    <row r="588" spans="5:9" x14ac:dyDescent="0.35">
      <c r="E588" s="7"/>
      <c r="F588" s="7"/>
      <c r="G588" s="7"/>
      <c r="H588" s="7"/>
      <c r="I588" s="7"/>
    </row>
    <row r="589" spans="5:9" x14ac:dyDescent="0.35">
      <c r="E589" s="7"/>
      <c r="F589" s="7"/>
      <c r="G589" s="7"/>
      <c r="H589" s="7"/>
      <c r="I589" s="7"/>
    </row>
    <row r="590" spans="5:9" x14ac:dyDescent="0.35">
      <c r="E590" s="7"/>
      <c r="F590" s="7"/>
      <c r="G590" s="7"/>
      <c r="H590" s="7"/>
      <c r="I590" s="7"/>
    </row>
    <row r="591" spans="5:9" x14ac:dyDescent="0.35">
      <c r="E591" s="7"/>
      <c r="F591" s="7"/>
      <c r="G591" s="7"/>
      <c r="H591" s="7"/>
      <c r="I591" s="7"/>
    </row>
    <row r="592" spans="5:9" x14ac:dyDescent="0.35">
      <c r="E592" s="7"/>
      <c r="F592" s="7"/>
      <c r="G592" s="7"/>
      <c r="H592" s="7"/>
      <c r="I592" s="7"/>
    </row>
    <row r="593" spans="5:9" x14ac:dyDescent="0.35">
      <c r="E593" s="7"/>
      <c r="F593" s="7"/>
      <c r="G593" s="7"/>
      <c r="H593" s="7"/>
      <c r="I593" s="7"/>
    </row>
    <row r="594" spans="5:9" x14ac:dyDescent="0.35">
      <c r="E594" s="7"/>
      <c r="F594" s="7"/>
      <c r="G594" s="7"/>
      <c r="H594" s="7"/>
      <c r="I594" s="7"/>
    </row>
    <row r="595" spans="5:9" x14ac:dyDescent="0.35">
      <c r="E595" s="7"/>
      <c r="F595" s="7"/>
      <c r="G595" s="7"/>
      <c r="H595" s="7"/>
      <c r="I595" s="7"/>
    </row>
    <row r="596" spans="5:9" x14ac:dyDescent="0.35">
      <c r="E596" s="7"/>
      <c r="F596" s="7"/>
      <c r="G596" s="7"/>
      <c r="H596" s="7"/>
      <c r="I596" s="7"/>
    </row>
    <row r="597" spans="5:9" x14ac:dyDescent="0.35">
      <c r="E597" s="7"/>
      <c r="F597" s="7"/>
      <c r="G597" s="7"/>
      <c r="H597" s="7"/>
      <c r="I597" s="7"/>
    </row>
    <row r="598" spans="5:9" x14ac:dyDescent="0.35">
      <c r="E598" s="7"/>
      <c r="F598" s="7"/>
      <c r="G598" s="7"/>
      <c r="H598" s="7"/>
      <c r="I598" s="7"/>
    </row>
    <row r="599" spans="5:9" x14ac:dyDescent="0.35">
      <c r="E599" s="7"/>
      <c r="F599" s="7"/>
      <c r="G599" s="7"/>
      <c r="H599" s="7"/>
      <c r="I599" s="7"/>
    </row>
    <row r="600" spans="5:9" x14ac:dyDescent="0.35">
      <c r="E600" s="7"/>
      <c r="F600" s="7"/>
      <c r="G600" s="7"/>
      <c r="H600" s="7"/>
      <c r="I600" s="7"/>
    </row>
    <row r="601" spans="5:9" x14ac:dyDescent="0.35">
      <c r="E601" s="7"/>
      <c r="F601" s="7"/>
      <c r="G601" s="7"/>
      <c r="H601" s="7"/>
      <c r="I601" s="7"/>
    </row>
    <row r="602" spans="5:9" x14ac:dyDescent="0.35">
      <c r="E602" s="7"/>
      <c r="F602" s="7"/>
      <c r="G602" s="7"/>
      <c r="H602" s="7"/>
      <c r="I602" s="7"/>
    </row>
    <row r="603" spans="5:9" x14ac:dyDescent="0.35">
      <c r="E603" s="7"/>
      <c r="F603" s="7"/>
      <c r="G603" s="7"/>
      <c r="H603" s="7"/>
      <c r="I603" s="7"/>
    </row>
    <row r="604" spans="5:9" x14ac:dyDescent="0.35">
      <c r="E604" s="7"/>
      <c r="F604" s="7"/>
      <c r="G604" s="7"/>
      <c r="H604" s="7"/>
      <c r="I604" s="7"/>
    </row>
    <row r="605" spans="5:9" x14ac:dyDescent="0.35">
      <c r="E605" s="7"/>
      <c r="F605" s="7"/>
      <c r="G605" s="7"/>
      <c r="H605" s="7"/>
      <c r="I605" s="7"/>
    </row>
    <row r="606" spans="5:9" x14ac:dyDescent="0.35">
      <c r="E606" s="7"/>
      <c r="F606" s="7"/>
      <c r="G606" s="7"/>
      <c r="H606" s="7"/>
      <c r="I606" s="7"/>
    </row>
    <row r="607" spans="5:9" x14ac:dyDescent="0.35">
      <c r="E607" s="7"/>
      <c r="F607" s="7"/>
      <c r="G607" s="7"/>
      <c r="H607" s="7"/>
      <c r="I607" s="7"/>
    </row>
    <row r="608" spans="5:9" x14ac:dyDescent="0.35">
      <c r="E608" s="7"/>
      <c r="F608" s="7"/>
      <c r="G608" s="7"/>
      <c r="H608" s="7"/>
      <c r="I608" s="7"/>
    </row>
    <row r="609" spans="5:9" x14ac:dyDescent="0.35">
      <c r="E609" s="7"/>
      <c r="F609" s="7"/>
      <c r="G609" s="7"/>
      <c r="H609" s="7"/>
      <c r="I609" s="7"/>
    </row>
    <row r="610" spans="5:9" x14ac:dyDescent="0.35">
      <c r="E610" s="7"/>
      <c r="F610" s="7"/>
      <c r="G610" s="7"/>
      <c r="H610" s="7"/>
      <c r="I610" s="7"/>
    </row>
    <row r="611" spans="5:9" x14ac:dyDescent="0.35">
      <c r="E611" s="7"/>
      <c r="F611" s="7"/>
      <c r="G611" s="7"/>
      <c r="H611" s="7"/>
      <c r="I611" s="7"/>
    </row>
    <row r="612" spans="5:9" x14ac:dyDescent="0.35">
      <c r="E612" s="7"/>
      <c r="F612" s="7"/>
      <c r="G612" s="7"/>
      <c r="H612" s="7"/>
      <c r="I612" s="7"/>
    </row>
    <row r="613" spans="5:9" x14ac:dyDescent="0.35">
      <c r="E613" s="7"/>
      <c r="F613" s="7"/>
      <c r="G613" s="7"/>
      <c r="H613" s="7"/>
      <c r="I613" s="7"/>
    </row>
    <row r="614" spans="5:9" x14ac:dyDescent="0.35">
      <c r="E614" s="7"/>
      <c r="F614" s="7"/>
      <c r="G614" s="7"/>
      <c r="H614" s="7"/>
      <c r="I614" s="7"/>
    </row>
    <row r="615" spans="5:9" x14ac:dyDescent="0.35">
      <c r="E615" s="7"/>
      <c r="F615" s="7"/>
      <c r="G615" s="7"/>
      <c r="H615" s="7"/>
      <c r="I615" s="7"/>
    </row>
    <row r="616" spans="5:9" x14ac:dyDescent="0.35">
      <c r="E616" s="7"/>
      <c r="F616" s="7"/>
      <c r="G616" s="7"/>
      <c r="H616" s="7"/>
      <c r="I616" s="7"/>
    </row>
    <row r="617" spans="5:9" x14ac:dyDescent="0.35">
      <c r="E617" s="7"/>
      <c r="F617" s="7"/>
      <c r="G617" s="7"/>
      <c r="H617" s="7"/>
      <c r="I617" s="7"/>
    </row>
    <row r="618" spans="5:9" x14ac:dyDescent="0.35">
      <c r="E618" s="7"/>
      <c r="F618" s="7"/>
      <c r="G618" s="7"/>
      <c r="H618" s="7"/>
      <c r="I618" s="7"/>
    </row>
    <row r="619" spans="5:9" x14ac:dyDescent="0.35">
      <c r="E619" s="7"/>
      <c r="F619" s="7"/>
      <c r="G619" s="7"/>
      <c r="H619" s="7"/>
      <c r="I619" s="7"/>
    </row>
    <row r="620" spans="5:9" x14ac:dyDescent="0.35">
      <c r="E620" s="7"/>
      <c r="F620" s="7"/>
      <c r="G620" s="7"/>
      <c r="H620" s="7"/>
      <c r="I620" s="7"/>
    </row>
    <row r="621" spans="5:9" x14ac:dyDescent="0.35">
      <c r="E621" s="7"/>
      <c r="F621" s="7"/>
      <c r="G621" s="7"/>
      <c r="H621" s="7"/>
      <c r="I621" s="7"/>
    </row>
    <row r="622" spans="5:9" x14ac:dyDescent="0.35">
      <c r="E622" s="7"/>
      <c r="F622" s="7"/>
      <c r="G622" s="7"/>
      <c r="H622" s="7"/>
      <c r="I622" s="7"/>
    </row>
    <row r="623" spans="5:9" x14ac:dyDescent="0.35">
      <c r="E623" s="7"/>
      <c r="F623" s="7"/>
      <c r="G623" s="7"/>
      <c r="H623" s="7"/>
      <c r="I623" s="7"/>
    </row>
    <row r="624" spans="5:9" x14ac:dyDescent="0.35">
      <c r="E624" s="7"/>
      <c r="F624" s="7"/>
      <c r="G624" s="7"/>
      <c r="H624" s="7"/>
      <c r="I624" s="7"/>
    </row>
    <row r="625" spans="5:9" x14ac:dyDescent="0.35">
      <c r="E625" s="7"/>
      <c r="F625" s="7"/>
      <c r="G625" s="7"/>
      <c r="H625" s="7"/>
      <c r="I625" s="7"/>
    </row>
    <row r="626" spans="5:9" x14ac:dyDescent="0.35">
      <c r="E626" s="7"/>
      <c r="F626" s="7"/>
      <c r="G626" s="7"/>
      <c r="H626" s="7"/>
      <c r="I626" s="7"/>
    </row>
    <row r="627" spans="5:9" x14ac:dyDescent="0.35">
      <c r="E627" s="7"/>
      <c r="F627" s="7"/>
      <c r="G627" s="7"/>
      <c r="H627" s="7"/>
      <c r="I627" s="7"/>
    </row>
    <row r="628" spans="5:9" x14ac:dyDescent="0.35">
      <c r="E628" s="7"/>
      <c r="F628" s="7"/>
      <c r="G628" s="7"/>
      <c r="H628" s="7"/>
      <c r="I628" s="7"/>
    </row>
    <row r="629" spans="5:9" x14ac:dyDescent="0.35">
      <c r="E629" s="7"/>
      <c r="F629" s="7"/>
      <c r="G629" s="7"/>
      <c r="H629" s="7"/>
      <c r="I629" s="7"/>
    </row>
    <row r="630" spans="5:9" x14ac:dyDescent="0.35">
      <c r="E630" s="7"/>
      <c r="F630" s="7"/>
      <c r="G630" s="7"/>
      <c r="H630" s="7"/>
      <c r="I630" s="7"/>
    </row>
    <row r="631" spans="5:9" x14ac:dyDescent="0.35">
      <c r="E631" s="7"/>
      <c r="F631" s="7"/>
      <c r="G631" s="7"/>
      <c r="H631" s="7"/>
      <c r="I631" s="7"/>
    </row>
    <row r="632" spans="5:9" x14ac:dyDescent="0.35">
      <c r="E632" s="7"/>
      <c r="F632" s="7"/>
      <c r="G632" s="7"/>
      <c r="H632" s="7"/>
      <c r="I632" s="7"/>
    </row>
    <row r="633" spans="5:9" x14ac:dyDescent="0.35">
      <c r="E633" s="7"/>
      <c r="F633" s="7"/>
      <c r="G633" s="7"/>
      <c r="H633" s="7"/>
      <c r="I633" s="7"/>
    </row>
    <row r="634" spans="5:9" x14ac:dyDescent="0.35">
      <c r="E634" s="7"/>
      <c r="F634" s="7"/>
      <c r="G634" s="7"/>
      <c r="H634" s="7"/>
      <c r="I634" s="7"/>
    </row>
    <row r="635" spans="5:9" x14ac:dyDescent="0.35">
      <c r="E635" s="7"/>
      <c r="F635" s="7"/>
      <c r="G635" s="7"/>
      <c r="H635" s="7"/>
      <c r="I635" s="7"/>
    </row>
    <row r="636" spans="5:9" x14ac:dyDescent="0.35">
      <c r="E636" s="7"/>
      <c r="F636" s="7"/>
      <c r="G636" s="7"/>
      <c r="H636" s="7"/>
      <c r="I636" s="7"/>
    </row>
    <row r="637" spans="5:9" x14ac:dyDescent="0.35">
      <c r="E637" s="7"/>
      <c r="F637" s="7"/>
      <c r="G637" s="7"/>
      <c r="H637" s="7"/>
      <c r="I637" s="7"/>
    </row>
    <row r="638" spans="5:9" x14ac:dyDescent="0.35">
      <c r="E638" s="7"/>
      <c r="F638" s="7"/>
      <c r="G638" s="7"/>
      <c r="H638" s="7"/>
      <c r="I638" s="7"/>
    </row>
    <row r="639" spans="5:9" x14ac:dyDescent="0.35">
      <c r="E639" s="7"/>
      <c r="F639" s="7"/>
      <c r="G639" s="7"/>
      <c r="H639" s="7"/>
      <c r="I639" s="7"/>
    </row>
    <row r="640" spans="5:9" x14ac:dyDescent="0.35">
      <c r="E640" s="7"/>
      <c r="F640" s="7"/>
      <c r="G640" s="7"/>
      <c r="H640" s="7"/>
      <c r="I640" s="7"/>
    </row>
    <row r="641" spans="5:9" x14ac:dyDescent="0.35">
      <c r="E641" s="7"/>
      <c r="F641" s="7"/>
      <c r="G641" s="7"/>
      <c r="H641" s="7"/>
      <c r="I641" s="7"/>
    </row>
    <row r="642" spans="5:9" x14ac:dyDescent="0.35">
      <c r="E642" s="7"/>
      <c r="F642" s="7"/>
      <c r="G642" s="7"/>
      <c r="H642" s="7"/>
      <c r="I642" s="7"/>
    </row>
    <row r="643" spans="5:9" x14ac:dyDescent="0.35">
      <c r="E643" s="7"/>
      <c r="F643" s="7"/>
      <c r="G643" s="7"/>
      <c r="H643" s="7"/>
      <c r="I643" s="7"/>
    </row>
    <row r="644" spans="5:9" x14ac:dyDescent="0.35">
      <c r="E644" s="7"/>
      <c r="F644" s="7"/>
      <c r="G644" s="7"/>
      <c r="H644" s="7"/>
      <c r="I644" s="7"/>
    </row>
    <row r="645" spans="5:9" x14ac:dyDescent="0.35">
      <c r="E645" s="7"/>
      <c r="F645" s="7"/>
      <c r="G645" s="7"/>
      <c r="H645" s="7"/>
      <c r="I645" s="7"/>
    </row>
    <row r="646" spans="5:9" x14ac:dyDescent="0.35">
      <c r="E646" s="7"/>
      <c r="F646" s="7"/>
      <c r="G646" s="7"/>
      <c r="H646" s="7"/>
      <c r="I646" s="7"/>
    </row>
    <row r="647" spans="5:9" x14ac:dyDescent="0.35">
      <c r="E647" s="7"/>
      <c r="F647" s="7"/>
      <c r="G647" s="7"/>
      <c r="H647" s="7"/>
      <c r="I647" s="7"/>
    </row>
    <row r="648" spans="5:9" x14ac:dyDescent="0.35">
      <c r="E648" s="7"/>
      <c r="F648" s="7"/>
      <c r="G648" s="7"/>
      <c r="H648" s="7"/>
      <c r="I648" s="7"/>
    </row>
    <row r="649" spans="5:9" x14ac:dyDescent="0.35">
      <c r="E649" s="7"/>
      <c r="F649" s="7"/>
      <c r="G649" s="7"/>
      <c r="H649" s="7"/>
      <c r="I649" s="7"/>
    </row>
    <row r="650" spans="5:9" x14ac:dyDescent="0.35">
      <c r="E650" s="7"/>
      <c r="F650" s="7"/>
      <c r="G650" s="7"/>
      <c r="H650" s="7"/>
      <c r="I650" s="7"/>
    </row>
    <row r="651" spans="5:9" x14ac:dyDescent="0.35">
      <c r="E651" s="7"/>
      <c r="F651" s="7"/>
      <c r="G651" s="7"/>
      <c r="H651" s="7"/>
      <c r="I651" s="7"/>
    </row>
    <row r="652" spans="5:9" x14ac:dyDescent="0.35">
      <c r="E652" s="7"/>
      <c r="F652" s="7"/>
      <c r="G652" s="7"/>
      <c r="H652" s="7"/>
      <c r="I652" s="7"/>
    </row>
    <row r="653" spans="5:9" x14ac:dyDescent="0.35">
      <c r="E653" s="7"/>
      <c r="F653" s="7"/>
      <c r="G653" s="7"/>
      <c r="H653" s="7"/>
      <c r="I653" s="7"/>
    </row>
    <row r="654" spans="5:9" x14ac:dyDescent="0.35">
      <c r="E654" s="7"/>
      <c r="F654" s="7"/>
      <c r="G654" s="7"/>
      <c r="H654" s="7"/>
      <c r="I654" s="7"/>
    </row>
    <row r="655" spans="5:9" x14ac:dyDescent="0.35">
      <c r="E655" s="7"/>
      <c r="F655" s="7"/>
      <c r="G655" s="7"/>
      <c r="H655" s="7"/>
      <c r="I655" s="7"/>
    </row>
    <row r="656" spans="5:9" x14ac:dyDescent="0.35">
      <c r="E656" s="7"/>
      <c r="F656" s="7"/>
      <c r="G656" s="7"/>
      <c r="H656" s="7"/>
      <c r="I656" s="7"/>
    </row>
    <row r="657" spans="5:9" x14ac:dyDescent="0.35">
      <c r="E657" s="7"/>
      <c r="F657" s="7"/>
      <c r="G657" s="7"/>
      <c r="H657" s="7"/>
      <c r="I657" s="7"/>
    </row>
    <row r="658" spans="5:9" x14ac:dyDescent="0.35">
      <c r="E658" s="7"/>
      <c r="F658" s="7"/>
      <c r="G658" s="7"/>
      <c r="H658" s="7"/>
      <c r="I658" s="7"/>
    </row>
    <row r="659" spans="5:9" x14ac:dyDescent="0.35">
      <c r="E659" s="7"/>
      <c r="F659" s="7"/>
      <c r="G659" s="7"/>
      <c r="H659" s="7"/>
      <c r="I659" s="7"/>
    </row>
    <row r="660" spans="5:9" x14ac:dyDescent="0.35">
      <c r="E660" s="7"/>
      <c r="F660" s="7"/>
      <c r="G660" s="7"/>
      <c r="H660" s="7"/>
      <c r="I660" s="7"/>
    </row>
    <row r="661" spans="5:9" x14ac:dyDescent="0.35">
      <c r="E661" s="7"/>
      <c r="F661" s="7"/>
      <c r="G661" s="7"/>
      <c r="H661" s="7"/>
      <c r="I661" s="7"/>
    </row>
    <row r="662" spans="5:9" x14ac:dyDescent="0.35">
      <c r="E662" s="7"/>
      <c r="F662" s="7"/>
      <c r="G662" s="7"/>
      <c r="H662" s="7"/>
      <c r="I662" s="7"/>
    </row>
    <row r="663" spans="5:9" x14ac:dyDescent="0.35">
      <c r="E663" s="7"/>
      <c r="F663" s="7"/>
      <c r="G663" s="7"/>
      <c r="H663" s="7"/>
      <c r="I663" s="7"/>
    </row>
    <row r="664" spans="5:9" x14ac:dyDescent="0.35">
      <c r="E664" s="7"/>
      <c r="F664" s="7"/>
      <c r="G664" s="7"/>
      <c r="H664" s="7"/>
      <c r="I664" s="7"/>
    </row>
    <row r="665" spans="5:9" x14ac:dyDescent="0.35">
      <c r="E665" s="7"/>
      <c r="F665" s="7"/>
      <c r="G665" s="7"/>
      <c r="H665" s="7"/>
      <c r="I665" s="7"/>
    </row>
    <row r="666" spans="5:9" x14ac:dyDescent="0.35">
      <c r="E666" s="7"/>
      <c r="F666" s="7"/>
      <c r="G666" s="7"/>
      <c r="H666" s="7"/>
      <c r="I666" s="7"/>
    </row>
    <row r="667" spans="5:9" x14ac:dyDescent="0.35">
      <c r="E667" s="7"/>
      <c r="F667" s="7"/>
      <c r="G667" s="7"/>
      <c r="H667" s="7"/>
      <c r="I667" s="7"/>
    </row>
    <row r="668" spans="5:9" x14ac:dyDescent="0.35">
      <c r="E668" s="7"/>
      <c r="F668" s="7"/>
      <c r="G668" s="7"/>
      <c r="H668" s="7"/>
      <c r="I668" s="7"/>
    </row>
    <row r="669" spans="5:9" x14ac:dyDescent="0.35">
      <c r="E669" s="7"/>
      <c r="F669" s="7"/>
      <c r="G669" s="7"/>
      <c r="H669" s="7"/>
      <c r="I669" s="7"/>
    </row>
    <row r="670" spans="5:9" x14ac:dyDescent="0.35">
      <c r="E670" s="7"/>
      <c r="F670" s="7"/>
      <c r="G670" s="7"/>
      <c r="H670" s="7"/>
      <c r="I670" s="7"/>
    </row>
    <row r="671" spans="5:9" x14ac:dyDescent="0.35">
      <c r="E671" s="7"/>
      <c r="F671" s="7"/>
      <c r="G671" s="7"/>
      <c r="H671" s="7"/>
      <c r="I671" s="7"/>
    </row>
    <row r="672" spans="5:9" x14ac:dyDescent="0.35">
      <c r="E672" s="7"/>
      <c r="F672" s="7"/>
      <c r="G672" s="7"/>
      <c r="H672" s="7"/>
      <c r="I672" s="7"/>
    </row>
    <row r="673" spans="5:9" x14ac:dyDescent="0.35">
      <c r="E673" s="7"/>
      <c r="F673" s="7"/>
      <c r="G673" s="7"/>
      <c r="H673" s="7"/>
      <c r="I673" s="7"/>
    </row>
    <row r="674" spans="5:9" x14ac:dyDescent="0.35">
      <c r="E674" s="7"/>
      <c r="F674" s="7"/>
      <c r="G674" s="7"/>
      <c r="H674" s="7"/>
      <c r="I674" s="7"/>
    </row>
    <row r="675" spans="5:9" x14ac:dyDescent="0.35">
      <c r="E675" s="7"/>
      <c r="F675" s="7"/>
      <c r="G675" s="7"/>
      <c r="H675" s="7"/>
      <c r="I675" s="7"/>
    </row>
    <row r="676" spans="5:9" x14ac:dyDescent="0.35">
      <c r="E676" s="7"/>
      <c r="F676" s="7"/>
      <c r="G676" s="7"/>
      <c r="H676" s="7"/>
      <c r="I676" s="7"/>
    </row>
    <row r="677" spans="5:9" x14ac:dyDescent="0.35">
      <c r="E677" s="7"/>
      <c r="F677" s="7"/>
      <c r="G677" s="7"/>
      <c r="H677" s="7"/>
      <c r="I677" s="7"/>
    </row>
    <row r="678" spans="5:9" x14ac:dyDescent="0.35">
      <c r="E678" s="7"/>
      <c r="F678" s="7"/>
      <c r="G678" s="7"/>
      <c r="H678" s="7"/>
      <c r="I678" s="7"/>
    </row>
    <row r="679" spans="5:9" x14ac:dyDescent="0.35">
      <c r="E679" s="7"/>
      <c r="F679" s="7"/>
      <c r="G679" s="7"/>
      <c r="H679" s="7"/>
      <c r="I679" s="7"/>
    </row>
    <row r="680" spans="5:9" x14ac:dyDescent="0.35">
      <c r="E680" s="7"/>
      <c r="F680" s="7"/>
      <c r="G680" s="7"/>
      <c r="H680" s="7"/>
      <c r="I680" s="7"/>
    </row>
    <row r="681" spans="5:9" x14ac:dyDescent="0.35">
      <c r="E681" s="7"/>
      <c r="F681" s="7"/>
      <c r="G681" s="7"/>
      <c r="H681" s="7"/>
      <c r="I681" s="7"/>
    </row>
    <row r="682" spans="5:9" x14ac:dyDescent="0.35">
      <c r="E682" s="7"/>
      <c r="F682" s="7"/>
      <c r="G682" s="7"/>
      <c r="H682" s="7"/>
      <c r="I682" s="7"/>
    </row>
    <row r="683" spans="5:9" x14ac:dyDescent="0.35">
      <c r="E683" s="7"/>
      <c r="F683" s="7"/>
      <c r="G683" s="7"/>
      <c r="H683" s="7"/>
      <c r="I683" s="7"/>
    </row>
    <row r="684" spans="5:9" x14ac:dyDescent="0.35">
      <c r="E684" s="7"/>
      <c r="F684" s="7"/>
      <c r="G684" s="7"/>
      <c r="H684" s="7"/>
      <c r="I684" s="7"/>
    </row>
    <row r="685" spans="5:9" x14ac:dyDescent="0.35">
      <c r="E685" s="7"/>
      <c r="F685" s="7"/>
      <c r="G685" s="7"/>
      <c r="H685" s="7"/>
      <c r="I685" s="7"/>
    </row>
    <row r="686" spans="5:9" x14ac:dyDescent="0.35">
      <c r="E686" s="7"/>
      <c r="F686" s="7"/>
      <c r="G686" s="7"/>
      <c r="H686" s="7"/>
      <c r="I686" s="7"/>
    </row>
    <row r="687" spans="5:9" x14ac:dyDescent="0.35">
      <c r="E687" s="7"/>
      <c r="F687" s="7"/>
      <c r="G687" s="7"/>
      <c r="H687" s="7"/>
      <c r="I687" s="7"/>
    </row>
    <row r="688" spans="5:9" x14ac:dyDescent="0.35">
      <c r="E688" s="7"/>
      <c r="F688" s="7"/>
      <c r="G688" s="7"/>
      <c r="H688" s="7"/>
      <c r="I688" s="7"/>
    </row>
    <row r="689" spans="5:9" x14ac:dyDescent="0.35">
      <c r="E689" s="7"/>
      <c r="F689" s="7"/>
      <c r="G689" s="7"/>
      <c r="H689" s="7"/>
      <c r="I689" s="7"/>
    </row>
    <row r="690" spans="5:9" x14ac:dyDescent="0.35">
      <c r="E690" s="7"/>
      <c r="F690" s="7"/>
      <c r="G690" s="7"/>
      <c r="H690" s="7"/>
      <c r="I690" s="7"/>
    </row>
    <row r="691" spans="5:9" x14ac:dyDescent="0.35">
      <c r="E691" s="7"/>
      <c r="F691" s="7"/>
      <c r="G691" s="7"/>
      <c r="H691" s="7"/>
      <c r="I691" s="7"/>
    </row>
    <row r="692" spans="5:9" x14ac:dyDescent="0.35">
      <c r="E692" s="7"/>
      <c r="F692" s="7"/>
      <c r="G692" s="7"/>
      <c r="H692" s="7"/>
      <c r="I692" s="7"/>
    </row>
    <row r="693" spans="5:9" x14ac:dyDescent="0.35">
      <c r="E693" s="7"/>
      <c r="F693" s="7"/>
      <c r="G693" s="7"/>
      <c r="H693" s="7"/>
      <c r="I693" s="7"/>
    </row>
    <row r="694" spans="5:9" x14ac:dyDescent="0.35">
      <c r="E694" s="7"/>
      <c r="F694" s="7"/>
      <c r="G694" s="7"/>
      <c r="H694" s="7"/>
      <c r="I694" s="7"/>
    </row>
    <row r="695" spans="5:9" x14ac:dyDescent="0.35">
      <c r="E695" s="7"/>
      <c r="F695" s="7"/>
      <c r="G695" s="7"/>
      <c r="H695" s="7"/>
      <c r="I695" s="7"/>
    </row>
    <row r="696" spans="5:9" x14ac:dyDescent="0.35">
      <c r="E696" s="7"/>
      <c r="F696" s="7"/>
      <c r="G696" s="7"/>
      <c r="H696" s="7"/>
      <c r="I696" s="7"/>
    </row>
    <row r="697" spans="5:9" x14ac:dyDescent="0.35">
      <c r="E697" s="7"/>
      <c r="F697" s="7"/>
      <c r="G697" s="7"/>
      <c r="H697" s="7"/>
      <c r="I697" s="7"/>
    </row>
    <row r="698" spans="5:9" x14ac:dyDescent="0.35">
      <c r="E698" s="7"/>
      <c r="F698" s="7"/>
      <c r="G698" s="7"/>
      <c r="H698" s="7"/>
      <c r="I698" s="7"/>
    </row>
    <row r="699" spans="5:9" x14ac:dyDescent="0.35">
      <c r="E699" s="7"/>
      <c r="F699" s="7"/>
      <c r="G699" s="7"/>
      <c r="H699" s="7"/>
      <c r="I699" s="7"/>
    </row>
    <row r="700" spans="5:9" x14ac:dyDescent="0.35">
      <c r="E700" s="7"/>
      <c r="F700" s="7"/>
      <c r="G700" s="7"/>
      <c r="H700" s="7"/>
      <c r="I700" s="7"/>
    </row>
    <row r="701" spans="5:9" x14ac:dyDescent="0.35">
      <c r="E701" s="7"/>
      <c r="F701" s="7"/>
      <c r="G701" s="7"/>
      <c r="H701" s="7"/>
      <c r="I701" s="7"/>
    </row>
    <row r="702" spans="5:9" x14ac:dyDescent="0.35">
      <c r="E702" s="7"/>
      <c r="F702" s="7"/>
      <c r="G702" s="7"/>
      <c r="H702" s="7"/>
      <c r="I702" s="7"/>
    </row>
    <row r="703" spans="5:9" x14ac:dyDescent="0.35">
      <c r="E703" s="7"/>
      <c r="F703" s="7"/>
      <c r="G703" s="7"/>
      <c r="H703" s="7"/>
      <c r="I703" s="7"/>
    </row>
    <row r="704" spans="5:9" x14ac:dyDescent="0.35">
      <c r="E704" s="7"/>
      <c r="F704" s="7"/>
      <c r="G704" s="7"/>
      <c r="H704" s="7"/>
      <c r="I704" s="7"/>
    </row>
    <row r="705" spans="5:9" x14ac:dyDescent="0.35">
      <c r="E705" s="7"/>
      <c r="F705" s="7"/>
      <c r="G705" s="7"/>
      <c r="H705" s="7"/>
      <c r="I705" s="7"/>
    </row>
    <row r="706" spans="5:9" x14ac:dyDescent="0.35">
      <c r="E706" s="7"/>
      <c r="F706" s="7"/>
      <c r="G706" s="7"/>
      <c r="H706" s="7"/>
      <c r="I706" s="7"/>
    </row>
    <row r="707" spans="5:9" x14ac:dyDescent="0.35">
      <c r="E707" s="7"/>
      <c r="F707" s="7"/>
      <c r="G707" s="7"/>
      <c r="H707" s="7"/>
      <c r="I707" s="7"/>
    </row>
    <row r="708" spans="5:9" x14ac:dyDescent="0.35">
      <c r="E708" s="7"/>
      <c r="F708" s="7"/>
      <c r="G708" s="7"/>
      <c r="H708" s="7"/>
      <c r="I708" s="7"/>
    </row>
    <row r="709" spans="5:9" x14ac:dyDescent="0.35">
      <c r="E709" s="7"/>
      <c r="F709" s="7"/>
      <c r="G709" s="7"/>
      <c r="H709" s="7"/>
      <c r="I709" s="7"/>
    </row>
    <row r="710" spans="5:9" x14ac:dyDescent="0.35">
      <c r="E710" s="7"/>
      <c r="F710" s="7"/>
      <c r="G710" s="7"/>
      <c r="H710" s="7"/>
      <c r="I710" s="7"/>
    </row>
    <row r="711" spans="5:9" x14ac:dyDescent="0.35">
      <c r="E711" s="7"/>
      <c r="F711" s="7"/>
      <c r="G711" s="7"/>
      <c r="H711" s="7"/>
      <c r="I711" s="7"/>
    </row>
    <row r="712" spans="5:9" x14ac:dyDescent="0.35">
      <c r="E712" s="7"/>
      <c r="F712" s="7"/>
      <c r="G712" s="7"/>
      <c r="H712" s="7"/>
      <c r="I712" s="7"/>
    </row>
    <row r="713" spans="5:9" x14ac:dyDescent="0.35">
      <c r="E713" s="7"/>
      <c r="F713" s="7"/>
      <c r="G713" s="7"/>
      <c r="H713" s="7"/>
      <c r="I713" s="7"/>
    </row>
    <row r="714" spans="5:9" x14ac:dyDescent="0.35">
      <c r="E714" s="7"/>
      <c r="F714" s="7"/>
      <c r="G714" s="7"/>
      <c r="H714" s="7"/>
      <c r="I714" s="7"/>
    </row>
    <row r="715" spans="5:9" x14ac:dyDescent="0.35">
      <c r="E715" s="7"/>
      <c r="F715" s="7"/>
      <c r="G715" s="7"/>
      <c r="H715" s="7"/>
      <c r="I715" s="7"/>
    </row>
    <row r="716" spans="5:9" x14ac:dyDescent="0.35">
      <c r="E716" s="7"/>
      <c r="F716" s="7"/>
      <c r="G716" s="7"/>
      <c r="H716" s="7"/>
      <c r="I716" s="7"/>
    </row>
    <row r="717" spans="5:9" x14ac:dyDescent="0.35">
      <c r="E717" s="7"/>
      <c r="F717" s="7"/>
      <c r="G717" s="7"/>
      <c r="H717" s="7"/>
      <c r="I717" s="7"/>
    </row>
    <row r="718" spans="5:9" x14ac:dyDescent="0.35">
      <c r="E718" s="7"/>
      <c r="F718" s="7"/>
      <c r="G718" s="7"/>
      <c r="H718" s="7"/>
      <c r="I718" s="7"/>
    </row>
    <row r="719" spans="5:9" x14ac:dyDescent="0.35">
      <c r="E719" s="7"/>
      <c r="F719" s="7"/>
      <c r="G719" s="7"/>
      <c r="H719" s="7"/>
      <c r="I719" s="7"/>
    </row>
    <row r="720" spans="5:9" x14ac:dyDescent="0.35">
      <c r="E720" s="7"/>
      <c r="F720" s="7"/>
      <c r="G720" s="7"/>
      <c r="H720" s="7"/>
      <c r="I720" s="7"/>
    </row>
    <row r="721" spans="5:9" x14ac:dyDescent="0.35">
      <c r="E721" s="7"/>
      <c r="F721" s="7"/>
      <c r="G721" s="7"/>
      <c r="H721" s="7"/>
      <c r="I721" s="7"/>
    </row>
    <row r="722" spans="5:9" x14ac:dyDescent="0.35">
      <c r="E722" s="7"/>
      <c r="F722" s="7"/>
      <c r="G722" s="7"/>
      <c r="H722" s="7"/>
      <c r="I722" s="7"/>
    </row>
    <row r="723" spans="5:9" x14ac:dyDescent="0.35">
      <c r="E723" s="7"/>
      <c r="F723" s="7"/>
      <c r="G723" s="7"/>
      <c r="H723" s="7"/>
      <c r="I723" s="7"/>
    </row>
    <row r="724" spans="5:9" x14ac:dyDescent="0.35">
      <c r="E724" s="7"/>
      <c r="F724" s="7"/>
      <c r="G724" s="7"/>
      <c r="H724" s="7"/>
      <c r="I724" s="7"/>
    </row>
    <row r="725" spans="5:9" x14ac:dyDescent="0.35">
      <c r="E725" s="7"/>
      <c r="F725" s="7"/>
      <c r="G725" s="7"/>
      <c r="H725" s="7"/>
      <c r="I725" s="7"/>
    </row>
    <row r="726" spans="5:9" x14ac:dyDescent="0.35">
      <c r="E726" s="7"/>
      <c r="F726" s="7"/>
      <c r="G726" s="7"/>
      <c r="H726" s="7"/>
      <c r="I726" s="7"/>
    </row>
    <row r="727" spans="5:9" x14ac:dyDescent="0.35">
      <c r="E727" s="7"/>
      <c r="F727" s="7"/>
      <c r="G727" s="7"/>
      <c r="H727" s="7"/>
      <c r="I727" s="7"/>
    </row>
    <row r="728" spans="5:9" x14ac:dyDescent="0.35">
      <c r="E728" s="7"/>
      <c r="F728" s="7"/>
      <c r="G728" s="7"/>
      <c r="H728" s="7"/>
      <c r="I728" s="7"/>
    </row>
    <row r="729" spans="5:9" x14ac:dyDescent="0.35">
      <c r="E729" s="7"/>
      <c r="F729" s="7"/>
      <c r="G729" s="7"/>
      <c r="H729" s="7"/>
      <c r="I729" s="7"/>
    </row>
    <row r="730" spans="5:9" x14ac:dyDescent="0.35">
      <c r="E730" s="7"/>
      <c r="F730" s="7"/>
      <c r="G730" s="7"/>
      <c r="H730" s="7"/>
      <c r="I730" s="7"/>
    </row>
    <row r="731" spans="5:9" x14ac:dyDescent="0.35">
      <c r="E731" s="7"/>
      <c r="F731" s="7"/>
      <c r="G731" s="7"/>
      <c r="H731" s="7"/>
      <c r="I731" s="7"/>
    </row>
    <row r="732" spans="5:9" x14ac:dyDescent="0.35">
      <c r="E732" s="7"/>
      <c r="F732" s="7"/>
      <c r="G732" s="7"/>
      <c r="H732" s="7"/>
      <c r="I732" s="7"/>
    </row>
    <row r="733" spans="5:9" x14ac:dyDescent="0.35">
      <c r="E733" s="7"/>
      <c r="F733" s="7"/>
      <c r="G733" s="7"/>
      <c r="H733" s="7"/>
      <c r="I733" s="7"/>
    </row>
    <row r="734" spans="5:9" x14ac:dyDescent="0.35">
      <c r="E734" s="7"/>
      <c r="F734" s="7"/>
      <c r="G734" s="7"/>
      <c r="H734" s="7"/>
      <c r="I734" s="7"/>
    </row>
    <row r="735" spans="5:9" x14ac:dyDescent="0.35">
      <c r="E735" s="7"/>
      <c r="F735" s="7"/>
      <c r="G735" s="7"/>
      <c r="H735" s="7"/>
      <c r="I735" s="7"/>
    </row>
    <row r="736" spans="5:9" x14ac:dyDescent="0.35">
      <c r="E736" s="7"/>
      <c r="F736" s="7"/>
      <c r="G736" s="7"/>
      <c r="H736" s="7"/>
      <c r="I736" s="7"/>
    </row>
    <row r="737" spans="5:9" x14ac:dyDescent="0.35">
      <c r="E737" s="7"/>
      <c r="F737" s="7"/>
      <c r="G737" s="7"/>
      <c r="H737" s="7"/>
      <c r="I737" s="7"/>
    </row>
    <row r="738" spans="5:9" x14ac:dyDescent="0.35">
      <c r="E738" s="7"/>
      <c r="F738" s="7"/>
      <c r="G738" s="7"/>
      <c r="H738" s="7"/>
      <c r="I738" s="7"/>
    </row>
    <row r="739" spans="5:9" x14ac:dyDescent="0.35">
      <c r="E739" s="7"/>
      <c r="F739" s="7"/>
      <c r="G739" s="7"/>
      <c r="H739" s="7"/>
      <c r="I739" s="7"/>
    </row>
    <row r="740" spans="5:9" x14ac:dyDescent="0.35">
      <c r="E740" s="7"/>
      <c r="F740" s="7"/>
      <c r="G740" s="7"/>
      <c r="H740" s="7"/>
      <c r="I740" s="7"/>
    </row>
    <row r="741" spans="5:9" x14ac:dyDescent="0.35">
      <c r="E741" s="7"/>
      <c r="F741" s="7"/>
      <c r="G741" s="7"/>
      <c r="H741" s="7"/>
      <c r="I741" s="7"/>
    </row>
    <row r="742" spans="5:9" x14ac:dyDescent="0.35">
      <c r="E742" s="7"/>
      <c r="F742" s="7"/>
      <c r="G742" s="7"/>
      <c r="H742" s="7"/>
      <c r="I742" s="7"/>
    </row>
    <row r="743" spans="5:9" x14ac:dyDescent="0.35">
      <c r="E743" s="7"/>
      <c r="F743" s="7"/>
      <c r="G743" s="7"/>
      <c r="H743" s="7"/>
      <c r="I743" s="7"/>
    </row>
    <row r="744" spans="5:9" x14ac:dyDescent="0.35">
      <c r="E744" s="7"/>
      <c r="F744" s="7"/>
      <c r="G744" s="7"/>
      <c r="H744" s="7"/>
      <c r="I744" s="7"/>
    </row>
    <row r="745" spans="5:9" x14ac:dyDescent="0.35">
      <c r="E745" s="7"/>
      <c r="F745" s="7"/>
      <c r="G745" s="7"/>
      <c r="H745" s="7"/>
      <c r="I745" s="7"/>
    </row>
    <row r="746" spans="5:9" x14ac:dyDescent="0.35">
      <c r="E746" s="7"/>
      <c r="F746" s="7"/>
      <c r="G746" s="7"/>
      <c r="H746" s="7"/>
      <c r="I746" s="7"/>
    </row>
    <row r="747" spans="5:9" x14ac:dyDescent="0.35">
      <c r="E747" s="7"/>
      <c r="F747" s="7"/>
      <c r="G747" s="7"/>
      <c r="H747" s="7"/>
      <c r="I747" s="7"/>
    </row>
    <row r="748" spans="5:9" x14ac:dyDescent="0.35">
      <c r="E748" s="7"/>
      <c r="F748" s="7"/>
      <c r="G748" s="7"/>
      <c r="H748" s="7"/>
      <c r="I748" s="7"/>
    </row>
    <row r="749" spans="5:9" x14ac:dyDescent="0.35">
      <c r="E749" s="7"/>
      <c r="F749" s="7"/>
      <c r="G749" s="7"/>
      <c r="H749" s="7"/>
      <c r="I749" s="7"/>
    </row>
    <row r="750" spans="5:9" x14ac:dyDescent="0.35">
      <c r="E750" s="7"/>
      <c r="F750" s="7"/>
      <c r="G750" s="7"/>
      <c r="H750" s="7"/>
      <c r="I750" s="7"/>
    </row>
    <row r="751" spans="5:9" x14ac:dyDescent="0.35">
      <c r="E751" s="7"/>
      <c r="F751" s="7"/>
      <c r="G751" s="7"/>
      <c r="H751" s="7"/>
      <c r="I751" s="7"/>
    </row>
    <row r="752" spans="5:9" x14ac:dyDescent="0.35">
      <c r="E752" s="7"/>
      <c r="F752" s="7"/>
      <c r="G752" s="7"/>
      <c r="H752" s="7"/>
      <c r="I752" s="7"/>
    </row>
    <row r="753" spans="5:9" x14ac:dyDescent="0.35">
      <c r="E753" s="7"/>
      <c r="F753" s="7"/>
      <c r="G753" s="7"/>
      <c r="H753" s="7"/>
      <c r="I753" s="7"/>
    </row>
    <row r="754" spans="5:9" x14ac:dyDescent="0.35">
      <c r="E754" s="7"/>
      <c r="F754" s="7"/>
      <c r="G754" s="7"/>
      <c r="H754" s="7"/>
      <c r="I754" s="7"/>
    </row>
    <row r="755" spans="5:9" x14ac:dyDescent="0.35">
      <c r="E755" s="7"/>
      <c r="F755" s="7"/>
      <c r="G755" s="7"/>
      <c r="H755" s="7"/>
      <c r="I755" s="7"/>
    </row>
    <row r="756" spans="5:9" x14ac:dyDescent="0.35">
      <c r="E756" s="7"/>
      <c r="F756" s="7"/>
      <c r="G756" s="7"/>
      <c r="H756" s="7"/>
      <c r="I756" s="7"/>
    </row>
    <row r="757" spans="5:9" x14ac:dyDescent="0.35">
      <c r="E757" s="7"/>
      <c r="F757" s="7"/>
      <c r="G757" s="7"/>
      <c r="H757" s="7"/>
      <c r="I757" s="7"/>
    </row>
    <row r="758" spans="5:9" x14ac:dyDescent="0.35">
      <c r="E758" s="7"/>
      <c r="F758" s="7"/>
      <c r="G758" s="7"/>
      <c r="H758" s="7"/>
      <c r="I758" s="7"/>
    </row>
    <row r="759" spans="5:9" x14ac:dyDescent="0.35">
      <c r="E759" s="7"/>
      <c r="F759" s="7"/>
      <c r="G759" s="7"/>
      <c r="H759" s="7"/>
      <c r="I759" s="7"/>
    </row>
    <row r="760" spans="5:9" x14ac:dyDescent="0.35">
      <c r="E760" s="7"/>
      <c r="F760" s="7"/>
      <c r="G760" s="7"/>
      <c r="H760" s="7"/>
      <c r="I760" s="7"/>
    </row>
    <row r="761" spans="5:9" x14ac:dyDescent="0.35">
      <c r="E761" s="7"/>
      <c r="F761" s="7"/>
      <c r="G761" s="7"/>
      <c r="H761" s="7"/>
      <c r="I761" s="7"/>
    </row>
    <row r="762" spans="5:9" x14ac:dyDescent="0.35">
      <c r="E762" s="7"/>
      <c r="F762" s="7"/>
      <c r="G762" s="7"/>
      <c r="H762" s="7"/>
      <c r="I762" s="7"/>
    </row>
    <row r="763" spans="5:9" x14ac:dyDescent="0.35">
      <c r="E763" s="7"/>
      <c r="F763" s="7"/>
      <c r="G763" s="7"/>
      <c r="H763" s="7"/>
      <c r="I763" s="7"/>
    </row>
    <row r="764" spans="5:9" x14ac:dyDescent="0.35">
      <c r="E764" s="7"/>
      <c r="F764" s="7"/>
      <c r="G764" s="7"/>
      <c r="H764" s="7"/>
      <c r="I764" s="7"/>
    </row>
    <row r="765" spans="5:9" x14ac:dyDescent="0.35">
      <c r="E765" s="7"/>
      <c r="F765" s="7"/>
      <c r="G765" s="7"/>
      <c r="H765" s="7"/>
      <c r="I765" s="7"/>
    </row>
    <row r="766" spans="5:9" x14ac:dyDescent="0.35">
      <c r="E766" s="7"/>
      <c r="F766" s="7"/>
      <c r="G766" s="7"/>
      <c r="H766" s="7"/>
      <c r="I766" s="7"/>
    </row>
    <row r="767" spans="5:9" x14ac:dyDescent="0.35">
      <c r="E767" s="7"/>
      <c r="F767" s="7"/>
      <c r="G767" s="7"/>
      <c r="H767" s="7"/>
      <c r="I767" s="7"/>
    </row>
    <row r="768" spans="5:9" x14ac:dyDescent="0.35">
      <c r="E768" s="7"/>
      <c r="F768" s="7"/>
      <c r="G768" s="7"/>
      <c r="H768" s="7"/>
      <c r="I768" s="7"/>
    </row>
    <row r="769" spans="5:9" x14ac:dyDescent="0.35">
      <c r="E769" s="7"/>
      <c r="F769" s="7"/>
      <c r="G769" s="7"/>
      <c r="H769" s="7"/>
      <c r="I769" s="7"/>
    </row>
    <row r="770" spans="5:9" x14ac:dyDescent="0.35">
      <c r="E770" s="7"/>
      <c r="F770" s="7"/>
      <c r="G770" s="7"/>
      <c r="H770" s="7"/>
      <c r="I770" s="7"/>
    </row>
    <row r="771" spans="5:9" x14ac:dyDescent="0.35">
      <c r="E771" s="7"/>
      <c r="F771" s="7"/>
      <c r="G771" s="7"/>
      <c r="H771" s="7"/>
      <c r="I771" s="7"/>
    </row>
    <row r="772" spans="5:9" x14ac:dyDescent="0.35">
      <c r="E772" s="7"/>
      <c r="F772" s="7"/>
      <c r="G772" s="7"/>
      <c r="H772" s="7"/>
      <c r="I772" s="7"/>
    </row>
    <row r="773" spans="5:9" x14ac:dyDescent="0.35">
      <c r="E773" s="7"/>
      <c r="F773" s="7"/>
      <c r="G773" s="7"/>
      <c r="H773" s="7"/>
      <c r="I773" s="7"/>
    </row>
    <row r="774" spans="5:9" x14ac:dyDescent="0.35">
      <c r="E774" s="7"/>
      <c r="F774" s="7"/>
      <c r="G774" s="7"/>
      <c r="H774" s="7"/>
      <c r="I774" s="7"/>
    </row>
    <row r="775" spans="5:9" x14ac:dyDescent="0.35">
      <c r="E775" s="7"/>
      <c r="F775" s="7"/>
      <c r="G775" s="7"/>
      <c r="H775" s="7"/>
      <c r="I775" s="7"/>
    </row>
    <row r="776" spans="5:9" x14ac:dyDescent="0.35">
      <c r="E776" s="7"/>
      <c r="F776" s="7"/>
      <c r="G776" s="7"/>
      <c r="H776" s="7"/>
      <c r="I776" s="7"/>
    </row>
    <row r="777" spans="5:9" x14ac:dyDescent="0.35">
      <c r="E777" s="7"/>
      <c r="F777" s="7"/>
      <c r="G777" s="7"/>
      <c r="H777" s="7"/>
      <c r="I777" s="7"/>
    </row>
    <row r="778" spans="5:9" x14ac:dyDescent="0.35">
      <c r="E778" s="7"/>
      <c r="F778" s="7"/>
      <c r="G778" s="7"/>
      <c r="H778" s="7"/>
      <c r="I778" s="7"/>
    </row>
    <row r="779" spans="5:9" x14ac:dyDescent="0.35">
      <c r="E779" s="7"/>
      <c r="F779" s="7"/>
      <c r="G779" s="7"/>
      <c r="H779" s="7"/>
      <c r="I779" s="7"/>
    </row>
    <row r="780" spans="5:9" x14ac:dyDescent="0.35">
      <c r="E780" s="7"/>
      <c r="F780" s="7"/>
      <c r="G780" s="7"/>
      <c r="H780" s="7"/>
      <c r="I780" s="7"/>
    </row>
    <row r="781" spans="5:9" x14ac:dyDescent="0.35">
      <c r="E781" s="7"/>
      <c r="F781" s="7"/>
      <c r="G781" s="7"/>
      <c r="H781" s="7"/>
      <c r="I781" s="7"/>
    </row>
    <row r="782" spans="5:9" x14ac:dyDescent="0.35">
      <c r="E782" s="7"/>
      <c r="F782" s="7"/>
      <c r="G782" s="7"/>
      <c r="H782" s="7"/>
      <c r="I782" s="7"/>
    </row>
    <row r="783" spans="5:9" x14ac:dyDescent="0.35">
      <c r="E783" s="7"/>
      <c r="F783" s="7"/>
      <c r="G783" s="7"/>
      <c r="H783" s="7"/>
      <c r="I783" s="7"/>
    </row>
    <row r="784" spans="5:9" x14ac:dyDescent="0.35">
      <c r="E784" s="7"/>
      <c r="F784" s="7"/>
      <c r="G784" s="7"/>
      <c r="H784" s="7"/>
      <c r="I784" s="7"/>
    </row>
    <row r="785" spans="5:9" x14ac:dyDescent="0.35">
      <c r="E785" s="7"/>
      <c r="F785" s="7"/>
      <c r="G785" s="7"/>
      <c r="H785" s="7"/>
      <c r="I785" s="7"/>
    </row>
    <row r="786" spans="5:9" x14ac:dyDescent="0.35">
      <c r="E786" s="7"/>
      <c r="F786" s="7"/>
      <c r="G786" s="7"/>
      <c r="H786" s="7"/>
      <c r="I786" s="7"/>
    </row>
    <row r="787" spans="5:9" x14ac:dyDescent="0.35">
      <c r="E787" s="7"/>
      <c r="F787" s="7"/>
      <c r="G787" s="7"/>
      <c r="H787" s="7"/>
      <c r="I787" s="7"/>
    </row>
    <row r="788" spans="5:9" x14ac:dyDescent="0.35">
      <c r="E788" s="7"/>
      <c r="F788" s="7"/>
      <c r="G788" s="7"/>
      <c r="H788" s="7"/>
      <c r="I788" s="7"/>
    </row>
    <row r="789" spans="5:9" x14ac:dyDescent="0.35">
      <c r="E789" s="7"/>
      <c r="F789" s="7"/>
      <c r="G789" s="7"/>
      <c r="H789" s="7"/>
      <c r="I789" s="7"/>
    </row>
    <row r="790" spans="5:9" x14ac:dyDescent="0.35">
      <c r="E790" s="7"/>
      <c r="F790" s="7"/>
      <c r="G790" s="7"/>
      <c r="H790" s="7"/>
      <c r="I790" s="7"/>
    </row>
    <row r="791" spans="5:9" x14ac:dyDescent="0.35">
      <c r="E791" s="7"/>
      <c r="F791" s="7"/>
      <c r="G791" s="7"/>
      <c r="H791" s="7"/>
      <c r="I791" s="7"/>
    </row>
    <row r="792" spans="5:9" x14ac:dyDescent="0.35">
      <c r="E792" s="7"/>
      <c r="F792" s="7"/>
      <c r="G792" s="7"/>
      <c r="H792" s="7"/>
      <c r="I792" s="7"/>
    </row>
    <row r="793" spans="5:9" x14ac:dyDescent="0.35">
      <c r="E793" s="7"/>
      <c r="F793" s="7"/>
      <c r="G793" s="7"/>
      <c r="H793" s="7"/>
      <c r="I793" s="7"/>
    </row>
    <row r="794" spans="5:9" x14ac:dyDescent="0.35">
      <c r="E794" s="7"/>
      <c r="F794" s="7"/>
      <c r="G794" s="7"/>
      <c r="H794" s="7"/>
      <c r="I794" s="7"/>
    </row>
    <row r="795" spans="5:9" x14ac:dyDescent="0.35">
      <c r="E795" s="7"/>
      <c r="F795" s="7"/>
      <c r="G795" s="7"/>
      <c r="H795" s="7"/>
      <c r="I795" s="7"/>
    </row>
    <row r="796" spans="5:9" x14ac:dyDescent="0.35">
      <c r="E796" s="7"/>
      <c r="F796" s="7"/>
      <c r="G796" s="7"/>
      <c r="H796" s="7"/>
      <c r="I796" s="7"/>
    </row>
    <row r="797" spans="5:9" x14ac:dyDescent="0.35">
      <c r="E797" s="7"/>
      <c r="F797" s="7"/>
      <c r="G797" s="7"/>
      <c r="H797" s="7"/>
      <c r="I797" s="7"/>
    </row>
    <row r="798" spans="5:9" x14ac:dyDescent="0.35">
      <c r="E798" s="7"/>
      <c r="F798" s="7"/>
      <c r="G798" s="7"/>
      <c r="H798" s="7"/>
      <c r="I798" s="7"/>
    </row>
    <row r="799" spans="5:9" x14ac:dyDescent="0.35">
      <c r="E799" s="7"/>
      <c r="F799" s="7"/>
      <c r="G799" s="7"/>
      <c r="H799" s="7"/>
      <c r="I799" s="7"/>
    </row>
    <row r="800" spans="5:9" x14ac:dyDescent="0.35">
      <c r="E800" s="7"/>
      <c r="F800" s="7"/>
      <c r="G800" s="7"/>
      <c r="H800" s="7"/>
      <c r="I800" s="7"/>
    </row>
    <row r="801" spans="5:9" x14ac:dyDescent="0.35">
      <c r="E801" s="7"/>
      <c r="F801" s="7"/>
      <c r="G801" s="7"/>
      <c r="H801" s="7"/>
      <c r="I801" s="7"/>
    </row>
    <row r="802" spans="5:9" x14ac:dyDescent="0.35">
      <c r="E802" s="7"/>
      <c r="F802" s="7"/>
      <c r="G802" s="7"/>
      <c r="H802" s="7"/>
      <c r="I802" s="7"/>
    </row>
    <row r="803" spans="5:9" x14ac:dyDescent="0.35">
      <c r="E803" s="7"/>
      <c r="F803" s="7"/>
      <c r="G803" s="7"/>
      <c r="H803" s="7"/>
      <c r="I803" s="7"/>
    </row>
    <row r="804" spans="5:9" x14ac:dyDescent="0.35">
      <c r="E804" s="7"/>
      <c r="F804" s="7"/>
      <c r="G804" s="7"/>
      <c r="H804" s="7"/>
      <c r="I804" s="7"/>
    </row>
    <row r="805" spans="5:9" x14ac:dyDescent="0.35">
      <c r="E805" s="7"/>
      <c r="F805" s="7"/>
      <c r="G805" s="7"/>
      <c r="H805" s="7"/>
      <c r="I805" s="7"/>
    </row>
    <row r="806" spans="5:9" x14ac:dyDescent="0.35">
      <c r="E806" s="7"/>
      <c r="F806" s="7"/>
      <c r="G806" s="7"/>
      <c r="H806" s="7"/>
      <c r="I806" s="7"/>
    </row>
    <row r="807" spans="5:9" x14ac:dyDescent="0.35">
      <c r="E807" s="7"/>
      <c r="F807" s="7"/>
      <c r="G807" s="7"/>
      <c r="H807" s="7"/>
      <c r="I807" s="7"/>
    </row>
    <row r="808" spans="5:9" x14ac:dyDescent="0.35">
      <c r="E808" s="7"/>
      <c r="F808" s="7"/>
      <c r="G808" s="7"/>
      <c r="H808" s="7"/>
      <c r="I808" s="7"/>
    </row>
    <row r="809" spans="5:9" x14ac:dyDescent="0.35">
      <c r="E809" s="7"/>
      <c r="F809" s="7"/>
      <c r="G809" s="7"/>
      <c r="H809" s="7"/>
      <c r="I809" s="7"/>
    </row>
    <row r="810" spans="5:9" x14ac:dyDescent="0.35">
      <c r="E810" s="7"/>
      <c r="F810" s="7"/>
      <c r="G810" s="7"/>
      <c r="H810" s="7"/>
      <c r="I810" s="7"/>
    </row>
    <row r="811" spans="5:9" x14ac:dyDescent="0.35">
      <c r="E811" s="7"/>
      <c r="F811" s="7"/>
      <c r="G811" s="7"/>
      <c r="H811" s="7"/>
      <c r="I811" s="7"/>
    </row>
    <row r="812" spans="5:9" x14ac:dyDescent="0.35">
      <c r="E812" s="7"/>
      <c r="F812" s="7"/>
      <c r="G812" s="7"/>
      <c r="H812" s="7"/>
      <c r="I812" s="7"/>
    </row>
    <row r="813" spans="5:9" x14ac:dyDescent="0.35">
      <c r="E813" s="7"/>
      <c r="F813" s="7"/>
      <c r="G813" s="7"/>
      <c r="H813" s="7"/>
      <c r="I813" s="7"/>
    </row>
    <row r="814" spans="5:9" x14ac:dyDescent="0.35">
      <c r="E814" s="7"/>
      <c r="F814" s="7"/>
      <c r="G814" s="7"/>
      <c r="H814" s="7"/>
      <c r="I814" s="7"/>
    </row>
    <row r="815" spans="5:9" x14ac:dyDescent="0.35">
      <c r="E815" s="7"/>
      <c r="F815" s="7"/>
      <c r="G815" s="7"/>
      <c r="H815" s="7"/>
      <c r="I815" s="7"/>
    </row>
    <row r="816" spans="5:9" x14ac:dyDescent="0.35">
      <c r="E816" s="7"/>
      <c r="F816" s="7"/>
      <c r="G816" s="7"/>
      <c r="H816" s="7"/>
      <c r="I816" s="7"/>
    </row>
    <row r="817" spans="5:9" x14ac:dyDescent="0.35">
      <c r="E817" s="7"/>
      <c r="F817" s="7"/>
      <c r="G817" s="7"/>
      <c r="H817" s="7"/>
      <c r="I817" s="7"/>
    </row>
    <row r="818" spans="5:9" x14ac:dyDescent="0.35">
      <c r="E818" s="7"/>
      <c r="F818" s="7"/>
      <c r="G818" s="7"/>
      <c r="H818" s="7"/>
      <c r="I818" s="7"/>
    </row>
    <row r="819" spans="5:9" x14ac:dyDescent="0.35">
      <c r="E819" s="7"/>
      <c r="F819" s="7"/>
      <c r="G819" s="7"/>
      <c r="H819" s="7"/>
      <c r="I819" s="7"/>
    </row>
    <row r="820" spans="5:9" x14ac:dyDescent="0.35">
      <c r="E820" s="7"/>
      <c r="F820" s="7"/>
      <c r="G820" s="7"/>
      <c r="H820" s="7"/>
      <c r="I820" s="7"/>
    </row>
    <row r="821" spans="5:9" x14ac:dyDescent="0.35">
      <c r="E821" s="7"/>
      <c r="F821" s="7"/>
      <c r="G821" s="7"/>
      <c r="H821" s="7"/>
      <c r="I821" s="7"/>
    </row>
    <row r="822" spans="5:9" x14ac:dyDescent="0.35">
      <c r="E822" s="7"/>
      <c r="F822" s="7"/>
      <c r="G822" s="7"/>
      <c r="H822" s="7"/>
      <c r="I822" s="7"/>
    </row>
    <row r="823" spans="5:9" x14ac:dyDescent="0.35">
      <c r="E823" s="7"/>
      <c r="F823" s="7"/>
      <c r="G823" s="7"/>
      <c r="H823" s="7"/>
      <c r="I823" s="7"/>
    </row>
    <row r="824" spans="5:9" x14ac:dyDescent="0.35">
      <c r="E824" s="7"/>
      <c r="F824" s="7"/>
      <c r="G824" s="7"/>
      <c r="H824" s="7"/>
      <c r="I824" s="7"/>
    </row>
    <row r="825" spans="5:9" x14ac:dyDescent="0.35">
      <c r="E825" s="7"/>
      <c r="F825" s="7"/>
      <c r="G825" s="7"/>
      <c r="H825" s="7"/>
      <c r="I825" s="7"/>
    </row>
    <row r="826" spans="5:9" x14ac:dyDescent="0.35">
      <c r="E826" s="7"/>
      <c r="F826" s="7"/>
      <c r="G826" s="7"/>
      <c r="H826" s="7"/>
      <c r="I826" s="7"/>
    </row>
    <row r="827" spans="5:9" x14ac:dyDescent="0.35">
      <c r="E827" s="7"/>
      <c r="F827" s="7"/>
      <c r="G827" s="7"/>
      <c r="H827" s="7"/>
      <c r="I827" s="7"/>
    </row>
    <row r="828" spans="5:9" x14ac:dyDescent="0.35">
      <c r="E828" s="7"/>
      <c r="F828" s="7"/>
      <c r="G828" s="7"/>
      <c r="H828" s="7"/>
      <c r="I828" s="7"/>
    </row>
    <row r="829" spans="5:9" x14ac:dyDescent="0.35">
      <c r="E829" s="7"/>
      <c r="F829" s="7"/>
      <c r="G829" s="7"/>
      <c r="H829" s="7"/>
      <c r="I829" s="7"/>
    </row>
    <row r="830" spans="5:9" x14ac:dyDescent="0.35">
      <c r="E830" s="7"/>
      <c r="F830" s="7"/>
      <c r="G830" s="7"/>
      <c r="H830" s="7"/>
      <c r="I830" s="7"/>
    </row>
    <row r="831" spans="5:9" x14ac:dyDescent="0.35">
      <c r="E831" s="7"/>
      <c r="F831" s="7"/>
      <c r="G831" s="7"/>
      <c r="H831" s="7"/>
      <c r="I831" s="7"/>
    </row>
    <row r="832" spans="5:9" x14ac:dyDescent="0.35">
      <c r="E832" s="7"/>
      <c r="F832" s="7"/>
      <c r="G832" s="7"/>
      <c r="H832" s="7"/>
      <c r="I832" s="7"/>
    </row>
    <row r="833" spans="5:9" x14ac:dyDescent="0.35">
      <c r="E833" s="7"/>
      <c r="F833" s="7"/>
      <c r="G833" s="7"/>
      <c r="H833" s="7"/>
      <c r="I833" s="7"/>
    </row>
    <row r="834" spans="5:9" x14ac:dyDescent="0.35">
      <c r="E834" s="7"/>
      <c r="F834" s="7"/>
      <c r="G834" s="7"/>
      <c r="H834" s="7"/>
      <c r="I834" s="7"/>
    </row>
    <row r="835" spans="5:9" x14ac:dyDescent="0.35">
      <c r="E835" s="7"/>
      <c r="F835" s="7"/>
      <c r="G835" s="7"/>
      <c r="H835" s="7"/>
      <c r="I835" s="7"/>
    </row>
    <row r="836" spans="5:9" x14ac:dyDescent="0.35">
      <c r="E836" s="7"/>
      <c r="F836" s="7"/>
      <c r="G836" s="7"/>
      <c r="H836" s="7"/>
      <c r="I836" s="7"/>
    </row>
    <row r="837" spans="5:9" x14ac:dyDescent="0.35">
      <c r="E837" s="7"/>
      <c r="F837" s="7"/>
      <c r="G837" s="7"/>
      <c r="H837" s="7"/>
      <c r="I837" s="7"/>
    </row>
    <row r="838" spans="5:9" x14ac:dyDescent="0.35">
      <c r="E838" s="7"/>
      <c r="F838" s="7"/>
      <c r="G838" s="7"/>
      <c r="H838" s="7"/>
      <c r="I838" s="7"/>
    </row>
    <row r="839" spans="5:9" x14ac:dyDescent="0.35">
      <c r="E839" s="7"/>
      <c r="F839" s="7"/>
      <c r="G839" s="7"/>
      <c r="H839" s="7"/>
      <c r="I839" s="7"/>
    </row>
    <row r="840" spans="5:9" x14ac:dyDescent="0.35">
      <c r="E840" s="7"/>
      <c r="F840" s="7"/>
      <c r="G840" s="7"/>
      <c r="H840" s="7"/>
      <c r="I840" s="7"/>
    </row>
    <row r="841" spans="5:9" x14ac:dyDescent="0.35">
      <c r="E841" s="7"/>
      <c r="F841" s="7"/>
      <c r="G841" s="7"/>
      <c r="H841" s="7"/>
      <c r="I841" s="7"/>
    </row>
    <row r="842" spans="5:9" x14ac:dyDescent="0.35">
      <c r="E842" s="7"/>
      <c r="F842" s="7"/>
      <c r="G842" s="7"/>
      <c r="H842" s="7"/>
      <c r="I842" s="7"/>
    </row>
    <row r="843" spans="5:9" x14ac:dyDescent="0.35">
      <c r="E843" s="7"/>
      <c r="F843" s="7"/>
      <c r="G843" s="7"/>
      <c r="H843" s="7"/>
      <c r="I843" s="7"/>
    </row>
    <row r="844" spans="5:9" x14ac:dyDescent="0.35">
      <c r="E844" s="7"/>
      <c r="F844" s="7"/>
      <c r="G844" s="7"/>
      <c r="H844" s="7"/>
      <c r="I844" s="7"/>
    </row>
    <row r="845" spans="5:9" x14ac:dyDescent="0.35">
      <c r="E845" s="7"/>
      <c r="F845" s="7"/>
      <c r="G845" s="7"/>
      <c r="H845" s="7"/>
      <c r="I845" s="7"/>
    </row>
    <row r="846" spans="5:9" x14ac:dyDescent="0.35">
      <c r="E846" s="7"/>
      <c r="F846" s="7"/>
      <c r="G846" s="7"/>
      <c r="H846" s="7"/>
      <c r="I846" s="7"/>
    </row>
    <row r="847" spans="5:9" x14ac:dyDescent="0.35">
      <c r="E847" s="7"/>
      <c r="F847" s="7"/>
      <c r="G847" s="7"/>
      <c r="H847" s="7"/>
      <c r="I847" s="7"/>
    </row>
    <row r="848" spans="5:9" x14ac:dyDescent="0.35">
      <c r="E848" s="7"/>
      <c r="F848" s="7"/>
      <c r="G848" s="7"/>
      <c r="H848" s="7"/>
      <c r="I848" s="7"/>
    </row>
    <row r="849" spans="5:9" x14ac:dyDescent="0.35">
      <c r="E849" s="7"/>
      <c r="F849" s="7"/>
      <c r="G849" s="7"/>
      <c r="H849" s="7"/>
      <c r="I849" s="7"/>
    </row>
    <row r="850" spans="5:9" x14ac:dyDescent="0.35">
      <c r="E850" s="7"/>
      <c r="F850" s="7"/>
      <c r="G850" s="7"/>
      <c r="H850" s="7"/>
      <c r="I850" s="7"/>
    </row>
    <row r="851" spans="5:9" x14ac:dyDescent="0.35">
      <c r="E851" s="7"/>
      <c r="F851" s="7"/>
      <c r="G851" s="7"/>
      <c r="H851" s="7"/>
      <c r="I851" s="7"/>
    </row>
    <row r="852" spans="5:9" x14ac:dyDescent="0.35">
      <c r="E852" s="7"/>
      <c r="F852" s="7"/>
      <c r="G852" s="7"/>
      <c r="H852" s="7"/>
      <c r="I852" s="7"/>
    </row>
    <row r="853" spans="5:9" x14ac:dyDescent="0.35">
      <c r="E853" s="7"/>
      <c r="F853" s="7"/>
      <c r="G853" s="7"/>
      <c r="H853" s="7"/>
      <c r="I853" s="7"/>
    </row>
    <row r="854" spans="5:9" x14ac:dyDescent="0.35">
      <c r="E854" s="7"/>
      <c r="F854" s="7"/>
      <c r="G854" s="7"/>
      <c r="H854" s="7"/>
      <c r="I854" s="7"/>
    </row>
    <row r="855" spans="5:9" x14ac:dyDescent="0.35">
      <c r="E855" s="7"/>
      <c r="F855" s="7"/>
      <c r="G855" s="7"/>
      <c r="H855" s="7"/>
      <c r="I855" s="7"/>
    </row>
    <row r="856" spans="5:9" x14ac:dyDescent="0.35">
      <c r="E856" s="7"/>
      <c r="F856" s="7"/>
      <c r="G856" s="7"/>
      <c r="H856" s="7"/>
      <c r="I856" s="7"/>
    </row>
    <row r="857" spans="5:9" x14ac:dyDescent="0.35">
      <c r="E857" s="7"/>
      <c r="F857" s="7"/>
      <c r="G857" s="7"/>
      <c r="H857" s="7"/>
      <c r="I857" s="7"/>
    </row>
    <row r="858" spans="5:9" x14ac:dyDescent="0.35">
      <c r="E858" s="7"/>
      <c r="F858" s="7"/>
      <c r="G858" s="7"/>
      <c r="H858" s="7"/>
      <c r="I858" s="7"/>
    </row>
    <row r="859" spans="5:9" x14ac:dyDescent="0.35">
      <c r="E859" s="7"/>
      <c r="F859" s="7"/>
      <c r="G859" s="7"/>
      <c r="H859" s="7"/>
      <c r="I859" s="7"/>
    </row>
    <row r="860" spans="5:9" x14ac:dyDescent="0.35">
      <c r="E860" s="7"/>
      <c r="F860" s="7"/>
      <c r="G860" s="7"/>
      <c r="H860" s="7"/>
      <c r="I860" s="7"/>
    </row>
    <row r="861" spans="5:9" x14ac:dyDescent="0.35">
      <c r="E861" s="7"/>
      <c r="F861" s="7"/>
      <c r="G861" s="7"/>
      <c r="H861" s="7"/>
      <c r="I861" s="7"/>
    </row>
    <row r="862" spans="5:9" x14ac:dyDescent="0.35">
      <c r="E862" s="7"/>
      <c r="F862" s="7"/>
      <c r="G862" s="7"/>
      <c r="H862" s="7"/>
      <c r="I862" s="7"/>
    </row>
    <row r="863" spans="5:9" x14ac:dyDescent="0.35">
      <c r="E863" s="7"/>
      <c r="F863" s="7"/>
      <c r="G863" s="7"/>
      <c r="H863" s="7"/>
      <c r="I863" s="7"/>
    </row>
    <row r="864" spans="5:9" x14ac:dyDescent="0.35">
      <c r="E864" s="7"/>
      <c r="F864" s="7"/>
      <c r="G864" s="7"/>
      <c r="H864" s="7"/>
      <c r="I864" s="7"/>
    </row>
    <row r="865" spans="5:9" x14ac:dyDescent="0.35">
      <c r="E865" s="7"/>
      <c r="F865" s="7"/>
      <c r="G865" s="7"/>
      <c r="H865" s="7"/>
      <c r="I865" s="7"/>
    </row>
    <row r="866" spans="5:9" x14ac:dyDescent="0.35">
      <c r="E866" s="7"/>
      <c r="F866" s="7"/>
      <c r="G866" s="7"/>
      <c r="H866" s="7"/>
      <c r="I866" s="7"/>
    </row>
    <row r="867" spans="5:9" x14ac:dyDescent="0.35">
      <c r="E867" s="7"/>
      <c r="F867" s="7"/>
      <c r="G867" s="7"/>
      <c r="H867" s="7"/>
      <c r="I867" s="7"/>
    </row>
    <row r="868" spans="5:9" x14ac:dyDescent="0.35">
      <c r="E868" s="7"/>
      <c r="F868" s="7"/>
      <c r="G868" s="7"/>
      <c r="H868" s="7"/>
      <c r="I868" s="7"/>
    </row>
    <row r="869" spans="5:9" x14ac:dyDescent="0.35">
      <c r="E869" s="7"/>
      <c r="F869" s="7"/>
      <c r="G869" s="7"/>
      <c r="H869" s="7"/>
      <c r="I869" s="7"/>
    </row>
    <row r="870" spans="5:9" x14ac:dyDescent="0.35">
      <c r="E870" s="7"/>
      <c r="F870" s="7"/>
      <c r="G870" s="7"/>
      <c r="H870" s="7"/>
      <c r="I870" s="7"/>
    </row>
    <row r="871" spans="5:9" x14ac:dyDescent="0.35">
      <c r="E871" s="7"/>
      <c r="F871" s="7"/>
      <c r="G871" s="7"/>
      <c r="H871" s="7"/>
      <c r="I871" s="7"/>
    </row>
    <row r="872" spans="5:9" x14ac:dyDescent="0.35">
      <c r="E872" s="7"/>
      <c r="F872" s="7"/>
      <c r="G872" s="7"/>
      <c r="H872" s="7"/>
      <c r="I872" s="7"/>
    </row>
    <row r="873" spans="5:9" x14ac:dyDescent="0.35">
      <c r="E873" s="7"/>
      <c r="F873" s="7"/>
      <c r="G873" s="7"/>
      <c r="H873" s="7"/>
      <c r="I873" s="7"/>
    </row>
    <row r="874" spans="5:9" x14ac:dyDescent="0.35">
      <c r="E874" s="7"/>
      <c r="F874" s="7"/>
      <c r="G874" s="7"/>
      <c r="H874" s="7"/>
      <c r="I874" s="7"/>
    </row>
    <row r="875" spans="5:9" x14ac:dyDescent="0.35">
      <c r="E875" s="7"/>
      <c r="F875" s="7"/>
      <c r="G875" s="7"/>
      <c r="H875" s="7"/>
      <c r="I875" s="7"/>
    </row>
    <row r="876" spans="5:9" x14ac:dyDescent="0.35">
      <c r="E876" s="7"/>
      <c r="F876" s="7"/>
      <c r="G876" s="7"/>
      <c r="H876" s="7"/>
      <c r="I876" s="7"/>
    </row>
    <row r="877" spans="5:9" x14ac:dyDescent="0.35">
      <c r="E877" s="7"/>
      <c r="F877" s="7"/>
      <c r="G877" s="7"/>
      <c r="H877" s="7"/>
      <c r="I877" s="7"/>
    </row>
    <row r="878" spans="5:9" x14ac:dyDescent="0.35">
      <c r="E878" s="7"/>
      <c r="F878" s="7"/>
      <c r="G878" s="7"/>
      <c r="H878" s="7"/>
      <c r="I878" s="7"/>
    </row>
    <row r="879" spans="5:9" x14ac:dyDescent="0.35">
      <c r="E879" s="7"/>
      <c r="F879" s="7"/>
      <c r="G879" s="7"/>
      <c r="H879" s="7"/>
      <c r="I879" s="7"/>
    </row>
    <row r="880" spans="5:9" x14ac:dyDescent="0.35">
      <c r="E880" s="7"/>
      <c r="F880" s="7"/>
      <c r="G880" s="7"/>
      <c r="H880" s="7"/>
      <c r="I880" s="7"/>
    </row>
    <row r="881" spans="5:9" x14ac:dyDescent="0.35">
      <c r="E881" s="7"/>
      <c r="F881" s="7"/>
      <c r="G881" s="7"/>
      <c r="H881" s="7"/>
      <c r="I881" s="7"/>
    </row>
    <row r="882" spans="5:9" x14ac:dyDescent="0.35">
      <c r="E882" s="7"/>
      <c r="F882" s="7"/>
      <c r="G882" s="7"/>
      <c r="H882" s="7"/>
      <c r="I882" s="7"/>
    </row>
    <row r="883" spans="5:9" x14ac:dyDescent="0.35">
      <c r="E883" s="7"/>
      <c r="F883" s="7"/>
      <c r="G883" s="7"/>
      <c r="H883" s="7"/>
      <c r="I883" s="7"/>
    </row>
    <row r="884" spans="5:9" x14ac:dyDescent="0.35">
      <c r="E884" s="7"/>
      <c r="F884" s="7"/>
      <c r="G884" s="7"/>
      <c r="H884" s="7"/>
      <c r="I884" s="7"/>
    </row>
    <row r="885" spans="5:9" x14ac:dyDescent="0.35">
      <c r="E885" s="7"/>
      <c r="F885" s="7"/>
      <c r="G885" s="7"/>
      <c r="H885" s="7"/>
      <c r="I885" s="7"/>
    </row>
    <row r="886" spans="5:9" x14ac:dyDescent="0.35">
      <c r="E886" s="7"/>
      <c r="F886" s="7"/>
      <c r="G886" s="7"/>
      <c r="H886" s="7"/>
      <c r="I886" s="7"/>
    </row>
    <row r="887" spans="5:9" x14ac:dyDescent="0.35">
      <c r="E887" s="7"/>
      <c r="F887" s="7"/>
      <c r="G887" s="7"/>
      <c r="H887" s="7"/>
      <c r="I887" s="7"/>
    </row>
    <row r="888" spans="5:9" x14ac:dyDescent="0.35">
      <c r="E888" s="7"/>
      <c r="F888" s="7"/>
      <c r="G888" s="7"/>
      <c r="H888" s="7"/>
      <c r="I888" s="7"/>
    </row>
    <row r="889" spans="5:9" x14ac:dyDescent="0.35">
      <c r="E889" s="7"/>
      <c r="F889" s="7"/>
      <c r="G889" s="7"/>
      <c r="H889" s="7"/>
      <c r="I889" s="7"/>
    </row>
    <row r="890" spans="5:9" x14ac:dyDescent="0.35">
      <c r="E890" s="7"/>
      <c r="F890" s="7"/>
      <c r="G890" s="7"/>
      <c r="H890" s="7"/>
      <c r="I890" s="7"/>
    </row>
    <row r="891" spans="5:9" x14ac:dyDescent="0.35">
      <c r="E891" s="7"/>
      <c r="F891" s="7"/>
      <c r="G891" s="7"/>
      <c r="H891" s="7"/>
      <c r="I891" s="7"/>
    </row>
    <row r="892" spans="5:9" x14ac:dyDescent="0.35">
      <c r="E892" s="7"/>
      <c r="F892" s="7"/>
      <c r="G892" s="7"/>
      <c r="H892" s="7"/>
      <c r="I892" s="7"/>
    </row>
    <row r="893" spans="5:9" x14ac:dyDescent="0.35">
      <c r="E893" s="7"/>
      <c r="F893" s="7"/>
      <c r="G893" s="7"/>
      <c r="H893" s="7"/>
      <c r="I893" s="7"/>
    </row>
    <row r="894" spans="5:9" x14ac:dyDescent="0.35">
      <c r="E894" s="7"/>
      <c r="F894" s="7"/>
      <c r="G894" s="7"/>
      <c r="H894" s="7"/>
      <c r="I894" s="7"/>
    </row>
    <row r="895" spans="5:9" x14ac:dyDescent="0.35">
      <c r="E895" s="7"/>
      <c r="F895" s="7"/>
      <c r="G895" s="7"/>
      <c r="H895" s="7"/>
      <c r="I895" s="7"/>
    </row>
    <row r="896" spans="5:9" x14ac:dyDescent="0.35">
      <c r="E896" s="7"/>
      <c r="F896" s="7"/>
      <c r="G896" s="7"/>
      <c r="H896" s="7"/>
      <c r="I896" s="7"/>
    </row>
    <row r="897" spans="5:9" x14ac:dyDescent="0.35">
      <c r="E897" s="7"/>
      <c r="F897" s="7"/>
      <c r="G897" s="7"/>
      <c r="H897" s="7"/>
      <c r="I897" s="7"/>
    </row>
    <row r="898" spans="5:9" x14ac:dyDescent="0.35">
      <c r="E898" s="7"/>
      <c r="F898" s="7"/>
      <c r="G898" s="7"/>
      <c r="H898" s="7"/>
      <c r="I898" s="7"/>
    </row>
    <row r="899" spans="5:9" x14ac:dyDescent="0.35">
      <c r="E899" s="7"/>
      <c r="F899" s="7"/>
      <c r="G899" s="7"/>
      <c r="H899" s="7"/>
      <c r="I899" s="7"/>
    </row>
    <row r="900" spans="5:9" x14ac:dyDescent="0.35">
      <c r="E900" s="7"/>
      <c r="F900" s="7"/>
      <c r="G900" s="7"/>
      <c r="H900" s="7"/>
      <c r="I900" s="7"/>
    </row>
    <row r="901" spans="5:9" x14ac:dyDescent="0.35">
      <c r="E901" s="7"/>
      <c r="F901" s="7"/>
      <c r="G901" s="7"/>
      <c r="H901" s="7"/>
      <c r="I901" s="7"/>
    </row>
    <row r="902" spans="5:9" x14ac:dyDescent="0.35">
      <c r="E902" s="7"/>
      <c r="F902" s="7"/>
      <c r="G902" s="7"/>
      <c r="H902" s="7"/>
      <c r="I902" s="7"/>
    </row>
    <row r="903" spans="5:9" x14ac:dyDescent="0.35">
      <c r="E903" s="7"/>
      <c r="F903" s="7"/>
      <c r="G903" s="7"/>
      <c r="H903" s="7"/>
      <c r="I903" s="7"/>
    </row>
    <row r="904" spans="5:9" x14ac:dyDescent="0.35">
      <c r="E904" s="7"/>
      <c r="F904" s="7"/>
      <c r="G904" s="7"/>
      <c r="H904" s="7"/>
      <c r="I904" s="7"/>
    </row>
    <row r="905" spans="5:9" x14ac:dyDescent="0.35">
      <c r="E905" s="7"/>
      <c r="F905" s="7"/>
      <c r="G905" s="7"/>
      <c r="H905" s="7"/>
      <c r="I905" s="7"/>
    </row>
    <row r="906" spans="5:9" x14ac:dyDescent="0.35">
      <c r="E906" s="7"/>
      <c r="F906" s="7"/>
      <c r="G906" s="7"/>
      <c r="H906" s="7"/>
      <c r="I906" s="7"/>
    </row>
    <row r="907" spans="5:9" x14ac:dyDescent="0.35">
      <c r="E907" s="7"/>
      <c r="F907" s="7"/>
      <c r="G907" s="7"/>
      <c r="H907" s="7"/>
      <c r="I907" s="7"/>
    </row>
    <row r="908" spans="5:9" x14ac:dyDescent="0.35">
      <c r="E908" s="7"/>
      <c r="F908" s="7"/>
      <c r="G908" s="7"/>
      <c r="H908" s="7"/>
      <c r="I908" s="7"/>
    </row>
    <row r="909" spans="5:9" x14ac:dyDescent="0.35">
      <c r="E909" s="7"/>
      <c r="F909" s="7"/>
      <c r="G909" s="7"/>
      <c r="H909" s="7"/>
      <c r="I909" s="7"/>
    </row>
    <row r="910" spans="5:9" x14ac:dyDescent="0.35">
      <c r="E910" s="7"/>
      <c r="F910" s="7"/>
      <c r="G910" s="7"/>
      <c r="H910" s="7"/>
      <c r="I910" s="7"/>
    </row>
    <row r="911" spans="5:9" x14ac:dyDescent="0.35">
      <c r="E911" s="7"/>
      <c r="F911" s="7"/>
      <c r="G911" s="7"/>
      <c r="H911" s="7"/>
      <c r="I911" s="7"/>
    </row>
    <row r="912" spans="5:9" x14ac:dyDescent="0.35">
      <c r="E912" s="7"/>
      <c r="F912" s="7"/>
      <c r="G912" s="7"/>
      <c r="H912" s="7"/>
      <c r="I912" s="7"/>
    </row>
    <row r="913" spans="5:9" x14ac:dyDescent="0.35">
      <c r="E913" s="7"/>
      <c r="F913" s="7"/>
      <c r="G913" s="7"/>
      <c r="H913" s="7"/>
      <c r="I913" s="7"/>
    </row>
    <row r="914" spans="5:9" x14ac:dyDescent="0.35">
      <c r="E914" s="7"/>
      <c r="F914" s="7"/>
      <c r="G914" s="7"/>
      <c r="H914" s="7"/>
      <c r="I914" s="7"/>
    </row>
    <row r="915" spans="5:9" x14ac:dyDescent="0.35">
      <c r="E915" s="7"/>
      <c r="F915" s="7"/>
      <c r="G915" s="7"/>
      <c r="H915" s="7"/>
      <c r="I915" s="7"/>
    </row>
    <row r="916" spans="5:9" x14ac:dyDescent="0.35">
      <c r="E916" s="7"/>
      <c r="F916" s="7"/>
      <c r="G916" s="7"/>
      <c r="H916" s="7"/>
      <c r="I916" s="7"/>
    </row>
    <row r="917" spans="5:9" x14ac:dyDescent="0.35">
      <c r="E917" s="7"/>
      <c r="F917" s="7"/>
      <c r="G917" s="7"/>
      <c r="H917" s="7"/>
      <c r="I917" s="7"/>
    </row>
    <row r="918" spans="5:9" x14ac:dyDescent="0.35">
      <c r="E918" s="7"/>
      <c r="F918" s="7"/>
      <c r="G918" s="7"/>
      <c r="H918" s="7"/>
      <c r="I918" s="7"/>
    </row>
    <row r="919" spans="5:9" x14ac:dyDescent="0.35">
      <c r="E919" s="7"/>
      <c r="F919" s="7"/>
      <c r="G919" s="7"/>
      <c r="H919" s="7"/>
      <c r="I919" s="7"/>
    </row>
    <row r="920" spans="5:9" x14ac:dyDescent="0.35">
      <c r="E920" s="7"/>
      <c r="F920" s="7"/>
      <c r="G920" s="7"/>
      <c r="H920" s="7"/>
      <c r="I920" s="7"/>
    </row>
    <row r="921" spans="5:9" x14ac:dyDescent="0.35">
      <c r="E921" s="7"/>
      <c r="F921" s="7"/>
      <c r="G921" s="7"/>
      <c r="H921" s="7"/>
      <c r="I921" s="7"/>
    </row>
    <row r="922" spans="5:9" x14ac:dyDescent="0.35">
      <c r="E922" s="7"/>
      <c r="F922" s="7"/>
      <c r="G922" s="7"/>
      <c r="H922" s="7"/>
      <c r="I922" s="7"/>
    </row>
    <row r="923" spans="5:9" x14ac:dyDescent="0.35">
      <c r="E923" s="7"/>
      <c r="F923" s="7"/>
      <c r="G923" s="7"/>
      <c r="H923" s="7"/>
      <c r="I923" s="7"/>
    </row>
    <row r="924" spans="5:9" x14ac:dyDescent="0.35">
      <c r="E924" s="7"/>
      <c r="F924" s="7"/>
      <c r="G924" s="7"/>
      <c r="H924" s="7"/>
      <c r="I924" s="7"/>
    </row>
    <row r="925" spans="5:9" x14ac:dyDescent="0.35">
      <c r="E925" s="7"/>
      <c r="F925" s="7"/>
      <c r="G925" s="7"/>
      <c r="H925" s="7"/>
      <c r="I925" s="7"/>
    </row>
    <row r="926" spans="5:9" x14ac:dyDescent="0.35">
      <c r="E926" s="7"/>
      <c r="F926" s="7"/>
      <c r="G926" s="7"/>
      <c r="H926" s="7"/>
      <c r="I926" s="7"/>
    </row>
    <row r="927" spans="5:9" x14ac:dyDescent="0.35">
      <c r="E927" s="7"/>
      <c r="F927" s="7"/>
      <c r="G927" s="7"/>
      <c r="H927" s="7"/>
      <c r="I927" s="7"/>
    </row>
    <row r="928" spans="5:9" x14ac:dyDescent="0.35">
      <c r="E928" s="7"/>
      <c r="F928" s="7"/>
      <c r="G928" s="7"/>
      <c r="H928" s="7"/>
      <c r="I928" s="7"/>
    </row>
    <row r="929" spans="5:9" x14ac:dyDescent="0.35">
      <c r="E929" s="7"/>
      <c r="F929" s="7"/>
      <c r="G929" s="7"/>
      <c r="H929" s="7"/>
      <c r="I929" s="7"/>
    </row>
    <row r="930" spans="5:9" x14ac:dyDescent="0.35">
      <c r="E930" s="7"/>
      <c r="F930" s="7"/>
      <c r="G930" s="7"/>
      <c r="H930" s="7"/>
      <c r="I930" s="7"/>
    </row>
    <row r="931" spans="5:9" x14ac:dyDescent="0.35">
      <c r="E931" s="7"/>
      <c r="F931" s="7"/>
      <c r="G931" s="7"/>
      <c r="H931" s="7"/>
      <c r="I931" s="7"/>
    </row>
    <row r="932" spans="5:9" x14ac:dyDescent="0.35">
      <c r="E932" s="7"/>
      <c r="F932" s="7"/>
      <c r="G932" s="7"/>
      <c r="H932" s="7"/>
      <c r="I932" s="7"/>
    </row>
    <row r="933" spans="5:9" x14ac:dyDescent="0.35">
      <c r="E933" s="7"/>
      <c r="F933" s="7"/>
      <c r="G933" s="7"/>
      <c r="H933" s="7"/>
      <c r="I933" s="7"/>
    </row>
    <row r="934" spans="5:9" x14ac:dyDescent="0.35">
      <c r="E934" s="7"/>
      <c r="F934" s="7"/>
      <c r="G934" s="7"/>
      <c r="H934" s="7"/>
      <c r="I934" s="7"/>
    </row>
    <row r="935" spans="5:9" x14ac:dyDescent="0.35">
      <c r="E935" s="7"/>
      <c r="F935" s="7"/>
      <c r="G935" s="7"/>
      <c r="H935" s="7"/>
      <c r="I935" s="7"/>
    </row>
    <row r="936" spans="5:9" x14ac:dyDescent="0.35">
      <c r="E936" s="7"/>
      <c r="F936" s="7"/>
      <c r="G936" s="7"/>
      <c r="H936" s="7"/>
      <c r="I936" s="7"/>
    </row>
    <row r="937" spans="5:9" x14ac:dyDescent="0.35">
      <c r="E937" s="7"/>
      <c r="F937" s="7"/>
      <c r="G937" s="7"/>
      <c r="H937" s="7"/>
      <c r="I937" s="7"/>
    </row>
    <row r="938" spans="5:9" x14ac:dyDescent="0.35">
      <c r="E938" s="7"/>
      <c r="F938" s="7"/>
      <c r="G938" s="7"/>
      <c r="H938" s="7"/>
      <c r="I938" s="7"/>
    </row>
    <row r="939" spans="5:9" x14ac:dyDescent="0.35">
      <c r="E939" s="7"/>
      <c r="F939" s="7"/>
      <c r="G939" s="7"/>
      <c r="H939" s="7"/>
      <c r="I939" s="7"/>
    </row>
    <row r="940" spans="5:9" x14ac:dyDescent="0.35">
      <c r="E940" s="7"/>
      <c r="F940" s="7"/>
      <c r="G940" s="7"/>
      <c r="H940" s="7"/>
      <c r="I940" s="7"/>
    </row>
    <row r="941" spans="5:9" x14ac:dyDescent="0.35">
      <c r="E941" s="7"/>
      <c r="F941" s="7"/>
      <c r="G941" s="7"/>
      <c r="H941" s="7"/>
      <c r="I941" s="7"/>
    </row>
    <row r="942" spans="5:9" x14ac:dyDescent="0.35">
      <c r="E942" s="7"/>
      <c r="F942" s="7"/>
      <c r="G942" s="7"/>
      <c r="H942" s="7"/>
      <c r="I942" s="7"/>
    </row>
    <row r="943" spans="5:9" x14ac:dyDescent="0.35">
      <c r="E943" s="7"/>
      <c r="F943" s="7"/>
      <c r="G943" s="7"/>
      <c r="H943" s="7"/>
      <c r="I943" s="7"/>
    </row>
    <row r="944" spans="5:9" x14ac:dyDescent="0.35">
      <c r="E944" s="7"/>
      <c r="F944" s="7"/>
      <c r="G944" s="7"/>
      <c r="H944" s="7"/>
      <c r="I944" s="7"/>
    </row>
    <row r="945" spans="5:9" x14ac:dyDescent="0.35">
      <c r="E945" s="7"/>
      <c r="F945" s="7"/>
      <c r="G945" s="7"/>
      <c r="H945" s="7"/>
      <c r="I945" s="7"/>
    </row>
    <row r="946" spans="5:9" x14ac:dyDescent="0.35">
      <c r="E946" s="7"/>
      <c r="F946" s="7"/>
      <c r="G946" s="7"/>
      <c r="H946" s="7"/>
      <c r="I946" s="7"/>
    </row>
    <row r="947" spans="5:9" x14ac:dyDescent="0.35">
      <c r="E947" s="7"/>
      <c r="F947" s="7"/>
      <c r="G947" s="7"/>
      <c r="H947" s="7"/>
      <c r="I947" s="7"/>
    </row>
    <row r="948" spans="5:9" x14ac:dyDescent="0.35">
      <c r="E948" s="7"/>
      <c r="F948" s="7"/>
      <c r="G948" s="7"/>
      <c r="H948" s="7"/>
      <c r="I948" s="7"/>
    </row>
    <row r="949" spans="5:9" x14ac:dyDescent="0.35">
      <c r="E949" s="7"/>
      <c r="F949" s="7"/>
      <c r="G949" s="7"/>
      <c r="H949" s="7"/>
      <c r="I949" s="7"/>
    </row>
    <row r="950" spans="5:9" x14ac:dyDescent="0.35">
      <c r="E950" s="7"/>
      <c r="F950" s="7"/>
      <c r="G950" s="7"/>
      <c r="H950" s="7"/>
      <c r="I950" s="7"/>
    </row>
    <row r="951" spans="5:9" x14ac:dyDescent="0.35">
      <c r="E951" s="7"/>
      <c r="F951" s="7"/>
      <c r="G951" s="7"/>
      <c r="H951" s="7"/>
      <c r="I951" s="7"/>
    </row>
    <row r="952" spans="5:9" x14ac:dyDescent="0.35">
      <c r="E952" s="7"/>
      <c r="F952" s="7"/>
      <c r="G952" s="7"/>
      <c r="H952" s="7"/>
      <c r="I952" s="7"/>
    </row>
    <row r="953" spans="5:9" x14ac:dyDescent="0.35">
      <c r="E953" s="7"/>
      <c r="F953" s="7"/>
      <c r="G953" s="7"/>
      <c r="H953" s="7"/>
      <c r="I953" s="7"/>
    </row>
    <row r="954" spans="5:9" x14ac:dyDescent="0.35">
      <c r="E954" s="7"/>
      <c r="F954" s="7"/>
      <c r="G954" s="7"/>
      <c r="H954" s="7"/>
      <c r="I954" s="7"/>
    </row>
    <row r="955" spans="5:9" x14ac:dyDescent="0.35">
      <c r="E955" s="7"/>
      <c r="F955" s="7"/>
      <c r="G955" s="7"/>
      <c r="H955" s="7"/>
      <c r="I955" s="7"/>
    </row>
    <row r="956" spans="5:9" x14ac:dyDescent="0.35">
      <c r="E956" s="7"/>
      <c r="F956" s="7"/>
      <c r="G956" s="7"/>
      <c r="H956" s="7"/>
      <c r="I956" s="7"/>
    </row>
    <row r="957" spans="5:9" x14ac:dyDescent="0.35">
      <c r="E957" s="7"/>
      <c r="F957" s="7"/>
      <c r="G957" s="7"/>
      <c r="H957" s="7"/>
      <c r="I957" s="7"/>
    </row>
    <row r="958" spans="5:9" x14ac:dyDescent="0.35">
      <c r="E958" s="7"/>
      <c r="F958" s="7"/>
      <c r="G958" s="7"/>
      <c r="H958" s="7"/>
      <c r="I958" s="7"/>
    </row>
    <row r="959" spans="5:9" x14ac:dyDescent="0.35">
      <c r="E959" s="7"/>
      <c r="F959" s="7"/>
      <c r="G959" s="7"/>
      <c r="H959" s="7"/>
      <c r="I959" s="7"/>
    </row>
    <row r="960" spans="5:9" x14ac:dyDescent="0.35">
      <c r="E960" s="7"/>
      <c r="F960" s="7"/>
      <c r="G960" s="7"/>
      <c r="H960" s="7"/>
      <c r="I960" s="7"/>
    </row>
    <row r="961" spans="5:9" x14ac:dyDescent="0.35">
      <c r="E961" s="7"/>
      <c r="F961" s="7"/>
      <c r="G961" s="7"/>
      <c r="H961" s="7"/>
      <c r="I961" s="7"/>
    </row>
    <row r="962" spans="5:9" x14ac:dyDescent="0.35">
      <c r="E962" s="7"/>
      <c r="F962" s="7"/>
      <c r="G962" s="7"/>
      <c r="H962" s="7"/>
      <c r="I962" s="7"/>
    </row>
    <row r="963" spans="5:9" x14ac:dyDescent="0.35">
      <c r="E963" s="7"/>
      <c r="F963" s="7"/>
      <c r="G963" s="7"/>
      <c r="H963" s="7"/>
      <c r="I963" s="7"/>
    </row>
    <row r="964" spans="5:9" x14ac:dyDescent="0.35">
      <c r="E964" s="7"/>
      <c r="F964" s="7"/>
      <c r="G964" s="7"/>
      <c r="H964" s="7"/>
      <c r="I964" s="7"/>
    </row>
    <row r="965" spans="5:9" x14ac:dyDescent="0.35">
      <c r="E965" s="7"/>
      <c r="F965" s="7"/>
      <c r="G965" s="7"/>
      <c r="H965" s="7"/>
      <c r="I965" s="7"/>
    </row>
    <row r="966" spans="5:9" x14ac:dyDescent="0.35">
      <c r="E966" s="7"/>
      <c r="F966" s="7"/>
      <c r="G966" s="7"/>
      <c r="H966" s="7"/>
      <c r="I966" s="7"/>
    </row>
    <row r="967" spans="5:9" x14ac:dyDescent="0.35">
      <c r="E967" s="7"/>
      <c r="F967" s="7"/>
      <c r="G967" s="7"/>
      <c r="H967" s="7"/>
      <c r="I967" s="7"/>
    </row>
    <row r="968" spans="5:9" x14ac:dyDescent="0.35">
      <c r="E968" s="7"/>
      <c r="F968" s="7"/>
      <c r="G968" s="7"/>
      <c r="H968" s="7"/>
      <c r="I968" s="7"/>
    </row>
    <row r="969" spans="5:9" x14ac:dyDescent="0.35">
      <c r="E969" s="7"/>
      <c r="F969" s="7"/>
      <c r="G969" s="7"/>
      <c r="H969" s="7"/>
      <c r="I969" s="7"/>
    </row>
    <row r="970" spans="5:9" x14ac:dyDescent="0.35">
      <c r="E970" s="7"/>
      <c r="F970" s="7"/>
      <c r="G970" s="7"/>
      <c r="H970" s="7"/>
      <c r="I970" s="7"/>
    </row>
    <row r="971" spans="5:9" x14ac:dyDescent="0.35">
      <c r="E971" s="7"/>
      <c r="F971" s="7"/>
      <c r="G971" s="7"/>
      <c r="H971" s="7"/>
      <c r="I971" s="7"/>
    </row>
    <row r="972" spans="5:9" x14ac:dyDescent="0.35">
      <c r="E972" s="7"/>
      <c r="F972" s="7"/>
      <c r="G972" s="7"/>
      <c r="H972" s="7"/>
      <c r="I972" s="7"/>
    </row>
    <row r="973" spans="5:9" x14ac:dyDescent="0.35">
      <c r="E973" s="7"/>
      <c r="F973" s="7"/>
      <c r="G973" s="7"/>
      <c r="H973" s="7"/>
      <c r="I973" s="7"/>
    </row>
    <row r="974" spans="5:9" x14ac:dyDescent="0.35">
      <c r="E974" s="7"/>
      <c r="F974" s="7"/>
      <c r="G974" s="7"/>
      <c r="H974" s="7"/>
      <c r="I974" s="7"/>
    </row>
    <row r="975" spans="5:9" x14ac:dyDescent="0.35">
      <c r="E975" s="7"/>
      <c r="F975" s="7"/>
      <c r="G975" s="7"/>
      <c r="H975" s="7"/>
      <c r="I975" s="7"/>
    </row>
    <row r="976" spans="5:9" x14ac:dyDescent="0.35">
      <c r="E976" s="7"/>
      <c r="F976" s="7"/>
      <c r="G976" s="7"/>
      <c r="H976" s="7"/>
      <c r="I976" s="7"/>
    </row>
    <row r="977" spans="5:9" x14ac:dyDescent="0.35">
      <c r="E977" s="7"/>
      <c r="F977" s="7"/>
      <c r="G977" s="7"/>
      <c r="H977" s="7"/>
      <c r="I977" s="7"/>
    </row>
    <row r="978" spans="5:9" x14ac:dyDescent="0.35">
      <c r="E978" s="7"/>
      <c r="F978" s="7"/>
      <c r="G978" s="7"/>
      <c r="H978" s="7"/>
      <c r="I978" s="7"/>
    </row>
    <row r="979" spans="5:9" x14ac:dyDescent="0.35">
      <c r="E979" s="7"/>
      <c r="F979" s="7"/>
      <c r="G979" s="7"/>
      <c r="H979" s="7"/>
      <c r="I979" s="7"/>
    </row>
    <row r="980" spans="5:9" x14ac:dyDescent="0.35">
      <c r="E980" s="7"/>
      <c r="F980" s="7"/>
      <c r="G980" s="7"/>
      <c r="H980" s="7"/>
      <c r="I980" s="7"/>
    </row>
    <row r="981" spans="5:9" x14ac:dyDescent="0.35">
      <c r="E981" s="7"/>
      <c r="F981" s="7"/>
      <c r="G981" s="7"/>
      <c r="H981" s="7"/>
      <c r="I981" s="7"/>
    </row>
    <row r="982" spans="5:9" x14ac:dyDescent="0.35">
      <c r="E982" s="7"/>
      <c r="F982" s="7"/>
      <c r="G982" s="7"/>
      <c r="H982" s="7"/>
      <c r="I982" s="7"/>
    </row>
    <row r="983" spans="5:9" x14ac:dyDescent="0.35">
      <c r="E983" s="7"/>
      <c r="F983" s="7"/>
      <c r="G983" s="7"/>
      <c r="H983" s="7"/>
      <c r="I983" s="7"/>
    </row>
    <row r="984" spans="5:9" x14ac:dyDescent="0.35">
      <c r="E984" s="7"/>
      <c r="F984" s="7"/>
      <c r="G984" s="7"/>
      <c r="H984" s="7"/>
      <c r="I984" s="7"/>
    </row>
    <row r="985" spans="5:9" x14ac:dyDescent="0.35">
      <c r="E985" s="7"/>
      <c r="F985" s="7"/>
      <c r="G985" s="7"/>
      <c r="H985" s="7"/>
      <c r="I985" s="7"/>
    </row>
    <row r="986" spans="5:9" x14ac:dyDescent="0.35">
      <c r="E986" s="7"/>
      <c r="F986" s="7"/>
      <c r="G986" s="7"/>
      <c r="H986" s="7"/>
      <c r="I986" s="7"/>
    </row>
    <row r="987" spans="5:9" x14ac:dyDescent="0.35">
      <c r="E987" s="7"/>
      <c r="F987" s="7"/>
      <c r="G987" s="7"/>
      <c r="H987" s="7"/>
      <c r="I987" s="7"/>
    </row>
    <row r="988" spans="5:9" x14ac:dyDescent="0.35">
      <c r="E988" s="7"/>
      <c r="F988" s="7"/>
      <c r="G988" s="7"/>
      <c r="H988" s="7"/>
      <c r="I988" s="7"/>
    </row>
    <row r="989" spans="5:9" x14ac:dyDescent="0.35">
      <c r="E989" s="7"/>
      <c r="F989" s="7"/>
      <c r="G989" s="7"/>
      <c r="H989" s="7"/>
      <c r="I989" s="7"/>
    </row>
    <row r="990" spans="5:9" x14ac:dyDescent="0.35">
      <c r="E990" s="7"/>
      <c r="F990" s="7"/>
      <c r="G990" s="7"/>
      <c r="H990" s="7"/>
      <c r="I990" s="7"/>
    </row>
    <row r="991" spans="5:9" x14ac:dyDescent="0.35">
      <c r="E991" s="7"/>
      <c r="F991" s="7"/>
      <c r="G991" s="7"/>
      <c r="H991" s="7"/>
      <c r="I991" s="7"/>
    </row>
    <row r="992" spans="5:9" x14ac:dyDescent="0.35">
      <c r="E992" s="7"/>
      <c r="F992" s="7"/>
      <c r="G992" s="7"/>
      <c r="H992" s="7"/>
      <c r="I992" s="7"/>
    </row>
    <row r="993" spans="5:9" x14ac:dyDescent="0.35">
      <c r="E993" s="7"/>
      <c r="F993" s="7"/>
      <c r="G993" s="7"/>
      <c r="H993" s="7"/>
      <c r="I993" s="7"/>
    </row>
    <row r="994" spans="5:9" x14ac:dyDescent="0.35">
      <c r="E994" s="7"/>
      <c r="F994" s="7"/>
      <c r="G994" s="7"/>
      <c r="H994" s="7"/>
      <c r="I994" s="7"/>
    </row>
    <row r="995" spans="5:9" x14ac:dyDescent="0.35">
      <c r="E995" s="7"/>
      <c r="F995" s="7"/>
      <c r="G995" s="7"/>
      <c r="H995" s="7"/>
      <c r="I995" s="7"/>
    </row>
    <row r="996" spans="5:9" x14ac:dyDescent="0.35">
      <c r="E996" s="7"/>
      <c r="F996" s="7"/>
      <c r="G996" s="7"/>
      <c r="H996" s="7"/>
      <c r="I996" s="7"/>
    </row>
    <row r="997" spans="5:9" x14ac:dyDescent="0.35">
      <c r="E997" s="7"/>
      <c r="F997" s="7"/>
      <c r="G997" s="7"/>
      <c r="H997" s="7"/>
      <c r="I997" s="7"/>
    </row>
    <row r="998" spans="5:9" x14ac:dyDescent="0.35">
      <c r="E998" s="7"/>
      <c r="F998" s="7"/>
      <c r="G998" s="7"/>
      <c r="H998" s="7"/>
      <c r="I998" s="7"/>
    </row>
    <row r="999" spans="5:9" x14ac:dyDescent="0.35">
      <c r="E999" s="7"/>
      <c r="F999" s="7"/>
      <c r="G999" s="7"/>
      <c r="H999" s="7"/>
      <c r="I999" s="7"/>
    </row>
    <row r="1000" spans="5:9" x14ac:dyDescent="0.35">
      <c r="E1000" s="7"/>
      <c r="F1000" s="7"/>
      <c r="G1000" s="7"/>
      <c r="H1000" s="7"/>
      <c r="I1000" s="7"/>
    </row>
    <row r="1001" spans="5:9" x14ac:dyDescent="0.35">
      <c r="E1001" s="7"/>
      <c r="F1001" s="7"/>
      <c r="G1001" s="7"/>
      <c r="H1001" s="7"/>
      <c r="I1001" s="7"/>
    </row>
    <row r="1002" spans="5:9" x14ac:dyDescent="0.35">
      <c r="E1002" s="7"/>
      <c r="F1002" s="7"/>
      <c r="G1002" s="7"/>
      <c r="H1002" s="7"/>
      <c r="I1002" s="7"/>
    </row>
    <row r="1003" spans="5:9" x14ac:dyDescent="0.35">
      <c r="E1003" s="7"/>
      <c r="F1003" s="7"/>
      <c r="G1003" s="7"/>
      <c r="H1003" s="7"/>
      <c r="I1003" s="7"/>
    </row>
    <row r="1004" spans="5:9" x14ac:dyDescent="0.35">
      <c r="F1004" s="7"/>
      <c r="G1004" s="7"/>
      <c r="H1004" s="7"/>
      <c r="I1004" s="7"/>
    </row>
    <row r="1005" spans="5:9" x14ac:dyDescent="0.35">
      <c r="F1005" s="7"/>
      <c r="G1005" s="7"/>
      <c r="H1005" s="7"/>
      <c r="I1005" s="7"/>
    </row>
    <row r="1006" spans="5:9" x14ac:dyDescent="0.35">
      <c r="F1006" s="7"/>
      <c r="G1006" s="7"/>
      <c r="H1006" s="7"/>
      <c r="I1006" s="7"/>
    </row>
    <row r="1007" spans="5:9" x14ac:dyDescent="0.35">
      <c r="F1007" s="7"/>
      <c r="G1007" s="7"/>
      <c r="H1007" s="7"/>
      <c r="I1007" s="7"/>
    </row>
    <row r="1008" spans="5:9" x14ac:dyDescent="0.35">
      <c r="F1008" s="7"/>
      <c r="G1008" s="7"/>
      <c r="H1008" s="7"/>
      <c r="I1008" s="7"/>
    </row>
    <row r="1009" spans="6:9" x14ac:dyDescent="0.35">
      <c r="F1009" s="7"/>
      <c r="G1009" s="7"/>
      <c r="H1009" s="7"/>
      <c r="I1009" s="7"/>
    </row>
    <row r="1010" spans="6:9" x14ac:dyDescent="0.35">
      <c r="F1010" s="7"/>
      <c r="G1010" s="7"/>
      <c r="H1010" s="7"/>
      <c r="I1010" s="7"/>
    </row>
    <row r="1011" spans="6:9" x14ac:dyDescent="0.35">
      <c r="F1011" s="7"/>
      <c r="G1011" s="7"/>
      <c r="H1011" s="7"/>
      <c r="I1011" s="7"/>
    </row>
    <row r="1012" spans="6:9" x14ac:dyDescent="0.35">
      <c r="F1012" s="7"/>
      <c r="G1012" s="7"/>
      <c r="H1012" s="7"/>
      <c r="I1012" s="7"/>
    </row>
    <row r="1013" spans="6:9" x14ac:dyDescent="0.35">
      <c r="F1013" s="7"/>
      <c r="G1013" s="7"/>
      <c r="H1013" s="7"/>
      <c r="I1013" s="7"/>
    </row>
    <row r="1014" spans="6:9" x14ac:dyDescent="0.35">
      <c r="F1014" s="7"/>
      <c r="G1014" s="7"/>
      <c r="H1014" s="7"/>
      <c r="I1014" s="7"/>
    </row>
    <row r="1015" spans="6:9" x14ac:dyDescent="0.35">
      <c r="F1015" s="7"/>
      <c r="G1015" s="7"/>
      <c r="H1015" s="7"/>
      <c r="I1015" s="7"/>
    </row>
    <row r="1016" spans="6:9" x14ac:dyDescent="0.35">
      <c r="F1016" s="7"/>
      <c r="G1016" s="7"/>
      <c r="H1016" s="7"/>
      <c r="I1016" s="7"/>
    </row>
    <row r="1017" spans="6:9" x14ac:dyDescent="0.35">
      <c r="F1017" s="7"/>
      <c r="G1017" s="7"/>
      <c r="H1017" s="7"/>
      <c r="I1017" s="7"/>
    </row>
    <row r="1018" spans="6:9" x14ac:dyDescent="0.35">
      <c r="F1018" s="7"/>
      <c r="G1018" s="7"/>
      <c r="H1018" s="7"/>
      <c r="I1018" s="7"/>
    </row>
    <row r="1019" spans="6:9" x14ac:dyDescent="0.35">
      <c r="F1019" s="7"/>
      <c r="G1019" s="7"/>
      <c r="H1019" s="7"/>
      <c r="I1019" s="7"/>
    </row>
    <row r="1020" spans="6:9" x14ac:dyDescent="0.35">
      <c r="F1020" s="7"/>
      <c r="G1020" s="7"/>
      <c r="H1020" s="7"/>
      <c r="I1020" s="7"/>
    </row>
    <row r="1021" spans="6:9" x14ac:dyDescent="0.35">
      <c r="F1021" s="7"/>
      <c r="G1021" s="7"/>
      <c r="H1021" s="7"/>
    </row>
    <row r="1022" spans="6:9" x14ac:dyDescent="0.35">
      <c r="F1022" s="7"/>
      <c r="G1022" s="7"/>
      <c r="H1022" s="7"/>
    </row>
    <row r="1023" spans="6:9" x14ac:dyDescent="0.35">
      <c r="F1023" s="7"/>
      <c r="G1023" s="7"/>
      <c r="H1023" s="7"/>
    </row>
  </sheetData>
  <sheetProtection algorithmName="SHA-512" hashValue="D4SoJIr+AhsfEN3iWSDZzEewMkfp2RgCQW+8YXi/mAl80vqS5hbR6p7Rdqdu/SVdHk3JF9geKm80yEAEuMymYQ==" saltValue="2kIRVf40byEOwGDGvjlH+Q==" spinCount="100000" sheet="1" selectLockedCells="1"/>
  <mergeCells count="53">
    <mergeCell ref="K349:L349"/>
    <mergeCell ref="J304:M304"/>
    <mergeCell ref="J262:M262"/>
    <mergeCell ref="J263:M263"/>
    <mergeCell ref="J180:M180"/>
    <mergeCell ref="J181:M181"/>
    <mergeCell ref="J273:M273"/>
    <mergeCell ref="J278:M278"/>
    <mergeCell ref="J283:M283"/>
    <mergeCell ref="J290:M290"/>
    <mergeCell ref="J297:M297"/>
    <mergeCell ref="J145:M145"/>
    <mergeCell ref="J146:M146"/>
    <mergeCell ref="J152:M152"/>
    <mergeCell ref="J158:M158"/>
    <mergeCell ref="J165:M165"/>
    <mergeCell ref="J125:M125"/>
    <mergeCell ref="J124:M124"/>
    <mergeCell ref="J101:M101"/>
    <mergeCell ref="J74:M74"/>
    <mergeCell ref="J75:M75"/>
    <mergeCell ref="J113:M113"/>
    <mergeCell ref="J27:M27"/>
    <mergeCell ref="J114:M114"/>
    <mergeCell ref="J100:M100"/>
    <mergeCell ref="J88:M88"/>
    <mergeCell ref="J21:M21"/>
    <mergeCell ref="J22:M22"/>
    <mergeCell ref="J42:M42"/>
    <mergeCell ref="J46:M46"/>
    <mergeCell ref="J52:M52"/>
    <mergeCell ref="J28:M28"/>
    <mergeCell ref="J34:M34"/>
    <mergeCell ref="J35:M35"/>
    <mergeCell ref="J69:M69"/>
    <mergeCell ref="J55:M55"/>
    <mergeCell ref="J53:M53"/>
    <mergeCell ref="K351:L351"/>
    <mergeCell ref="K350:L350"/>
    <mergeCell ref="K352:L352"/>
    <mergeCell ref="K353:L353"/>
    <mergeCell ref="B2:M2"/>
    <mergeCell ref="B3:M3"/>
    <mergeCell ref="J62:M62"/>
    <mergeCell ref="J198:M198"/>
    <mergeCell ref="J209:M209"/>
    <mergeCell ref="J245:M245"/>
    <mergeCell ref="J251:M251"/>
    <mergeCell ref="J172:M172"/>
    <mergeCell ref="J64:M64"/>
    <mergeCell ref="J6:M6"/>
    <mergeCell ref="J7:M7"/>
    <mergeCell ref="J87:M87"/>
  </mergeCells>
  <conditionalFormatting sqref="C16:G16">
    <cfRule type="expression" dxfId="2237" priority="78">
      <formula>OR((mgmt_domain_existing_vcf_operations_chosen="Selected"),(mgmt_domain_chosen="Deploy a VCF Instance in an existing VCF fleet"))</formula>
    </cfRule>
  </conditionalFormatting>
  <conditionalFormatting sqref="E23 E25">
    <cfRule type="expression" dxfId="2236" priority="77">
      <formula>mgmt_domain_existing_vcenter_chosen="Selected"</formula>
    </cfRule>
  </conditionalFormatting>
  <conditionalFormatting sqref="E24 C17:G17 E26">
    <cfRule type="expression" dxfId="2235" priority="368">
      <formula>mgmt_domain_deployment_type_chosen="VMware vSphere Foundation"</formula>
    </cfRule>
  </conditionalFormatting>
  <conditionalFormatting sqref="E24">
    <cfRule type="expression" dxfId="2234" priority="76">
      <formula>mgmt_domain_existing_nsx_manager_chosen="Selected"</formula>
    </cfRule>
  </conditionalFormatting>
  <conditionalFormatting sqref="E18:G18">
    <cfRule type="expression" dxfId="2233" priority="370">
      <formula>mgmt_domain_existing_vcf_automation_result="Included"</formula>
    </cfRule>
  </conditionalFormatting>
  <conditionalFormatting sqref="J306">
    <cfRule type="expression" dxfId="2232" priority="30">
      <formula>mgmt_domain_ops_automation_later_chosen="Selected"</formula>
    </cfRule>
    <cfRule type="expression" dxfId="2231" priority="31">
      <formula>mgmt_domain_deployment_type_chosen="VMware vSphere Foundation"</formula>
    </cfRule>
  </conditionalFormatting>
  <conditionalFormatting sqref="J308:J311">
    <cfRule type="expression" dxfId="2230" priority="28">
      <formula>mgmt_domain_ops_automation_later_chosen="Selected"</formula>
    </cfRule>
    <cfRule type="expression" dxfId="2229" priority="29">
      <formula>mgmt_domain_deployment_type_chosen="VMware vSphere Foundation"</formula>
    </cfRule>
  </conditionalFormatting>
  <conditionalFormatting sqref="J313">
    <cfRule type="expression" dxfId="2228" priority="26">
      <formula>mgmt_domain_ops_automation_later_chosen="Selected"</formula>
    </cfRule>
    <cfRule type="expression" dxfId="2227" priority="27">
      <formula>mgmt_domain_deployment_type_chosen="VMware vSphere Foundation"</formula>
    </cfRule>
  </conditionalFormatting>
  <conditionalFormatting sqref="J315:J319">
    <cfRule type="expression" dxfId="2226" priority="23">
      <formula>mgmt_domain_ops_automation_later_chosen="Selected"</formula>
    </cfRule>
    <cfRule type="expression" dxfId="2225" priority="24">
      <formula>mgmt_domain_deployment_type_chosen="VMware vSphere Foundation"</formula>
    </cfRule>
    <cfRule type="expression" dxfId="2224" priority="25">
      <formula>mgmt_domain_existing_vcf_operations_chosen="Selected"</formula>
    </cfRule>
  </conditionalFormatting>
  <conditionalFormatting sqref="J321 L321">
    <cfRule type="expression" dxfId="2223" priority="69">
      <formula>mgmt_vcf_installer_location="Deployed on one of the hosts in the management domain"</formula>
    </cfRule>
  </conditionalFormatting>
  <conditionalFormatting sqref="L9:L19 L24:L25 L30:L32 L37:L41 L43:L45 L47:L50 L56:L63 L65:L68 L70:L72 L77:L85 L90:L98 L103 L105:L111 L116:L122 L127:L143 L148:L151 L153:L157 L159:L162 L166:L169 L183 L195:L197 L200:L208 L212 L217:L219 L221:L224 L226:L229 L232:L234 L237:L239 L242:L244 L246:L250 L252 L265:L269 J306 L306 J308:J311 L308:L311 J313 L313 J315:J319 L315:L319 J321:J323 L321:L323 J325:J328 L325:L328 J330:J345 L330:L345">
    <cfRule type="notContainsBlanks" dxfId="2222" priority="1407">
      <formula>LEN(TRIM(J9))&gt;0</formula>
    </cfRule>
  </conditionalFormatting>
  <conditionalFormatting sqref="L9:L19 L24:L25 L30:L32 L37:L41 L43:L45 L47:L50 L56:L63 L65:L68 L70:L72 L77:L85 L90:L98 L103:L111 L116:L122 L127:L143 L148:L151 L153:L157 L159:L162 L166:L169 L183 L195:L197 L200:L208 L212 L217:L219 L221:L224 L226:L229 L232:L234 L237:L239 L242:L244 L246:L250 L252 L265:L269 J306 L306 J308:J311 L308:L311 J313 L313 J315:J319 L315:L319 J321:J323 L321:L323 J325:J328 L325:L328 J330:J345 L330:L345">
    <cfRule type="containsBlanks" dxfId="2221" priority="1408">
      <formula>LEN(TRIM(J9))=0</formula>
    </cfRule>
  </conditionalFormatting>
  <conditionalFormatting sqref="L10:L11">
    <cfRule type="expression" dxfId="2219" priority="366">
      <formula>mgmt_offline_depot_chosen="Online"</formula>
    </cfRule>
  </conditionalFormatting>
  <conditionalFormatting sqref="L14:L19">
    <cfRule type="expression" dxfId="2218" priority="353">
      <formula>mgmt_internet_proxy_chosen="Unselected"</formula>
    </cfRule>
  </conditionalFormatting>
  <conditionalFormatting sqref="L18:L19">
    <cfRule type="expression" dxfId="2217" priority="343">
      <formula>mgmt_internet_proxy_auth="Unselected"</formula>
    </cfRule>
    <cfRule type="expression" dxfId="2216" priority="107">
      <formula>mgmt_internet_proxy_auth_chosen="Unselected"</formula>
    </cfRule>
  </conditionalFormatting>
  <conditionalFormatting sqref="L30 L58:L59 L63 L65:L68 L70:L72 L77:L85 L306 L309:L311 L313 L103:L111 L265:L269 L246:L250 L252:L260 L32 L38:L41 L322 L325:L328">
    <cfRule type="expression" dxfId="2215" priority="93">
      <formula>mgmt_domain_deployment_type_chosen="VMware vSphere Foundation"</formula>
    </cfRule>
  </conditionalFormatting>
  <conditionalFormatting sqref="L32">
    <cfRule type="expression" dxfId="2214" priority="341">
      <formula>mgmt_domain_existing_vcenter_chosen="Unselected"</formula>
    </cfRule>
  </conditionalFormatting>
  <conditionalFormatting sqref="L40">
    <cfRule type="expression" dxfId="2213" priority="347" stopIfTrue="1">
      <formula>mgmt_domain_existing_vcf_operations_result="Excluded"</formula>
    </cfRule>
    <cfRule type="expression" dxfId="2212" priority="339">
      <formula>mgmt_domain_vcf_operations_ha_mode_chosen="Simple (Single Node)"</formula>
    </cfRule>
  </conditionalFormatting>
  <conditionalFormatting sqref="L43:L45 L47:L48">
    <cfRule type="expression" dxfId="2211" priority="92">
      <formula>mgmt_domain_existing_vcenter_chosen="Selected"</formula>
    </cfRule>
  </conditionalFormatting>
  <conditionalFormatting sqref="L49:L50">
    <cfRule type="expression" dxfId="2210" priority="344">
      <formula>mgmt_domain_existing_vcenter_result="Excluded"</formula>
    </cfRule>
    <cfRule type="expression" dxfId="2209" priority="345">
      <formula>mgmt_domain_existing_vcf_operations_result="Excluded"</formula>
    </cfRule>
  </conditionalFormatting>
  <conditionalFormatting sqref="L58:L59 L63 L82:L83 L106:L107 L309:L311 L313 J309:J311 J318:J319 L318:L319">
    <cfRule type="expression" dxfId="2208" priority="189" stopIfTrue="1">
      <formula>mgmt_domain_vcf_operations_ha_mode_chosen="Simple (Single-Node)"</formula>
    </cfRule>
  </conditionalFormatting>
  <conditionalFormatting sqref="L60:L61">
    <cfRule type="expression" dxfId="2207" priority="338">
      <formula>AND((mgmt_domain_existing_vcf_operations_chosen="Unselected"),(mgmt_domain_password_creation_chosen="Selected"),(vcf_granular_option_chosen="Deploy a new VCF Fleet"))</formula>
    </cfRule>
  </conditionalFormatting>
  <conditionalFormatting sqref="L61">
    <cfRule type="expression" dxfId="2206" priority="70">
      <formula>vcf_granular_option_chosen="Deploy a VCF Instance in an existing VCF Fleet"</formula>
    </cfRule>
  </conditionalFormatting>
  <conditionalFormatting sqref="L66:L68 L71">
    <cfRule type="expression" dxfId="2205" priority="335">
      <formula>mgmt_domain_password_creation_chosen="Selected"</formula>
    </cfRule>
  </conditionalFormatting>
  <conditionalFormatting sqref="L67">
    <cfRule type="expression" dxfId="2204" priority="81">
      <formula>AND((mgmt_domain_password_creation_chosen="Selected"),(mgmt_domain_chosen="Deploy a new VCF fleet"))</formula>
    </cfRule>
  </conditionalFormatting>
  <conditionalFormatting sqref="L67:L68">
    <cfRule type="expression" dxfId="2203" priority="113">
      <formula>mgmt_flt_fm_reuse_password_chosen="Selected"</formula>
    </cfRule>
  </conditionalFormatting>
  <conditionalFormatting sqref="L72">
    <cfRule type="expression" dxfId="2202" priority="80">
      <formula>mgmt_domain_password_creation_chosen="Selected"</formula>
    </cfRule>
    <cfRule type="expression" dxfId="2201" priority="106">
      <formula>mgmt_ops_collector_reuse_password_chosen="Selected"</formula>
    </cfRule>
  </conditionalFormatting>
  <conditionalFormatting sqref="L77:L85 L56:L63 L65:L68 L70:L72">
    <cfRule type="expression" dxfId="2200" priority="337">
      <formula>mgmt_domain_ops_automation_later_chosen="Selected"</formula>
    </cfRule>
  </conditionalFormatting>
  <conditionalFormatting sqref="L79">
    <cfRule type="expression" dxfId="2199" priority="79">
      <formula>AND((mgmt_domain_existing_vcf_operations_chosen="Unselected"),(mgmt_domain_password_creation_chosen="Selected"),(mgmt_domain_chosen="First Instance"))</formula>
    </cfRule>
  </conditionalFormatting>
  <conditionalFormatting sqref="L80:L84 L311 L315:L319 L25">
    <cfRule type="expression" dxfId="2198" priority="190" stopIfTrue="1">
      <formula>mgmt_domain_deployment_type_chosen="VMware vSphere Foundation"</formula>
    </cfRule>
  </conditionalFormatting>
  <conditionalFormatting sqref="L80:L85">
    <cfRule type="expression" dxfId="2197" priority="250">
      <formula>mgmt_domain_existing_vcf_automation_result="Included"</formula>
    </cfRule>
  </conditionalFormatting>
  <conditionalFormatting sqref="L96">
    <cfRule type="expression" dxfId="2196" priority="91">
      <formula>mgmt_domain_existing_vcenter_chosen="Unselected"</formula>
    </cfRule>
  </conditionalFormatting>
  <conditionalFormatting sqref="L97:L98">
    <cfRule type="expression" dxfId="2195" priority="324">
      <formula>AND((mgmt_domain_existing_vcenter_chosen="Unselected"),(mgmt_domain_password_creation_chosen="Selected"))</formula>
    </cfRule>
  </conditionalFormatting>
  <conditionalFormatting sqref="L105:L107 L103 L326:L328 J326:J328">
    <cfRule type="expression" dxfId="2194" priority="336">
      <formula>mgmt_domain_existing_nsx_manager_chosen="Selected"</formula>
    </cfRule>
  </conditionalFormatting>
  <conditionalFormatting sqref="L108:L110">
    <cfRule type="expression" dxfId="2193" priority="75">
      <formula>AND((mgmt_domain_existing_nsx_manager_chosen="Unselected"),(mgmt_domain_password_creation_chosen="Selected"))</formula>
    </cfRule>
  </conditionalFormatting>
  <conditionalFormatting sqref="L111">
    <cfRule type="expression" dxfId="2192" priority="187">
      <formula>mgmt_domain_existing_nsx_manager_chosen="Unselected"</formula>
    </cfRule>
  </conditionalFormatting>
  <conditionalFormatting sqref="L118:L119">
    <cfRule type="expression" dxfId="2191" priority="348">
      <formula>mgmt_principal_storage_chosen&lt;&gt;"vSAN-OSA"</formula>
    </cfRule>
  </conditionalFormatting>
  <conditionalFormatting sqref="L120:L122">
    <cfRule type="expression" dxfId="2190" priority="352">
      <formula>mgmt_principal_storage_chosen&lt;&gt;"NFSv3"</formula>
    </cfRule>
  </conditionalFormatting>
  <conditionalFormatting sqref="L132:L143">
    <cfRule type="notContainsBlanks" dxfId="2189" priority="142">
      <formula>LEN(TRIM(L132))&gt;0</formula>
    </cfRule>
    <cfRule type="containsBlanks" dxfId="2188" priority="141">
      <formula>LEN(TRIM(L132))=0</formula>
    </cfRule>
  </conditionalFormatting>
  <conditionalFormatting sqref="L163:L164">
    <cfRule type="notContainsBlanks" dxfId="2187" priority="176" stopIfTrue="1">
      <formula>LEN(TRIM(L163))&gt;0</formula>
    </cfRule>
    <cfRule type="containsBlanks" dxfId="2186" priority="175" stopIfTrue="1">
      <formula>LEN(TRIM(L163))=0</formula>
    </cfRule>
  </conditionalFormatting>
  <conditionalFormatting sqref="L166:L171">
    <cfRule type="expression" dxfId="2185" priority="179">
      <formula>OR((mgmt_principal_storage_chosen="VMFS on Fibre Channel (FC)"),(mgmt_principal_storage_chosen="NFSv3"))</formula>
    </cfRule>
  </conditionalFormatting>
  <conditionalFormatting sqref="L170:L171 L177:L178">
    <cfRule type="containsBlanks" dxfId="2184" priority="180" stopIfTrue="1">
      <formula>LEN(TRIM(L170))=0</formula>
    </cfRule>
    <cfRule type="notContainsBlanks" dxfId="2183" priority="266" stopIfTrue="1">
      <formula>LEN(TRIM(L170))&gt;0</formula>
    </cfRule>
  </conditionalFormatting>
  <conditionalFormatting sqref="L173:L176">
    <cfRule type="notContainsBlanks" dxfId="2181" priority="89">
      <formula>LEN(TRIM(L173))&gt;0</formula>
    </cfRule>
    <cfRule type="containsBlanks" dxfId="2180" priority="90">
      <formula>LEN(TRIM(L173))=0</formula>
    </cfRule>
    <cfRule type="expression" dxfId="2179" priority="86">
      <formula>mgmt_domain_existing_vcenter_chosen="Selected"</formula>
    </cfRule>
    <cfRule type="expression" dxfId="2178" priority="87">
      <formula>mgmt_principal_storage_chosen="VMFS on Fibre Channel (FC)"</formula>
    </cfRule>
  </conditionalFormatting>
  <conditionalFormatting sqref="L173:L178">
    <cfRule type="expression" dxfId="2177" priority="85">
      <formula>mgmt_principal_storage_chosen&lt;&gt;"NFSv3"</formula>
    </cfRule>
  </conditionalFormatting>
  <conditionalFormatting sqref="L188:L194">
    <cfRule type="notContainsBlanks" dxfId="2176" priority="170">
      <formula>LEN(TRIM(L188))&gt;0</formula>
    </cfRule>
    <cfRule type="containsBlanks" dxfId="2175" priority="171">
      <formula>LEN(TRIM(L188))=0</formula>
    </cfRule>
  </conditionalFormatting>
  <conditionalFormatting sqref="L188:L197 L200:L208 L212 L217:L219 L221:L224 L226:L229 L231:L234 L236:L239 L241:L244 L246:L250 L252:L260 L91:L95 L113:L114 L116:L143 L145:L157 L159:L164 L166:L171 L183 J330:J345 L330:L345">
    <cfRule type="expression" dxfId="2174" priority="67">
      <formula>mgmt_domain_existing_vcenter_chosen="Selected"</formula>
    </cfRule>
  </conditionalFormatting>
  <conditionalFormatting sqref="L188:L197 L221:L224 L226:L229 L231:L234 L199:L208 L210:L219 L246:L250 L236:L239 L241:L244 L252:L260">
    <cfRule type="expression" dxfId="2173" priority="66">
      <formula>mgmt_cl01_vds_profile_chosen="Custom Switch Configuration"</formula>
    </cfRule>
  </conditionalFormatting>
  <conditionalFormatting sqref="L190">
    <cfRule type="expression" dxfId="2172" priority="4">
      <formula>M190="VDS LAG / LACP is not supported on this VDS with the chosen VDS profile"</formula>
    </cfRule>
  </conditionalFormatting>
  <conditionalFormatting sqref="L191:L194">
    <cfRule type="expression" dxfId="2171" priority="22">
      <formula>mgmt_cl01_vds01_link_type_chosen="VDS Uplinks"</formula>
    </cfRule>
  </conditionalFormatting>
  <conditionalFormatting sqref="L198:L208 L253 L260">
    <cfRule type="containsBlanks" dxfId="2170" priority="162">
      <formula>LEN(TRIM(L198))=0</formula>
    </cfRule>
  </conditionalFormatting>
  <conditionalFormatting sqref="L199">
    <cfRule type="containsBlanks" dxfId="2169" priority="119">
      <formula>LEN(TRIM(L199))=0</formula>
    </cfRule>
    <cfRule type="notContainsBlanks" dxfId="2168" priority="118">
      <formula>LEN(TRIM(L199))&gt;0</formula>
    </cfRule>
  </conditionalFormatting>
  <conditionalFormatting sqref="L199:L208 L210:L219">
    <cfRule type="expression" dxfId="2167" priority="73">
      <formula>mgmt_cl01_vds_profile_chosen="Default"</formula>
    </cfRule>
  </conditionalFormatting>
  <conditionalFormatting sqref="L201">
    <cfRule type="expression" dxfId="2166" priority="1">
      <formula>M201="VDS LAG / LACP is not supported on this VDS with the chosen VDS profile and Primary VDS Lag configuration"</formula>
    </cfRule>
    <cfRule type="expression" dxfId="2165" priority="3">
      <formula>M201="VDS LAG / LACP is not supported on this VDS with the chosen VDS profile"</formula>
    </cfRule>
  </conditionalFormatting>
  <conditionalFormatting sqref="L202:L205">
    <cfRule type="expression" dxfId="2164" priority="20">
      <formula>mgmt_cl01_vds02_link_type_chosen="VDS Uplinks"</formula>
    </cfRule>
  </conditionalFormatting>
  <conditionalFormatting sqref="L210:L216">
    <cfRule type="containsBlanks" dxfId="2163" priority="126">
      <formula>LEN(TRIM(L210))=0</formula>
    </cfRule>
    <cfRule type="notContainsBlanks" dxfId="2162" priority="246">
      <formula>LEN(TRIM(L210))&gt;0</formula>
    </cfRule>
    <cfRule type="expression" dxfId="2161" priority="114">
      <formula>mgmt_domain_result="Excluded"</formula>
    </cfRule>
  </conditionalFormatting>
  <conditionalFormatting sqref="L210:L219">
    <cfRule type="expression" dxfId="2160" priority="115" stopIfTrue="1">
      <formula>mgmt_cl01_vds_profile_chosen="NSX Traffic Separation"</formula>
    </cfRule>
    <cfRule type="expression" dxfId="2159" priority="112">
      <formula>mgmt_cl01_vds_profile_chosen="Storage Traffic Separation"</formula>
    </cfRule>
  </conditionalFormatting>
  <conditionalFormatting sqref="L213:L216">
    <cfRule type="expression" dxfId="2158" priority="18">
      <formula>mgmt_cl01_vds03_link_type_chosen="VDS Uplinks"</formula>
    </cfRule>
  </conditionalFormatting>
  <conditionalFormatting sqref="L221">
    <cfRule type="notContainsBlanks" dxfId="2157" priority="8">
      <formula>LEN(TRIM(L221))&gt;0</formula>
    </cfRule>
    <cfRule type="containsBlanks" dxfId="2156" priority="7">
      <formula>LEN(TRIM(L221))=0</formula>
    </cfRule>
  </conditionalFormatting>
  <conditionalFormatting sqref="L222:L224 L227:L229 L232:L234">
    <cfRule type="expression" dxfId="2155" priority="21">
      <formula>mgmt_cl01_vds01_link_type_chosen="VDS LAG"</formula>
    </cfRule>
  </conditionalFormatting>
  <conditionalFormatting sqref="L226">
    <cfRule type="containsBlanks" dxfId="2154" priority="139">
      <formula>LEN(TRIM(L226))=0</formula>
    </cfRule>
    <cfRule type="notContainsBlanks" dxfId="2153" priority="140">
      <formula>LEN(TRIM(L226))&gt;0</formula>
    </cfRule>
  </conditionalFormatting>
  <conditionalFormatting sqref="L231">
    <cfRule type="containsBlanks" dxfId="2152" priority="133">
      <formula>LEN(TRIM(L231))=0</formula>
    </cfRule>
    <cfRule type="notContainsBlanks" dxfId="2151" priority="134">
      <formula>LEN(TRIM(L231))&gt;0</formula>
    </cfRule>
  </conditionalFormatting>
  <conditionalFormatting sqref="L236">
    <cfRule type="notContainsBlanks" dxfId="2150" priority="131">
      <formula>LEN(TRIM(L236))&gt;0</formula>
    </cfRule>
    <cfRule type="containsBlanks" dxfId="2149" priority="130">
      <formula>LEN(TRIM(L236))=0</formula>
    </cfRule>
  </conditionalFormatting>
  <conditionalFormatting sqref="L236:L239">
    <cfRule type="expression" dxfId="2148" priority="68">
      <formula>OR((mgmt_principal_storage_chosen="VMFS on Fibre Channel (FC)"),(mgmt_principal_storage_chosen="NFSv3"))</formula>
    </cfRule>
  </conditionalFormatting>
  <conditionalFormatting sqref="L237:L239">
    <cfRule type="expression" dxfId="2147" priority="9">
      <formula>AND((mgmt_cl01_vds_profile_chosen="NSX Traffic Separation"),(mgmt_cl01_vds01_link_type_chosen="VDS Lag"))</formula>
    </cfRule>
    <cfRule type="expression" dxfId="2146" priority="10">
      <formula>AND((mgmt_cl01_vds_profile_chosen="Storage Traffic and NSX Traffic Separation"),(mgmt_cl01_vds02_link_type_chosen="VDS Lag"))</formula>
    </cfRule>
    <cfRule type="expression" dxfId="2145" priority="11">
      <formula>AND((mgmt_cl01_vds_profile_chosen="Storage Traffic Separation"),(mgmt_cl01_vds02_link_type_chosen="VDS Lag"))</formula>
    </cfRule>
    <cfRule type="expression" dxfId="2144" priority="12">
      <formula>AND((mgmt_cl01_vds_profile_chosen="Default"),(mgmt_cl01_vds01_link_type_chosen="VDS Lag"))</formula>
    </cfRule>
  </conditionalFormatting>
  <conditionalFormatting sqref="L241">
    <cfRule type="containsBlanks" dxfId="2143" priority="71">
      <formula>LEN(TRIM(L241))=0</formula>
    </cfRule>
    <cfRule type="notContainsBlanks" dxfId="2142" priority="116">
      <formula>LEN(TRIM(L241))&gt;0</formula>
    </cfRule>
  </conditionalFormatting>
  <conditionalFormatting sqref="L241:L244">
    <cfRule type="expression" dxfId="2141" priority="63">
      <formula>mgmt_principal_storage_chosen&lt;&gt;"NFSv3"</formula>
    </cfRule>
  </conditionalFormatting>
  <conditionalFormatting sqref="L247">
    <cfRule type="expression" dxfId="2140" priority="84">
      <formula>mgmt_nsx_default_operation_mode_chosen="Selected"</formula>
    </cfRule>
  </conditionalFormatting>
  <conditionalFormatting sqref="L248:L250">
    <cfRule type="expression" dxfId="2139" priority="16">
      <formula>AND((mgmt_cl01_vds_profile_chosen="NSX Traffic Separation"),(mgmt_cl01_vds02_link_type_chosen="VDS Lag"))</formula>
    </cfRule>
    <cfRule type="expression" dxfId="2138" priority="15">
      <formula>AND((mgmt_cl01_vds_profile_chosen="Storage Traffic and NSX Traffic Separation"),(mgmt_cl01_vds03_link_type_chosen="VDS Lag"))</formula>
    </cfRule>
    <cfRule type="expression" dxfId="2137" priority="13">
      <formula>AND((mgmt_cl01_vds_profile_chosen="Default"),(mgmt_cl01_vds01_link_type_chosen="VDS Lag"))</formula>
    </cfRule>
    <cfRule type="expression" dxfId="2136" priority="14">
      <formula>AND((mgmt_cl01_vds_profile_chosen="Storage Traffic Separation"),(mgmt_cl01_vds01_link_type_chosen="VDS Lag"))</formula>
    </cfRule>
  </conditionalFormatting>
  <conditionalFormatting sqref="L254">
    <cfRule type="expression" dxfId="2135" priority="120">
      <formula>vcf_granular_option_chosen="None Selected"</formula>
    </cfRule>
    <cfRule type="expression" dxfId="2134" priority="121" stopIfTrue="1">
      <formula>OR((vcf_granular_option_chosen="Cluster"),(vcf_granular_option_chosen="None Chosen"))</formula>
    </cfRule>
    <cfRule type="expression" dxfId="2133" priority="122">
      <formula>mgmt_domain_deployment_type_chosen="VVF"</formula>
    </cfRule>
    <cfRule type="expression" dxfId="2132" priority="124">
      <formula>(vcf_version_result&lt;&gt;"Excluded")</formula>
    </cfRule>
    <cfRule type="expression" dxfId="2131" priority="125">
      <formula>(vcf_version_result="Excluded")</formula>
    </cfRule>
  </conditionalFormatting>
  <conditionalFormatting sqref="L255:L256">
    <cfRule type="notContainsBlanks" dxfId="2130" priority="163">
      <formula>LEN(TRIM(L255))&gt;0</formula>
    </cfRule>
    <cfRule type="containsBlanks" dxfId="2129" priority="157">
      <formula>LEN(TRIM(L255))=0</formula>
    </cfRule>
  </conditionalFormatting>
  <conditionalFormatting sqref="L255:L260">
    <cfRule type="expression" dxfId="2128" priority="151">
      <formula>mgmt_host_overlay_addressing_chosen&lt;&gt;"IP Pool"</formula>
    </cfRule>
  </conditionalFormatting>
  <conditionalFormatting sqref="L257">
    <cfRule type="notContainsBlanks" dxfId="2127" priority="154" stopIfTrue="1">
      <formula>LEN(TRIM(L257))&gt;0</formula>
    </cfRule>
    <cfRule type="containsBlanks" dxfId="2126" priority="156">
      <formula>LEN(TRIM(L257))=0</formula>
    </cfRule>
  </conditionalFormatting>
  <conditionalFormatting sqref="L258:L259">
    <cfRule type="containsBlanks" dxfId="2125" priority="164" stopIfTrue="1">
      <formula>LEN(TRIM(L258))=0</formula>
    </cfRule>
    <cfRule type="notContainsBlanks" dxfId="2124" priority="165" stopIfTrue="1">
      <formula>LEN(TRIM(L258))&gt;0</formula>
    </cfRule>
  </conditionalFormatting>
  <conditionalFormatting sqref="L260 L198:L208 L253">
    <cfRule type="notContainsBlanks" dxfId="2123" priority="161" stopIfTrue="1">
      <formula>LEN(TRIM(L198))&gt;0</formula>
    </cfRule>
  </conditionalFormatting>
  <conditionalFormatting sqref="L267:L269">
    <cfRule type="expression" dxfId="2122" priority="74">
      <formula>mgmt_domain_password_creation_chosen="Selected"</formula>
    </cfRule>
  </conditionalFormatting>
  <conditionalFormatting sqref="L274:L277 L282 L284:L289 L291:L296 L298:L303">
    <cfRule type="notContainsBlanks" dxfId="2121" priority="62">
      <formula>LEN(TRIM(L274))&gt;0</formula>
    </cfRule>
  </conditionalFormatting>
  <conditionalFormatting sqref="L279">
    <cfRule type="containsBlanks" dxfId="2118" priority="45">
      <formula>LEN(TRIM(L279))=0</formula>
    </cfRule>
    <cfRule type="notContainsBlanks" dxfId="2117" priority="47">
      <formula>LEN(TRIM(L279))&gt;0</formula>
    </cfRule>
  </conditionalFormatting>
  <conditionalFormatting sqref="L280">
    <cfRule type="notContainsBlanks" dxfId="2116" priority="39">
      <formula>LEN(TRIM(L280))&gt;0</formula>
    </cfRule>
    <cfRule type="containsBlanks" dxfId="2115" priority="38">
      <formula>LEN(TRIM(L280))=0</formula>
    </cfRule>
  </conditionalFormatting>
  <conditionalFormatting sqref="L281:L282">
    <cfRule type="notContainsBlanks" dxfId="2113" priority="43">
      <formula>LEN(TRIM(L281))&gt;0</formula>
    </cfRule>
    <cfRule type="containsBlanks" dxfId="2111" priority="41">
      <formula>LEN(TRIM(L281))=0</formula>
    </cfRule>
  </conditionalFormatting>
  <conditionalFormatting sqref="L282 L274:L277 L284:L289 L291:L296 L298:L303">
    <cfRule type="containsBlanks" dxfId="2110" priority="60">
      <formula>LEN(TRIM(L274))=0</formula>
    </cfRule>
  </conditionalFormatting>
  <conditionalFormatting sqref="L290">
    <cfRule type="containsBlanks" dxfId="2108" priority="54">
      <formula>LEN(TRIM(L290))=0</formula>
    </cfRule>
    <cfRule type="expression" dxfId="2107" priority="51">
      <formula>input_mgmt_principal_storage_chosen="VMFS on Fibre Channel (FC)"</formula>
    </cfRule>
    <cfRule type="expression" dxfId="2106" priority="52">
      <formula>mgmt_domain_existing_vcenter_chosen="Selected"</formula>
    </cfRule>
  </conditionalFormatting>
  <conditionalFormatting sqref="L297 L273">
    <cfRule type="expression" dxfId="2105" priority="56">
      <formula>mgmt_domain_existing_vcenter_chosen="Selected"</formula>
    </cfRule>
  </conditionalFormatting>
  <conditionalFormatting sqref="L297 L290">
    <cfRule type="notContainsBlanks" dxfId="2104" priority="58">
      <formula>LEN(TRIM(L290))&gt;0</formula>
    </cfRule>
  </conditionalFormatting>
  <conditionalFormatting sqref="L297">
    <cfRule type="expression" dxfId="2103" priority="55">
      <formula>input_mgmt_principal_storage_chosen="VMFS on Fibre Channel (FC)"</formula>
    </cfRule>
    <cfRule type="containsBlanks" dxfId="2101" priority="59">
      <formula>LEN(TRIM(L297))=0</formula>
    </cfRule>
  </conditionalFormatting>
  <conditionalFormatting sqref="L306 L308:L311 L313 L315:L319">
    <cfRule type="expression" dxfId="2100" priority="32">
      <formula>mgmt_domain_ops_automation_later_chosen="Selected"</formula>
    </cfRule>
  </conditionalFormatting>
  <conditionalFormatting sqref="L306 L309:L310 L313 L316:L319 J306 J308:J311 J313 J315:J319 L30 L56 L58:L59 L63 L65:L66 L68 L71 L77 L80:L85">
    <cfRule type="expression" dxfId="2099" priority="83">
      <formula>vcf_granular_option_chosen="Deploy a VCF Instance in an existing VCF Fleet"</formula>
    </cfRule>
  </conditionalFormatting>
  <conditionalFormatting sqref="L309:L311 L58:L59 L63 J308:J311 L313 L65:L68 L70:L72 L306 L56 J306 J313">
    <cfRule type="expression" dxfId="2098" priority="351">
      <formula>mgmt_domain_existing_vcf_operations_chosen="Selected"</formula>
    </cfRule>
  </conditionalFormatting>
  <conditionalFormatting sqref="L315:L319 L78:L85 J315:J319">
    <cfRule type="expression" dxfId="2097" priority="315">
      <formula>mgmt_domain_vcf_automation_later_chosen="Selected"</formula>
    </cfRule>
  </conditionalFormatting>
  <conditionalFormatting sqref="L316:L319">
    <cfRule type="expression" dxfId="2096" priority="298">
      <formula>mgmt_domain_existing_vcf_automation_result="Included"</formula>
    </cfRule>
  </conditionalFormatting>
  <conditionalFormatting sqref="L321">
    <cfRule type="expression" dxfId="2095" priority="249">
      <formula>mgmt_domain_vcf_installer_mode_result="Excluded"</formula>
    </cfRule>
  </conditionalFormatting>
  <conditionalFormatting sqref="M190">
    <cfRule type="expression" dxfId="2094" priority="6">
      <formula>M190="VDS LAG / LACP is not supported on this VDS with the chosen VDS profile"</formula>
    </cfRule>
  </conditionalFormatting>
  <conditionalFormatting sqref="M201">
    <cfRule type="expression" dxfId="2093" priority="5">
      <formula>M201="VDS LAG / LACP is not supported on this VDS with the chosen VDS profile"</formula>
    </cfRule>
    <cfRule type="expression" dxfId="2092" priority="2">
      <formula>M201="VDS LAG / LACP is not supported on this VDS with the chosen VDS profile and Primary VDS Lag configuration"</formula>
    </cfRule>
  </conditionalFormatting>
  <conditionalFormatting sqref="M349">
    <cfRule type="notContainsBlanks" dxfId="2091" priority="111">
      <formula>LEN(TRIM(M349))&gt;0</formula>
    </cfRule>
  </conditionalFormatting>
  <conditionalFormatting sqref="M349:M353">
    <cfRule type="expression" dxfId="2090" priority="94">
      <formula>mgmt_domain_result="Excluded"</formula>
    </cfRule>
    <cfRule type="containsBlanks" dxfId="2089" priority="96">
      <formula>LEN(TRIM(M349))=0</formula>
    </cfRule>
    <cfRule type="notContainsBlanks" dxfId="2088" priority="97">
      <formula>LEN(TRIM(M349))&gt;0</formula>
    </cfRule>
  </conditionalFormatting>
  <conditionalFormatting sqref="M350:M353">
    <cfRule type="expression" dxfId="2087" priority="95">
      <formula>OR((mgmt_domain_result="Excluded"),(mgmt_consolidated_result="Excluded"))</formula>
    </cfRule>
  </conditionalFormatting>
  <dataValidations count="23">
    <dataValidation type="list" allowBlank="1" showInputMessage="1" showErrorMessage="1" sqref="M349 K349" xr:uid="{734C88E8-D2CA-0B48-8A54-78457429B0F2}">
      <formula1>vsphere_8u1_evc_table</formula1>
    </dataValidation>
    <dataValidation type="list" allowBlank="1" showInputMessage="1" showErrorMessage="1" sqref="L30:L32 L111 L77 L17 L66 L119 L122 L49:L50 L40 L153 K13:L13 L71 K246:L246" xr:uid="{AF68374F-C6E0-4249-91F4-B8396AEC4F33}">
      <formula1>"Selected,Unselected"</formula1>
    </dataValidation>
    <dataValidation type="list" allowBlank="1" showInputMessage="1" showErrorMessage="1" sqref="L41" xr:uid="{44E0A351-1070-D24C-851E-ECAF8C26C773}">
      <formula1>"High Availability (Three-Node),Simple (Single-Node)"</formula1>
    </dataValidation>
    <dataValidation type="list" allowBlank="1" showInputMessage="1" showErrorMessage="1" sqref="L56" xr:uid="{44CE2A2A-A7E4-F548-A7CE-D6122B9B4D36}">
      <formula1>"Extra Small,Small,Medium,Large,Extra Large"</formula1>
    </dataValidation>
    <dataValidation type="list" allowBlank="1" showInputMessage="1" showErrorMessage="1" sqref="L9" xr:uid="{B62AACD4-B053-1B4B-9149-173F865E0012}">
      <formula1>"Online,Offline"</formula1>
    </dataValidation>
    <dataValidation type="list" allowBlank="1" showInputMessage="1" showErrorMessage="1" sqref="L91" xr:uid="{6DBA85C7-2733-2644-B3B8-8906F9C45B2C}">
      <formula1>"Tiny,Small,Medium,Large,XLarge"</formula1>
    </dataValidation>
    <dataValidation type="list" allowBlank="1" showInputMessage="1" showErrorMessage="1" sqref="L92" xr:uid="{EAF64F30-94DF-994D-BE30-47D2333F084B}">
      <formula1>"Default,Large,XLarge"</formula1>
    </dataValidation>
    <dataValidation type="list" allowBlank="1" showInputMessage="1" showErrorMessage="1" sqref="L116" xr:uid="{F8D5454F-B3C9-D448-9916-429B0E26396E}">
      <formula1>"vSAN-ESA,vSAN-OSA, VMFS on Fibre Channel (FC),NFSv3"</formula1>
    </dataValidation>
    <dataValidation type="list" allowBlank="1" showInputMessage="1" showErrorMessage="1" sqref="L85" xr:uid="{EEF586C7-A662-2448-BAAE-979BBE452809}">
      <formula1>"198.18.0.0/15,240.0.0.0/15,250.0.0.0/15"</formula1>
    </dataValidation>
    <dataValidation type="list" allowBlank="1" showInputMessage="1" showErrorMessage="1" sqref="L183" xr:uid="{9E7D022B-232D-9C43-A35C-0B93CF49A34B}">
      <formula1>IF(mgmt_domain_deployment_type_chosen="VMware Cloud Foundation",wld_cl01_vds_standard_preconfigured_profiles,vvf_mgmt_cl01_vds_standard_preconfigured_profiles)</formula1>
    </dataValidation>
    <dataValidation type="list" allowBlank="1" showInputMessage="1" showErrorMessage="1" sqref="L118" xr:uid="{F01FA7FB-F473-C74A-8E32-92B960C1FF61}">
      <formula1>"1,2"</formula1>
    </dataValidation>
    <dataValidation type="list" allowBlank="1" showInputMessage="1" showErrorMessage="1" sqref="L254" xr:uid="{73B7D652-569C-724D-8643-DAAD72788021}">
      <formula1>"DHCP,IP Pool"</formula1>
    </dataValidation>
    <dataValidation type="list" allowBlank="1" showInputMessage="1" showErrorMessage="1" sqref="L14" xr:uid="{D045F95D-B763-6B4C-BC16-61C32E0E91CC}">
      <formula1>"HTTP,HTTPS"</formula1>
    </dataValidation>
    <dataValidation type="list" allowBlank="1" showInputMessage="1" showErrorMessage="1" sqref="L222 L227 L232 L237 L242" xr:uid="{ECB2BA76-A1AF-7549-BE3B-D9AF5A0F9462}">
      <formula1>"Route based on IP hash,Route based on source MAC hash,Route based on the source of the port ID,Use explicit failover order,Route Based on Physical NIC Load"</formula1>
    </dataValidation>
    <dataValidation type="list" allowBlank="1" showInputMessage="1" showErrorMessage="1" sqref="L249:L250 L223:L224 L228:L229 L233:L234 L238:L239 L243:L244" xr:uid="{FA7409ED-5F61-584D-B67D-AFECE6C711E7}">
      <formula1>"Active,Standby,Unused"</formula1>
    </dataValidation>
    <dataValidation type="list" allowBlank="1" showInputMessage="1" showErrorMessage="1" sqref="L248" xr:uid="{8DBF9C77-00D5-2D4F-8B0E-D6109AAECA5E}">
      <formula1>"Route based on source MAC hash,Route based on the source of the port ID,Use explicit failover order"</formula1>
    </dataValidation>
    <dataValidation type="list" allowBlank="1" showInputMessage="1" showErrorMessage="1" sqref="L265" xr:uid="{CE34E3B0-C43E-504F-A5E1-B32029532AF3}">
      <formula1>"Deployed on one of the hosts in the management domain,Deployed outside management domain"</formula1>
    </dataValidation>
    <dataValidation type="list" allowBlank="1" showInputMessage="1" showErrorMessage="1" sqref="L247" xr:uid="{19825F38-EF3D-CE43-979A-B7C3B040FA1F}">
      <formula1>"Standard,Enhanced Datapath Standard,Enhanced Datapath Dedicated"</formula1>
    </dataValidation>
    <dataValidation type="list" allowBlank="1" showInputMessage="1" showErrorMessage="1" sqref="L190 L201 L211" xr:uid="{5A80132E-EF48-4A44-A1B7-4DF19B2E7913}">
      <formula1>"VDS Uplinks, VDS LAG"</formula1>
    </dataValidation>
    <dataValidation type="list" allowBlank="1" showInputMessage="1" showErrorMessage="1" sqref="L193 L204 L215" xr:uid="{43EC5384-31CB-7446-B239-FFD26D1D0D5D}">
      <formula1>lag_load_balancing</formula1>
    </dataValidation>
    <dataValidation type="list" allowBlank="1" showInputMessage="1" showErrorMessage="1" sqref="L194 L205 L216" xr:uid="{B4FD2D4F-AF3A-1C43-B208-723D08B76060}">
      <formula1>"Slow,Fast"</formula1>
    </dataValidation>
    <dataValidation type="list" allowBlank="1" showInputMessage="1" showErrorMessage="1" sqref="L192 L203 L214" xr:uid="{A66630F2-1A4D-2B48-81D5-9BFC0465B39B}">
      <formula1>"Active,Passive"</formula1>
    </dataValidation>
    <dataValidation type="list" allowBlank="1" showInputMessage="1" showErrorMessage="1" sqref="L103" xr:uid="{BF817B54-E717-A947-8C2D-57B6461DDA41}">
      <formula1>"Small,Medium,Large,XLarge"</formula1>
    </dataValidation>
  </dataValidations>
  <hyperlinks>
    <hyperlink ref="K10" r:id="rId1" xr:uid="{00000000-0004-0000-0300-000000000000}"/>
    <hyperlink ref="K19" r:id="rId2" xr:uid="{00000000-0004-0000-0300-000001000000}"/>
    <hyperlink ref="M25" location="'VCF &amp; VVF Planning'!J19" display="Values are set based on selections made in VCF VVF Planning Tab" xr:uid="{00000000-0004-0000-0300-000002000000}"/>
  </hyperlinks>
  <pageMargins left="0.7" right="0.7" top="0.75" bottom="0.75" header="0.3" footer="0.3"/>
  <pageSetup paperSize="9" orientation="portrait" horizontalDpi="0" verticalDpi="0"/>
  <ignoredErrors>
    <ignoredError sqref="L316:L319" unlockedFormula="1"/>
  </ignoredErrors>
  <drawing r:id="rId3"/>
  <extLst>
    <ext xmlns:x14="http://schemas.microsoft.com/office/spreadsheetml/2009/9/main" uri="{78C0D931-6437-407d-A8EE-F0AAD7539E65}">
      <x14:conditionalFormattings>
        <x14:conditionalFormatting xmlns:xm="http://schemas.microsoft.com/office/excel/2006/main">
          <x14:cfRule type="containsText" priority="371" operator="containsText" id="{8A70E33F-B8E1-464D-91D4-5C48A6AE1494}">
            <xm:f>NOT(ISERROR(SEARCH("Value Missing",J9)))</xm:f>
            <xm:f>"Value Missing"</xm:f>
            <x14:dxf>
              <font>
                <color rgb="FF0E223A"/>
              </font>
              <fill>
                <patternFill>
                  <bgColor rgb="FFFFBE29"/>
                </patternFill>
              </fill>
            </x14:dxf>
          </x14:cfRule>
          <xm:sqref>L9:L19 L116:L122 L56:L63 L65:L68 L70:L72 J306 L306 J308:J311 L308:L311 J313 L313 L37:L41 L47:L50 L30:L32 L77:L85 L103 L105:L111 J325:J328 L325:L328 L90:L98 J315:J319 L315:L319 L321:L323 L212 L24:L25 L166:L169 L200:L208 L127:L143 L226:L229 L217:L219 L246:L250 L252 L265:L269 L43:L45 J321:J323 L237:L239 L148:L151 L153:L157 L159:L162 L183 L195:L197 L221:L224 L232:L234 L242:L244 J330:J345 L330:L345</xm:sqref>
        </x14:conditionalFormatting>
        <x14:conditionalFormatting xmlns:xm="http://schemas.microsoft.com/office/excel/2006/main">
          <x14:cfRule type="containsText" priority="88" stopIfTrue="1" operator="containsText" id="{F4403742-9E03-7E4C-A9A4-9C70CC9738C9}">
            <xm:f>NOT(ISERROR(SEARCH("Value Missing",L173)))</xm:f>
            <xm:f>"Value Missing"</xm:f>
            <x14:dxf>
              <font>
                <color rgb="FF0E223A"/>
              </font>
              <fill>
                <patternFill>
                  <bgColor rgb="FFFFBE29"/>
                </patternFill>
              </fill>
            </x14:dxf>
          </x14:cfRule>
          <xm:sqref>L173:L176</xm:sqref>
        </x14:conditionalFormatting>
        <x14:conditionalFormatting xmlns:xm="http://schemas.microsoft.com/office/excel/2006/main">
          <x14:cfRule type="containsText" priority="61" operator="containsText" id="{8CD701A8-3478-8646-817F-E7C59D3F3B1D}">
            <xm:f>NOT(ISERROR(SEARCH("Value Missing",L274)))</xm:f>
            <xm:f>"Value Missing"</xm:f>
            <x14:dxf>
              <fill>
                <patternFill>
                  <bgColor rgb="FFFFBE29"/>
                </patternFill>
              </fill>
            </x14:dxf>
          </x14:cfRule>
          <xm:sqref>L274:L277 L282 L284:L289 L291:L296 L298:L303</xm:sqref>
        </x14:conditionalFormatting>
        <x14:conditionalFormatting xmlns:xm="http://schemas.microsoft.com/office/excel/2006/main">
          <x14:cfRule type="containsText" priority="46" operator="containsText" id="{74FCFFD3-109A-1948-8078-78E22CF647CE}">
            <xm:f>NOT(ISERROR(SEARCH("Value Missing",L279)))</xm:f>
            <xm:f>"Value Missing"</xm:f>
            <x14:dxf>
              <font>
                <color theme="1"/>
              </font>
              <fill>
                <patternFill>
                  <bgColor rgb="FFFFBE29"/>
                </patternFill>
              </fill>
            </x14:dxf>
          </x14:cfRule>
          <xm:sqref>L279</xm:sqref>
        </x14:conditionalFormatting>
        <x14:conditionalFormatting xmlns:xm="http://schemas.microsoft.com/office/excel/2006/main">
          <x14:cfRule type="containsText" priority="37" operator="containsText" id="{5F6B1D0A-99AC-2641-B0E9-D9EB6CE12A9A}">
            <xm:f>NOT(ISERROR(SEARCH("Value Missing",L280)))</xm:f>
            <xm:f>"Value Missing"</xm:f>
            <x14:dxf>
              <font>
                <color theme="1"/>
              </font>
              <fill>
                <patternFill>
                  <bgColor rgb="FFFFBE29"/>
                </patternFill>
              </fill>
            </x14:dxf>
          </x14:cfRule>
          <xm:sqref>L280</xm:sqref>
        </x14:conditionalFormatting>
        <x14:conditionalFormatting xmlns:xm="http://schemas.microsoft.com/office/excel/2006/main">
          <x14:cfRule type="containsText" priority="42" operator="containsText" id="{68016532-1A9A-964F-8599-78F2D189EDF4}">
            <xm:f>NOT(ISERROR(SEARCH("Value Missing",L281)))</xm:f>
            <xm:f>"Value Missing"</xm:f>
            <x14:dxf>
              <font>
                <color theme="1"/>
              </font>
              <fill>
                <patternFill>
                  <bgColor rgb="FFFFBE29"/>
                </patternFill>
              </fill>
            </x14:dxf>
          </x14:cfRule>
          <xm:sqref>L281:L282</xm:sqref>
        </x14:conditionalFormatting>
        <x14:conditionalFormatting xmlns:xm="http://schemas.microsoft.com/office/excel/2006/main">
          <x14:cfRule type="containsText" priority="53" stopIfTrue="1" operator="containsText" id="{9E10FC66-F798-1E4E-A70B-813FE9B39BA2}">
            <xm:f>NOT(ISERROR(SEARCH("Value Missing",L290)))</xm:f>
            <xm:f>"Value Missing"</xm:f>
            <x14:dxf>
              <font>
                <color rgb="FF0E223A"/>
              </font>
              <fill>
                <patternFill>
                  <bgColor rgb="FFFFBE29"/>
                </patternFill>
              </fill>
            </x14:dxf>
          </x14:cfRule>
          <xm:sqref>L290</xm:sqref>
        </x14:conditionalFormatting>
        <x14:conditionalFormatting xmlns:xm="http://schemas.microsoft.com/office/excel/2006/main">
          <x14:cfRule type="containsText" priority="57" stopIfTrue="1" operator="containsText" id="{558487B0-6B55-AB4B-A2CE-4F60D95E498D}">
            <xm:f>NOT(ISERROR(SEARCH("Value Missing",L297)))</xm:f>
            <xm:f>"Value Missing"</xm:f>
            <x14:dxf>
              <font>
                <color rgb="FF0E223A"/>
              </font>
              <fill>
                <patternFill>
                  <bgColor rgb="FFFFBE29"/>
                </patternFill>
              </fill>
            </x14:dxf>
          </x14:cfRule>
          <xm:sqref>L297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A98BA-7619-3446-8A72-6F3EE625E4A1}">
  <sheetPr codeName="Sheet6">
    <tabColor theme="9" tint="0.39997558519241921"/>
  </sheetPr>
  <dimension ref="A1:G575"/>
  <sheetViews>
    <sheetView showGridLines="0" workbookViewId="0">
      <pane ySplit="8" topLeftCell="A31" activePane="bottomLeft" state="frozen"/>
      <selection pane="bottomLeft"/>
    </sheetView>
  </sheetViews>
  <sheetFormatPr defaultColWidth="10.85546875" defaultRowHeight="15" x14ac:dyDescent="0.35"/>
  <cols>
    <col min="1" max="1" width="2.85546875" style="8" customWidth="1"/>
    <col min="2" max="2" width="75.85546875" style="8" customWidth="1"/>
    <col min="3" max="4" width="75.85546875" style="2" customWidth="1"/>
    <col min="5" max="5" width="125.85546875" style="8" customWidth="1"/>
    <col min="6" max="7" width="12.140625" style="8" bestFit="1" customWidth="1"/>
    <col min="8" max="8" width="10.85546875" style="8" customWidth="1"/>
    <col min="9" max="10" width="12.140625" style="8" customWidth="1"/>
    <col min="11" max="11" width="43" style="8" bestFit="1" customWidth="1"/>
    <col min="12" max="12" width="12.85546875" style="8" bestFit="1" customWidth="1"/>
    <col min="13" max="20" width="10.85546875" style="8" customWidth="1"/>
    <col min="21" max="16384" width="10.85546875" style="8"/>
  </cols>
  <sheetData>
    <row r="1" spans="1:5" x14ac:dyDescent="0.35">
      <c r="A1" s="118"/>
    </row>
    <row r="2" spans="1:5" ht="54" customHeight="1" x14ac:dyDescent="0.35">
      <c r="A2" s="121"/>
      <c r="B2" s="525" t="s">
        <v>0</v>
      </c>
      <c r="C2" s="525"/>
      <c r="D2" s="525"/>
      <c r="E2" s="525"/>
    </row>
    <row r="3" spans="1:5" s="19" customFormat="1" ht="20.05" customHeight="1" x14ac:dyDescent="0.35">
      <c r="A3" s="42"/>
      <c r="B3" s="526" t="s">
        <v>1</v>
      </c>
      <c r="C3" s="526"/>
      <c r="D3" s="526"/>
      <c r="E3" s="526"/>
    </row>
    <row r="5" spans="1:5" ht="20.05" customHeight="1" x14ac:dyDescent="0.35">
      <c r="B5" s="122" t="s">
        <v>2</v>
      </c>
      <c r="C5" s="122" t="s">
        <v>3</v>
      </c>
      <c r="D5" s="122" t="s">
        <v>4</v>
      </c>
      <c r="E5" s="122" t="s">
        <v>5</v>
      </c>
    </row>
    <row r="6" spans="1:5" s="19" customFormat="1" ht="10" customHeight="1" x14ac:dyDescent="0.35">
      <c r="B6" s="123"/>
      <c r="C6" s="123"/>
      <c r="D6" s="123"/>
      <c r="E6" s="124"/>
    </row>
    <row r="7" spans="1:5" ht="20.05" customHeight="1" x14ac:dyDescent="0.35">
      <c r="B7" s="122" t="s">
        <v>6</v>
      </c>
      <c r="C7" s="122" t="s">
        <v>7</v>
      </c>
      <c r="D7" s="122"/>
      <c r="E7" s="122"/>
    </row>
    <row r="10" spans="1:5" ht="34" customHeight="1" x14ac:dyDescent="0.35">
      <c r="B10" s="340" t="s">
        <v>8</v>
      </c>
      <c r="C10" s="341"/>
      <c r="D10" s="341"/>
      <c r="E10" s="342"/>
    </row>
    <row r="11" spans="1:5" ht="20.05" customHeight="1" x14ac:dyDescent="0.35">
      <c r="B11" s="346" t="s">
        <v>9</v>
      </c>
      <c r="C11" s="346" t="s">
        <v>10</v>
      </c>
      <c r="D11" s="346" t="s">
        <v>11</v>
      </c>
      <c r="E11" s="346" t="s">
        <v>12</v>
      </c>
    </row>
    <row r="12" spans="1:5" ht="20.05" customHeight="1" x14ac:dyDescent="0.35">
      <c r="B12" s="355" t="s">
        <v>13</v>
      </c>
      <c r="C12" s="362" t="s">
        <v>3</v>
      </c>
      <c r="D12" s="112" t="str">
        <f>IF(mgmt_domain_deployment_type_chosen="VMware vSphere Foundation","Excluded",IF(mgmt_signed_certs_chosen="Exclude","Excluded","Included"))</f>
        <v>Excluded</v>
      </c>
      <c r="E12" s="112" t="str">
        <f>IF(mgmt_domain_deployment_type_chosen="VMware vSphere Foundation","Cannot be performed on a VMware vSphere Foundation deployment",
IF(vcf_granular_option_chosen="Create Cluster","Deploy a new VCF fleet or Deploy a VCF Instance in an existing VCF fleet not selected on VCF &amp; VVF Planning Tab",
IF(vcf_granular_option_chosen="None Chosen","No Deployment Type Chosen",
IF(mgmt_signed_certs_chosen="Exclude","Cause: Not Selected. Signed certificates will not be deployed",
IF(mgmt_signed_certs_chosen="Microsoft CA","Microsoft CA based signed certificates will be deployed","OpenSSL CA based signed certificates will be deployed")))))</f>
        <v>Cause: Not Selected. Signed certificates will not be deployed</v>
      </c>
    </row>
    <row r="13" spans="1:5" ht="20.05" customHeight="1" x14ac:dyDescent="0.35">
      <c r="B13" s="355" t="s">
        <v>13</v>
      </c>
      <c r="C13" s="362" t="s">
        <v>14</v>
      </c>
      <c r="D13" s="112" t="str">
        <f>IF(mgmt_domain_deployment_type_chosen="VMware vSphere Foundation","Excluded",IF(mgmt_vns_chosen="Exclude","Excluded","Included"))</f>
        <v>Excluded</v>
      </c>
      <c r="E13" s="112" t="str">
        <f>IF(mgmt_domain_deployment_type_chosen="VMware vSphere Foundation","Cannot be performed on a VMware vSphere Foundation deployment",IF(mgmt_vns_chosen="Exclude","Cause: Not Selected. NSX Routing for Management Domain will not be deployed",
IF(mgmt_vns_chosen="Distributed Connectivity","Suitable for environments where you need a streamlined network configuration with limited NSX networking services.","NSX Edge cluster will be created. EBGP will be used. Suitable for environments where you need the full-scale of the NSX services")))</f>
        <v>Cause: Not Selected. NSX Routing for Management Domain will not be deployed</v>
      </c>
    </row>
    <row r="14" spans="1:5" ht="20.05" customHeight="1" x14ac:dyDescent="0.35">
      <c r="B14" s="125" t="s">
        <v>13</v>
      </c>
      <c r="C14" s="362" t="s">
        <v>5</v>
      </c>
      <c r="D14" s="112" t="str">
        <f>IF(AND(vcf_granular_option_chosen&lt;&gt;"Deploy a new VCF fleet",vcf_granular_option_chosen&lt;&gt;"Deploy a VCF Instance in an existing VCF fleet",vcf_granular_option_chosen&lt;&gt;"Create Cluster"),"Excluded",IF(mgmt_avi_loadbalancer_chosen="Exclude","Excluded","Included"))</f>
        <v>Excluded</v>
      </c>
      <c r="E14" s="112" t="str">
        <f>IF(vcf_granular_option_chosen="None Chosen","No Deployment Type Chosen",IF(mgmt_domain_deployment_type_chosen="VMware vSphere Foundation","Cannot be performed on a VMware vSphere Foundation deployment",
IF(mgmt_avi_loadbalancer_chosen="Exclude","Cause: Not Selected. AVI Loadbalancer will not be configured","AVI Loadbalancer will be configured")))</f>
        <v>Cause: Not Selected. AVI Loadbalancer will not be configured</v>
      </c>
    </row>
    <row r="15" spans="1:5" ht="20.05" customHeight="1" x14ac:dyDescent="0.35">
      <c r="B15" s="355" t="s">
        <v>13</v>
      </c>
      <c r="C15" s="362" t="s">
        <v>6</v>
      </c>
      <c r="D15" s="112" t="str">
        <f>IF(AND(vcf_granular_option_chosen&lt;&gt;"Deploy a new VCF fleet",vcf_granular_option_chosen&lt;&gt;"Deploy a VCF Instance in an existing VCF fleet",vcf_granular_option_chosen&lt;&gt;"Create Cluster"),"Excluded",
IF(mgmt_stretched_cluster_chosen="Exclude","Excluded",
IF(AND(mgmt_stretched_cluster_chosen="Include",AND(mgmt_principal_storage_chosen&lt;&gt;"vSAN-ESA",mgmt_principal_storage_chosen&lt;&gt;"vSAN-OSA")),"Excluded","Included")))</f>
        <v>Excluded</v>
      </c>
      <c r="E15" s="112" t="str">
        <f>IF(vcf_granular_option_chosen="None Chosen","No Deployment Type Chosen",
IF(mgmt_domain_deployment_type_chosen="VMware vSphere Foundation","Cannot be performed on a VMware vSphere Foundation deployment",
IF(vcf_version_chosen="No Version Selected","Cause: VCF Deployment version is not Selected",
IF(mgmt_stretched_cluster_chosen="Exclude","Cause: Not Selected. Stretched Cluster will not be deployed",
IF(AND(mgmt_stretched_cluster_chosen="Include",AND(mgmt_principal_storage_chosen&lt;&gt;"vSAN-ESA",mgmt_principal_storage_chosen&lt;&gt;"vSAN-OSA")),"Cause: Stretched Cluster is only supported with vSAN as Principal Storage",
IF(mgmt_vns_chosen="VLAN-Backed","Note: VLAN-backed segments require L2 stretched VM Networks. Consider Overlay-backed instead.","Stretched Cluster will be deployed"))))))</f>
        <v>Cause: Not Selected. Stretched Cluster will not be deployed</v>
      </c>
    </row>
    <row r="16" spans="1:5" ht="20.05" customHeight="1" x14ac:dyDescent="0.35">
      <c r="B16" s="355" t="s">
        <v>13</v>
      </c>
      <c r="C16" s="362" t="s">
        <v>7</v>
      </c>
      <c r="D16" s="112" t="str">
        <f>IF(AND(vcf_granular_option_chosen&lt;&gt;"Deploy a new VCF fleet",vcf_granular_option_chosen&lt;&gt;"Deploy a VCF Instance in an existing VCF fleet",vcf_granular_option_chosen&lt;&gt;"Create Cluster",vcf_granular_option_chosen&lt;&gt;"One or More VVDs"),"Excluded",IF(mgmt_nsxt_federation_chosen="Exclude","Excluded",IF(mgmt_vns_chosen="Centralized Connectivity","Included","Excluded")))</f>
        <v>Excluded</v>
      </c>
      <c r="E16" s="112" t="str">
        <f>IF(vcf_granular_option_chosen="None Chosen","No Deployment Type Chosen",
IF(mgmt_domain_deployment_type_chosen="VMware vSphere Foundation","Cannot be performed on a VMware vSphere Foundation deployment",IF(mgmt_nsxt_federation_chosen="Exclude","Cause: Not Selected. NSX Federation for Management Domain will not be deployed",
IF(AND((mgmt_nsxt_federation_chosen="Active Global Manager"),(mgmt_nsxt_federation_result="Included")),"NSX Federation for Management Domain will be deployed with Active Global Manager",
IF(AND((mgmt_nsxt_federation_chosen="Standby Global Manager"),(mgmt_nsxt_federation_result="Included")),"NSX Federation for Management Domain will be deployed with Standby Global Manager",
IF(AND((mgmt_nsxt_federation_chosen="Connect Instance"),(mgmt_nsxt_federation_result="Included")),"Management Domain will be connected to an existing Global Manager","Cause: NSX Centralized Connectivity for Management Domain Required"))))))</f>
        <v>Cause: Not Selected. NSX Federation for Management Domain will not be deployed</v>
      </c>
    </row>
    <row r="17" spans="2:5" ht="16" customHeight="1" x14ac:dyDescent="0.35"/>
    <row r="18" spans="2:5" ht="34" customHeight="1" x14ac:dyDescent="0.35">
      <c r="B18" s="529" t="s">
        <v>15</v>
      </c>
      <c r="C18" s="530"/>
      <c r="D18" s="530"/>
      <c r="E18" s="531"/>
    </row>
    <row r="19" spans="2:5" ht="20.05" customHeight="1" x14ac:dyDescent="0.35">
      <c r="B19" s="518" t="s">
        <v>16</v>
      </c>
      <c r="C19" s="519"/>
      <c r="D19" s="519"/>
      <c r="E19" s="520"/>
    </row>
    <row r="20" spans="2:5" ht="20.05" customHeight="1" x14ac:dyDescent="0.35">
      <c r="B20" s="43" t="s">
        <v>17</v>
      </c>
      <c r="C20" s="346" t="s">
        <v>18</v>
      </c>
      <c r="D20" s="346" t="s">
        <v>19</v>
      </c>
      <c r="E20" s="346" t="s">
        <v>20</v>
      </c>
    </row>
    <row r="21" spans="2:5" ht="20.05" customHeight="1" x14ac:dyDescent="0.35">
      <c r="B21" s="4" t="s">
        <v>21</v>
      </c>
      <c r="C21" s="80" t="s">
        <v>22</v>
      </c>
      <c r="D21" s="347"/>
      <c r="E21" s="4" t="s">
        <v>23</v>
      </c>
    </row>
    <row r="22" spans="2:5" ht="20.05" customHeight="1" x14ac:dyDescent="0.35">
      <c r="B22" s="4" t="s">
        <v>24</v>
      </c>
      <c r="C22" s="362">
        <v>22</v>
      </c>
      <c r="D22" s="347"/>
      <c r="E22" s="4"/>
    </row>
    <row r="23" spans="2:5" ht="20.05" customHeight="1" x14ac:dyDescent="0.35">
      <c r="B23" s="4" t="s">
        <v>25</v>
      </c>
      <c r="C23" s="362" t="s">
        <v>26</v>
      </c>
      <c r="D23" s="347"/>
      <c r="E23" s="4"/>
    </row>
    <row r="24" spans="2:5" ht="20.05" customHeight="1" x14ac:dyDescent="0.35">
      <c r="B24" s="4" t="s">
        <v>27</v>
      </c>
      <c r="C24" s="362" t="s">
        <v>28</v>
      </c>
      <c r="D24" s="347"/>
      <c r="E24" s="4"/>
    </row>
    <row r="25" spans="2:5" ht="20.05" customHeight="1" x14ac:dyDescent="0.35">
      <c r="B25" s="4" t="s">
        <v>29</v>
      </c>
      <c r="C25" s="362" t="s">
        <v>30</v>
      </c>
      <c r="D25" s="347"/>
      <c r="E25" s="4"/>
    </row>
    <row r="26" spans="2:5" ht="20.05" customHeight="1" x14ac:dyDescent="0.35">
      <c r="B26" s="4" t="s">
        <v>31</v>
      </c>
      <c r="C26" s="362" t="s">
        <v>32</v>
      </c>
      <c r="D26" s="347"/>
      <c r="E26" s="4"/>
    </row>
    <row r="27" spans="2:5" ht="20.05" customHeight="1" x14ac:dyDescent="0.35">
      <c r="B27" s="4" t="s">
        <v>33</v>
      </c>
      <c r="C27" s="362" t="s">
        <v>34</v>
      </c>
      <c r="D27" s="347"/>
      <c r="E27" s="4"/>
    </row>
    <row r="28" spans="2:5" ht="20.05" customHeight="1" x14ac:dyDescent="0.35">
      <c r="B28" s="4" t="s">
        <v>35</v>
      </c>
      <c r="C28" s="362" t="s">
        <v>30</v>
      </c>
      <c r="D28" s="347"/>
      <c r="E28" s="4" t="s">
        <v>36</v>
      </c>
    </row>
    <row r="29" spans="2:5" ht="16" customHeight="1" x14ac:dyDescent="0.35"/>
    <row r="30" spans="2:5" ht="34" customHeight="1" x14ac:dyDescent="0.35">
      <c r="B30" s="527" t="s">
        <v>3</v>
      </c>
      <c r="C30" s="528"/>
      <c r="D30" s="528"/>
      <c r="E30" s="528"/>
    </row>
    <row r="31" spans="2:5" ht="20.05" customHeight="1" x14ac:dyDescent="0.35">
      <c r="B31" s="462" t="s">
        <v>37</v>
      </c>
      <c r="C31" s="463"/>
      <c r="D31" s="463"/>
      <c r="E31" s="464"/>
    </row>
    <row r="32" spans="2:5" ht="20.05" customHeight="1" x14ac:dyDescent="0.35">
      <c r="B32" s="43" t="s">
        <v>17</v>
      </c>
      <c r="C32" s="346" t="s">
        <v>18</v>
      </c>
      <c r="D32" s="346" t="s">
        <v>19</v>
      </c>
      <c r="E32" s="346" t="s">
        <v>20</v>
      </c>
    </row>
    <row r="33" spans="2:5" ht="20.05" customHeight="1" x14ac:dyDescent="0.35">
      <c r="B33" s="4" t="s">
        <v>38</v>
      </c>
      <c r="C33" s="80" t="s">
        <v>39</v>
      </c>
      <c r="D33" s="347"/>
      <c r="E33" s="337" t="str">
        <f>IF(mgmt_signed_certs_result="Excluded","Inputs are masked out and only required if Apply Signed Certifcates is chosen from the Post-Deployment Option","")</f>
        <v>Inputs are masked out and only required if Apply Signed Certifcates is chosen from the Post-Deployment Option</v>
      </c>
    </row>
    <row r="34" spans="2:5" ht="20.05" customHeight="1" x14ac:dyDescent="0.35">
      <c r="B34" s="4" t="s">
        <v>40</v>
      </c>
      <c r="C34" s="362" t="s">
        <v>41</v>
      </c>
      <c r="D34" s="347"/>
      <c r="E34" s="4"/>
    </row>
    <row r="35" spans="2:5" ht="20.05" customHeight="1" x14ac:dyDescent="0.35">
      <c r="B35" s="4" t="s">
        <v>29</v>
      </c>
      <c r="C35" s="78" t="s">
        <v>30</v>
      </c>
      <c r="D35" s="347"/>
      <c r="E35" s="4"/>
    </row>
    <row r="36" spans="2:5" ht="20.05" customHeight="1" x14ac:dyDescent="0.35">
      <c r="B36" s="462" t="s">
        <v>42</v>
      </c>
      <c r="C36" s="463"/>
      <c r="D36" s="463"/>
      <c r="E36" s="464"/>
    </row>
    <row r="37" spans="2:5" ht="20.05" customHeight="1" x14ac:dyDescent="0.35">
      <c r="B37" s="4" t="s">
        <v>38</v>
      </c>
      <c r="C37" s="362" t="str">
        <f>sample_certificate_authority_fqdn</f>
        <v>rpl-ad01.rainpole.io</v>
      </c>
      <c r="D37" s="343" t="str">
        <f>certificate_authority_fqdn</f>
        <v>Value Missing</v>
      </c>
      <c r="E37" s="337" t="str">
        <f>IF(mgmt_signed_certs_result="Excluded","Inputs are masked out and only required if Apply Signed Certifcates is chosen from the Post-Deployment Option","")</f>
        <v>Inputs are masked out and only required if Apply Signed Certifcates is chosen from the Post-Deployment Option</v>
      </c>
    </row>
    <row r="38" spans="2:5" ht="20.05" customHeight="1" x14ac:dyDescent="0.35">
      <c r="B38" s="4" t="s">
        <v>40</v>
      </c>
      <c r="C38" s="362" t="str">
        <f>sample_ca_administrator_username</f>
        <v>Administrator</v>
      </c>
      <c r="D38" s="343" t="str">
        <f>ca_administrator_username</f>
        <v>Value Missing</v>
      </c>
      <c r="E38" s="4"/>
    </row>
    <row r="39" spans="2:5" ht="20.05" customHeight="1" x14ac:dyDescent="0.35">
      <c r="B39" s="4" t="s">
        <v>29</v>
      </c>
      <c r="C39" s="362" t="str">
        <f>sample_ca_administrator_password</f>
        <v>VMw@re1!</v>
      </c>
      <c r="D39" s="343" t="str">
        <f>ca_administrator_password</f>
        <v>Value Missing</v>
      </c>
      <c r="E39" s="4"/>
    </row>
    <row r="40" spans="2:5" ht="20.05" customHeight="1" x14ac:dyDescent="0.35">
      <c r="B40" s="4" t="s">
        <v>43</v>
      </c>
      <c r="C40" s="362" t="str">
        <f>sample_certificate_authority_fqdn</f>
        <v>rpl-ad01.rainpole.io</v>
      </c>
      <c r="D40" s="343" t="str">
        <f>certificate_authority_fqdn</f>
        <v>Value Missing</v>
      </c>
      <c r="E40" s="4"/>
    </row>
    <row r="41" spans="2:5" ht="20.05" customHeight="1" x14ac:dyDescent="0.35">
      <c r="B41" s="462" t="s">
        <v>44</v>
      </c>
      <c r="C41" s="463"/>
      <c r="D41" s="463"/>
      <c r="E41" s="464"/>
    </row>
    <row r="42" spans="2:5" ht="20.05" customHeight="1" x14ac:dyDescent="0.35">
      <c r="B42" s="4" t="s">
        <v>45</v>
      </c>
      <c r="C42" s="362" t="str">
        <f>CONCATENATE("https://",sample_certificate_authority_fqdn)</f>
        <v>https://rpl-ad01.rainpole.io</v>
      </c>
      <c r="D42" s="343" t="str">
        <f>certificate_authority_fqdn</f>
        <v>Value Missing</v>
      </c>
      <c r="E42" s="337" t="str">
        <f>IF(mgmt_signed_certs_result="Excluded","Inputs are masked out and only required if Apply Signed Certifcates is chosen from the Post-Deployment Option","")</f>
        <v>Inputs are masked out and only required if Apply Signed Certifcates is chosen from the Post-Deployment Option</v>
      </c>
    </row>
    <row r="43" spans="2:5" ht="20.05" customHeight="1" x14ac:dyDescent="0.35">
      <c r="B43" s="4" t="s">
        <v>46</v>
      </c>
      <c r="C43" s="362" t="str">
        <f>sample_ca_administrator_username</f>
        <v>Administrator</v>
      </c>
      <c r="D43" s="343" t="str">
        <f>ca_administrator_username</f>
        <v>Value Missing</v>
      </c>
      <c r="E43" s="4"/>
    </row>
    <row r="44" spans="2:5" ht="20.05" customHeight="1" x14ac:dyDescent="0.35">
      <c r="B44" s="4" t="s">
        <v>29</v>
      </c>
      <c r="C44" s="362" t="str">
        <f>sample_ca_administrator_password</f>
        <v>VMw@re1!</v>
      </c>
      <c r="D44" s="343" t="str">
        <f>ca_administrator_password</f>
        <v>Value Missing</v>
      </c>
      <c r="E44" s="4"/>
    </row>
    <row r="45" spans="2:5" ht="20.05" customHeight="1" x14ac:dyDescent="0.35">
      <c r="B45" s="4" t="s">
        <v>47</v>
      </c>
      <c r="C45" s="85" t="s">
        <v>48</v>
      </c>
      <c r="D45" s="347"/>
      <c r="E45" s="4"/>
    </row>
    <row r="46" spans="2:5" ht="20.05" customHeight="1" x14ac:dyDescent="0.35">
      <c r="B46" s="462" t="s">
        <v>49</v>
      </c>
      <c r="C46" s="463"/>
      <c r="D46" s="463"/>
      <c r="E46" s="464"/>
    </row>
    <row r="47" spans="2:5" ht="20.05" customHeight="1" x14ac:dyDescent="0.35">
      <c r="B47" s="4" t="s">
        <v>38</v>
      </c>
      <c r="C47" s="362" t="str">
        <f>sample_certificate_authority_fqdn</f>
        <v>rpl-ad01.rainpole.io</v>
      </c>
      <c r="D47" s="343" t="str">
        <f>certificate_authority_fqdn</f>
        <v>Value Missing</v>
      </c>
      <c r="E47" s="337" t="str">
        <f>IF(mgmt_signed_certs_result="Excluded","Inputs are masked out and only required if Apply Signed Certifcates is chosen from the Post-Deployment Option","")</f>
        <v>Inputs are masked out and only required if Apply Signed Certifcates is chosen from the Post-Deployment Option</v>
      </c>
    </row>
    <row r="48" spans="2:5" ht="20.05" customHeight="1" x14ac:dyDescent="0.35">
      <c r="B48" s="4" t="s">
        <v>40</v>
      </c>
      <c r="C48" s="362" t="str">
        <f>sample_ca_administrator_username</f>
        <v>Administrator</v>
      </c>
      <c r="D48" s="343" t="str">
        <f>ca_administrator_username</f>
        <v>Value Missing</v>
      </c>
      <c r="E48" s="4"/>
    </row>
    <row r="49" spans="2:5" ht="20.05" customHeight="1" x14ac:dyDescent="0.35">
      <c r="B49" s="4" t="s">
        <v>29</v>
      </c>
      <c r="C49" s="362" t="str">
        <f>sample_ca_administrator_password</f>
        <v>VMw@re1!</v>
      </c>
      <c r="D49" s="343" t="str">
        <f>ca_administrator_password</f>
        <v>Value Missing</v>
      </c>
      <c r="E49" s="4"/>
    </row>
    <row r="50" spans="2:5" ht="20.05" customHeight="1" x14ac:dyDescent="0.35">
      <c r="B50" s="4" t="s">
        <v>50</v>
      </c>
      <c r="C50" s="362" t="s">
        <v>51</v>
      </c>
      <c r="D50" s="347"/>
      <c r="E50" s="4"/>
    </row>
    <row r="51" spans="2:5" ht="20.05" customHeight="1" x14ac:dyDescent="0.35">
      <c r="B51" s="462" t="s">
        <v>52</v>
      </c>
      <c r="C51" s="463"/>
      <c r="D51" s="463"/>
      <c r="E51" s="464"/>
    </row>
    <row r="52" spans="2:5" ht="20.05" customHeight="1" x14ac:dyDescent="0.35">
      <c r="B52" s="4" t="s">
        <v>53</v>
      </c>
      <c r="C52" s="362" t="s">
        <v>54</v>
      </c>
      <c r="D52" s="337" t="s">
        <v>54</v>
      </c>
      <c r="E52" s="337" t="str">
        <f>IF(mgmt_signed_certs_result="Excluded","Inputs are masked out and only required if Apply Signed Certifcates is chosen from the Post-Deployment Option","")</f>
        <v>Inputs are masked out and only required if Apply Signed Certifcates is chosen from the Post-Deployment Option</v>
      </c>
    </row>
    <row r="53" spans="2:5" ht="20.05" customHeight="1" x14ac:dyDescent="0.35">
      <c r="B53" s="4" t="s">
        <v>45</v>
      </c>
      <c r="C53" s="362" t="str">
        <f>CONCATENATE("https://",certificate_authority_fqdn,"/certsrv")</f>
        <v>https://Value Missing/certsrv</v>
      </c>
      <c r="D53" s="337" t="str">
        <f>CONCATENATE("https://",certificate_authority_fqdn,"/certsrv")</f>
        <v>https://Value Missing/certsrv</v>
      </c>
      <c r="E53" s="4"/>
    </row>
    <row r="54" spans="2:5" ht="20.05" customHeight="1" x14ac:dyDescent="0.35">
      <c r="B54" s="4" t="s">
        <v>27</v>
      </c>
      <c r="C54" s="362" t="str">
        <f>sample_svc_vcf_ca_vcf_user</f>
        <v>svc-vcf-ca</v>
      </c>
      <c r="D54" s="337" t="str">
        <f>user_svc_vcf_ca_vcf</f>
        <v>Value Missing</v>
      </c>
      <c r="E54" s="4"/>
    </row>
    <row r="55" spans="2:5" ht="20.05" customHeight="1" x14ac:dyDescent="0.35">
      <c r="B55" s="4" t="s">
        <v>29</v>
      </c>
      <c r="C55" s="362" t="s">
        <v>30</v>
      </c>
      <c r="D55" s="347"/>
      <c r="E55" s="4"/>
    </row>
    <row r="56" spans="2:5" ht="20.05" customHeight="1" x14ac:dyDescent="0.35">
      <c r="B56" s="4" t="s">
        <v>47</v>
      </c>
      <c r="C56" s="362" t="str">
        <f>sample_ca_template_name</f>
        <v>VMware</v>
      </c>
      <c r="D56" s="343" t="str">
        <f>ca_template_name</f>
        <v>Value Missing</v>
      </c>
      <c r="E56" s="4"/>
    </row>
    <row r="57" spans="2:5" ht="20.05" customHeight="1" x14ac:dyDescent="0.35">
      <c r="B57" s="535" t="s">
        <v>55</v>
      </c>
      <c r="C57" s="536"/>
      <c r="D57" s="536"/>
      <c r="E57" s="537"/>
    </row>
    <row r="58" spans="2:5" ht="20.05" customHeight="1" x14ac:dyDescent="0.35">
      <c r="B58" s="4" t="s">
        <v>56</v>
      </c>
      <c r="C58" s="85" t="s">
        <v>57</v>
      </c>
      <c r="D58" s="347"/>
      <c r="E58" s="337" t="str">
        <f>IF(mgmt_signed_certs_result="Excluded","Inputs are masked out and only required if Apply Signed Certifcates is chosen from the Post-Deployment Option","")</f>
        <v>Inputs are masked out and only required if Apply Signed Certifcates is chosen from the Post-Deployment Option</v>
      </c>
    </row>
    <row r="59" spans="2:5" ht="20.05" customHeight="1" x14ac:dyDescent="0.35">
      <c r="B59" s="4" t="s">
        <v>58</v>
      </c>
      <c r="C59" s="85" t="s">
        <v>59</v>
      </c>
      <c r="D59" s="347"/>
      <c r="E59" s="4"/>
    </row>
    <row r="60" spans="2:5" ht="20.05" customHeight="1" x14ac:dyDescent="0.35">
      <c r="B60" s="4" t="s">
        <v>60</v>
      </c>
      <c r="C60" s="85" t="s">
        <v>61</v>
      </c>
      <c r="D60" s="347"/>
      <c r="E60" s="4"/>
    </row>
    <row r="61" spans="2:5" ht="20.05" customHeight="1" x14ac:dyDescent="0.35">
      <c r="B61" s="4" t="s">
        <v>62</v>
      </c>
      <c r="C61" s="85" t="s">
        <v>63</v>
      </c>
      <c r="D61" s="347"/>
      <c r="E61" s="4"/>
    </row>
    <row r="62" spans="2:5" ht="20.05" customHeight="1" x14ac:dyDescent="0.35">
      <c r="B62" s="4" t="s">
        <v>64</v>
      </c>
      <c r="C62" s="85" t="s">
        <v>65</v>
      </c>
      <c r="D62" s="347"/>
      <c r="E62" s="4"/>
    </row>
    <row r="63" spans="2:5" ht="20.05" customHeight="1" x14ac:dyDescent="0.35">
      <c r="B63" s="4" t="s">
        <v>66</v>
      </c>
      <c r="C63" s="85" t="s">
        <v>67</v>
      </c>
      <c r="D63" s="347"/>
      <c r="E63" s="4"/>
    </row>
    <row r="64" spans="2:5" ht="20.05" customHeight="1" x14ac:dyDescent="0.35">
      <c r="B64" s="4" t="s">
        <v>68</v>
      </c>
      <c r="C64" s="85" t="s">
        <v>69</v>
      </c>
      <c r="D64" s="83"/>
      <c r="E64" s="4"/>
    </row>
    <row r="65" spans="2:5" ht="20.05" customHeight="1" x14ac:dyDescent="0.35">
      <c r="B65" s="4" t="s">
        <v>70</v>
      </c>
      <c r="C65" s="85">
        <v>4096</v>
      </c>
      <c r="D65" s="347"/>
      <c r="E65" s="4"/>
    </row>
    <row r="66" spans="2:5" ht="20.05" customHeight="1" x14ac:dyDescent="0.35">
      <c r="B66" s="462" t="s">
        <v>71</v>
      </c>
      <c r="C66" s="463"/>
      <c r="D66" s="463"/>
      <c r="E66" s="464"/>
    </row>
    <row r="67" spans="2:5" ht="20.05" customHeight="1" x14ac:dyDescent="0.35">
      <c r="B67" s="4" t="s">
        <v>53</v>
      </c>
      <c r="C67" s="80" t="s">
        <v>72</v>
      </c>
      <c r="D67" s="347"/>
      <c r="E67" s="337" t="str">
        <f>IF(mgmt_signed_certs_result="Excluded","Inputs are masked out and only required if Apply Signed Certifcates is chosen from the Post-Deployment Option","")</f>
        <v>Inputs are masked out and only required if Apply Signed Certifcates is chosen from the Post-Deployment Option</v>
      </c>
    </row>
    <row r="68" spans="2:5" ht="20.05" customHeight="1" x14ac:dyDescent="0.35">
      <c r="B68" s="4" t="s">
        <v>73</v>
      </c>
      <c r="C68" s="362" t="str">
        <f>sample_sddc_mgr_fqdn</f>
        <v>sfo-vcf01.sfo.rainpole.io</v>
      </c>
      <c r="D68" s="94"/>
      <c r="E68" s="4"/>
    </row>
    <row r="69" spans="2:5" ht="20.05" customHeight="1" x14ac:dyDescent="0.35">
      <c r="B69" s="4" t="s">
        <v>62</v>
      </c>
      <c r="C69" s="362" t="str">
        <f>sample_ca_country</f>
        <v>US</v>
      </c>
      <c r="D69" s="94"/>
      <c r="E69" s="4"/>
    </row>
    <row r="70" spans="2:5" ht="20.05" customHeight="1" x14ac:dyDescent="0.35">
      <c r="B70" s="4" t="s">
        <v>74</v>
      </c>
      <c r="C70" s="362" t="str">
        <f>sample_ca_locality</f>
        <v>San Francisco</v>
      </c>
      <c r="D70" s="94"/>
      <c r="E70" s="4"/>
    </row>
    <row r="71" spans="2:5" ht="20.05" customHeight="1" x14ac:dyDescent="0.35">
      <c r="B71" s="4" t="s">
        <v>75</v>
      </c>
      <c r="C71" s="362" t="str">
        <f>sample_ca_organization_unit</f>
        <v>Rainpole</v>
      </c>
      <c r="D71" s="94"/>
      <c r="E71" s="4"/>
    </row>
    <row r="72" spans="2:5" ht="20.05" customHeight="1" x14ac:dyDescent="0.35">
      <c r="B72" s="4" t="s">
        <v>76</v>
      </c>
      <c r="C72" s="362" t="str">
        <f>sample_ca_organization</f>
        <v>IT</v>
      </c>
      <c r="D72" s="94"/>
      <c r="E72" s="4"/>
    </row>
    <row r="73" spans="2:5" ht="20.05" customHeight="1" x14ac:dyDescent="0.35">
      <c r="B73" s="4" t="s">
        <v>64</v>
      </c>
      <c r="C73" s="362" t="str">
        <f>sample_ca_state</f>
        <v>CA</v>
      </c>
      <c r="D73" s="94"/>
      <c r="E73" s="4"/>
    </row>
    <row r="74" spans="2:5" ht="20.05" customHeight="1" x14ac:dyDescent="0.35">
      <c r="B74" s="462" t="s">
        <v>77</v>
      </c>
      <c r="C74" s="463"/>
      <c r="D74" s="463"/>
      <c r="E74" s="464"/>
    </row>
    <row r="75" spans="2:5" ht="20.05" customHeight="1" x14ac:dyDescent="0.35">
      <c r="B75" s="4" t="s">
        <v>56</v>
      </c>
      <c r="C75" s="362" t="str">
        <f>sample_ca_algorithm</f>
        <v>RSA</v>
      </c>
      <c r="D75" s="94"/>
      <c r="E75" s="337" t="str">
        <f>IF(mgmt_signed_certs_result="Excluded","Inputs are masked out and only required if Apply Signed Certifcates is chosen from the Post-Deployment Option","")</f>
        <v>Inputs are masked out and only required if Apply Signed Certifcates is chosen from the Post-Deployment Option</v>
      </c>
    </row>
    <row r="76" spans="2:5" ht="20.05" customHeight="1" x14ac:dyDescent="0.35">
      <c r="B76" s="4" t="s">
        <v>70</v>
      </c>
      <c r="C76" s="362">
        <f>sample_ca_key_size</f>
        <v>4096</v>
      </c>
      <c r="D76" s="94"/>
      <c r="E76" s="4"/>
    </row>
    <row r="77" spans="2:5" ht="20.05" customHeight="1" x14ac:dyDescent="0.35">
      <c r="B77" s="4" t="s">
        <v>68</v>
      </c>
      <c r="C77" s="362" t="str">
        <f>sample_ca_email_address</f>
        <v>administrator@rainpole.io</v>
      </c>
      <c r="D77" s="94"/>
      <c r="E77" s="4"/>
    </row>
    <row r="78" spans="2:5" ht="20.05" customHeight="1" x14ac:dyDescent="0.35">
      <c r="B78" s="4" t="s">
        <v>60</v>
      </c>
      <c r="C78" s="362" t="str">
        <f>sample_ca_organization</f>
        <v>IT</v>
      </c>
      <c r="D78" s="94"/>
      <c r="E78" s="4"/>
    </row>
    <row r="79" spans="2:5" ht="20.05" customHeight="1" x14ac:dyDescent="0.35">
      <c r="B79" s="4" t="s">
        <v>75</v>
      </c>
      <c r="C79" s="362" t="str">
        <f>sample_ca_organization_unit</f>
        <v>Rainpole</v>
      </c>
      <c r="D79" s="94"/>
      <c r="E79" s="4"/>
    </row>
    <row r="80" spans="2:5" ht="20.05" customHeight="1" x14ac:dyDescent="0.35">
      <c r="B80" s="4" t="s">
        <v>66</v>
      </c>
      <c r="C80" s="362" t="str">
        <f>sample_ca_locality</f>
        <v>San Francisco</v>
      </c>
      <c r="D80" s="94"/>
      <c r="E80" s="4"/>
    </row>
    <row r="81" spans="2:5" ht="20.05" customHeight="1" x14ac:dyDescent="0.35">
      <c r="B81" s="4" t="s">
        <v>64</v>
      </c>
      <c r="C81" s="362" t="str">
        <f>sample_ca_state</f>
        <v>CA</v>
      </c>
      <c r="D81" s="94"/>
      <c r="E81" s="4"/>
    </row>
    <row r="82" spans="2:5" ht="20.05" customHeight="1" x14ac:dyDescent="0.35">
      <c r="B82" s="4" t="s">
        <v>62</v>
      </c>
      <c r="C82" s="362" t="str">
        <f>sample_ca_country</f>
        <v>US</v>
      </c>
      <c r="D82" s="94"/>
      <c r="E82" s="4"/>
    </row>
    <row r="83" spans="2:5" ht="20.05" customHeight="1" x14ac:dyDescent="0.35">
      <c r="B83" s="4" t="s">
        <v>78</v>
      </c>
      <c r="C83" s="362" t="s">
        <v>79</v>
      </c>
      <c r="D83" s="337"/>
      <c r="E83" s="4"/>
    </row>
    <row r="84" spans="2:5" ht="20.05" customHeight="1" x14ac:dyDescent="0.35">
      <c r="B84" s="4" t="s">
        <v>29</v>
      </c>
      <c r="C84" s="362" t="str">
        <f>sample_sddc_mgr_vcf_password</f>
        <v>VMw@re1!VMw@re1!</v>
      </c>
      <c r="D84" s="94"/>
      <c r="E84" s="4"/>
    </row>
    <row r="85" spans="2:5" ht="16" customHeight="1" x14ac:dyDescent="0.35">
      <c r="B85" s="6"/>
    </row>
    <row r="86" spans="2:5" ht="34" customHeight="1" x14ac:dyDescent="0.35">
      <c r="B86" s="529" t="s">
        <v>80</v>
      </c>
      <c r="C86" s="530"/>
      <c r="D86" s="530"/>
      <c r="E86" s="531"/>
    </row>
    <row r="87" spans="2:5" ht="20.05" customHeight="1" x14ac:dyDescent="0.35">
      <c r="B87" s="462" t="s">
        <v>81</v>
      </c>
      <c r="C87" s="463"/>
      <c r="D87" s="463"/>
      <c r="E87" s="464"/>
    </row>
    <row r="88" spans="2:5" ht="20.05" customHeight="1" x14ac:dyDescent="0.35">
      <c r="B88" s="43" t="s">
        <v>17</v>
      </c>
      <c r="C88" s="346" t="s">
        <v>18</v>
      </c>
      <c r="D88" s="346" t="s">
        <v>19</v>
      </c>
      <c r="E88" s="346" t="s">
        <v>20</v>
      </c>
    </row>
    <row r="89" spans="2:5" ht="20.05" customHeight="1" x14ac:dyDescent="0.35">
      <c r="B89" s="532" t="s">
        <v>82</v>
      </c>
      <c r="C89" s="533"/>
      <c r="D89" s="533"/>
      <c r="E89" s="534"/>
    </row>
    <row r="90" spans="2:5" ht="20.05" customHeight="1" x14ac:dyDescent="0.35">
      <c r="B90" s="4" t="s">
        <v>82</v>
      </c>
      <c r="C90" s="362" t="s">
        <v>83</v>
      </c>
      <c r="D90" s="337" t="str">
        <f>mgmt_vns_chosen</f>
        <v>Exclude</v>
      </c>
      <c r="E90" s="337" t="str">
        <f>IF(mgmt_vns_result="Excluded","Inputs are masked out and only required if NSX Network Connectivity for MGMT Domain is chosen from the Post-Deployment Option","")</f>
        <v>Inputs are masked out and only required if NSX Network Connectivity for MGMT Domain is chosen from the Post-Deployment Option</v>
      </c>
    </row>
    <row r="91" spans="2:5" ht="20.05" customHeight="1" x14ac:dyDescent="0.35">
      <c r="B91" s="532" t="s">
        <v>84</v>
      </c>
      <c r="C91" s="533"/>
      <c r="D91" s="533"/>
      <c r="E91" s="534"/>
    </row>
    <row r="92" spans="2:5" ht="20.05" customHeight="1" x14ac:dyDescent="0.35">
      <c r="B92" s="351" t="s">
        <v>85</v>
      </c>
      <c r="C92" s="362">
        <v>1198</v>
      </c>
      <c r="D92" s="347"/>
      <c r="E92" s="337" t="str">
        <f>IF(mgmt_vns_chosen="Centralized Connectivity","Inputs are masked out and only required if Distributed Connectivity Gateway Type is chosen from the Post-Deployment Option","Needs to be a routable network is customers envoirnemt" )</f>
        <v>Needs to be a routable network is customers envoirnemt</v>
      </c>
    </row>
    <row r="93" spans="2:5" ht="20.05" customHeight="1" x14ac:dyDescent="0.35">
      <c r="B93" s="351" t="s">
        <v>86</v>
      </c>
      <c r="C93" s="362" t="s">
        <v>87</v>
      </c>
      <c r="D93" s="347"/>
      <c r="E93" s="4"/>
    </row>
    <row r="94" spans="2:5" ht="20.05" customHeight="1" x14ac:dyDescent="0.35">
      <c r="B94" s="532" t="s">
        <v>88</v>
      </c>
      <c r="C94" s="533"/>
      <c r="D94" s="533"/>
      <c r="E94" s="534"/>
    </row>
    <row r="95" spans="2:5" ht="20.05" customHeight="1" x14ac:dyDescent="0.35">
      <c r="B95" s="4" t="s">
        <v>89</v>
      </c>
      <c r="C95" s="362" t="str">
        <f>CONCATENATE(this_instance,"-m01-ec01")</f>
        <v>sfo-m01-ec01</v>
      </c>
      <c r="D95" s="347"/>
      <c r="E95" s="4"/>
    </row>
    <row r="96" spans="2:5" ht="20.05" customHeight="1" x14ac:dyDescent="0.35">
      <c r="B96" s="4" t="s">
        <v>90</v>
      </c>
      <c r="C96" s="362">
        <v>1700</v>
      </c>
      <c r="D96" s="94"/>
      <c r="E96" s="337" t="s">
        <v>91</v>
      </c>
    </row>
    <row r="97" spans="2:5" ht="20.05" customHeight="1" x14ac:dyDescent="0.35">
      <c r="B97" s="4" t="s">
        <v>92</v>
      </c>
      <c r="C97" s="362" t="s">
        <v>93</v>
      </c>
      <c r="D97" s="94" t="s">
        <v>93</v>
      </c>
      <c r="E97" s="4"/>
    </row>
    <row r="98" spans="2:5" ht="20.05" customHeight="1" x14ac:dyDescent="0.35">
      <c r="B98" s="496" t="s">
        <v>94</v>
      </c>
      <c r="C98" s="497"/>
      <c r="D98" s="497"/>
      <c r="E98" s="498"/>
    </row>
    <row r="99" spans="2:5" ht="20.05" customHeight="1" x14ac:dyDescent="0.35">
      <c r="B99" s="4" t="s">
        <v>95</v>
      </c>
      <c r="C99" s="89" t="str">
        <f>CONCATENATE(this_instance,"-m01-en01a",".",sample_child_dns_zone)</f>
        <v>sfo-m01-en01a.sfo.rainpole.io</v>
      </c>
      <c r="D99" s="347"/>
      <c r="E99" s="4"/>
    </row>
    <row r="100" spans="2:5" ht="20.05" customHeight="1" x14ac:dyDescent="0.35">
      <c r="B100" s="4" t="s">
        <v>96</v>
      </c>
      <c r="C100" s="362" t="str">
        <f>sample_mgmt_cl01_cluster</f>
        <v>sfo-m01-cl01</v>
      </c>
      <c r="D100" s="343" t="str">
        <f>mgmt_cl01_cluster</f>
        <v>Value Missing</v>
      </c>
      <c r="E100" s="347" t="s">
        <v>97</v>
      </c>
    </row>
    <row r="101" spans="2:5" ht="20.05" customHeight="1" x14ac:dyDescent="0.35">
      <c r="B101" s="4" t="s">
        <v>98</v>
      </c>
      <c r="C101" s="362" t="str">
        <f>CONCATENATE(this_instance,"-m01-cl01-rp-ec01")</f>
        <v>sfo-m01-cl01-rp-ec01</v>
      </c>
      <c r="D101" s="94"/>
      <c r="E101" s="337" t="s">
        <v>99</v>
      </c>
    </row>
    <row r="102" spans="2:5" ht="20.05" customHeight="1" x14ac:dyDescent="0.35">
      <c r="B102" s="4" t="s">
        <v>100</v>
      </c>
      <c r="C102" s="362" t="s">
        <v>101</v>
      </c>
      <c r="D102" s="94" t="s">
        <v>101</v>
      </c>
      <c r="E102" s="337"/>
    </row>
    <row r="103" spans="2:5" ht="20.05" customHeight="1" x14ac:dyDescent="0.35">
      <c r="B103" s="4" t="s">
        <v>102</v>
      </c>
      <c r="C103" s="362" t="str">
        <f>CONCATENATE(this_instance,"-m01","-host-group-affinity-rule-ec01-en01a")</f>
        <v>sfo-m01-host-group-affinity-rule-ec01-en01a</v>
      </c>
      <c r="D103" s="94"/>
      <c r="E103" s="337" t="str">
        <f>IF(mgmt_ec01_host_group_affinity_rule_chosen="No","Inputs are masked out and only required if Host Groups Affiity are required","Host Group is optional and must be precreated in vCenter Prior to Starting this workflow" )</f>
        <v>Inputs are masked out and only required if Host Groups Affiity are required</v>
      </c>
    </row>
    <row r="104" spans="2:5" ht="20.05" customHeight="1" x14ac:dyDescent="0.35">
      <c r="B104" s="4" t="s">
        <v>103</v>
      </c>
      <c r="C104" s="362" t="str">
        <f>sample_mgmt_cl01_vsan_datastore</f>
        <v>sfo-m01-cl01-ds-vsan01</v>
      </c>
      <c r="D104" s="343" t="str">
        <f>mgmt_cl01_vsan_datastore</f>
        <v>Value Missing</v>
      </c>
      <c r="E104" s="347" t="s">
        <v>104</v>
      </c>
    </row>
    <row r="105" spans="2:5" ht="20.05" customHeight="1" x14ac:dyDescent="0.35">
      <c r="B105" s="4" t="s">
        <v>105</v>
      </c>
      <c r="C105" s="89" t="s">
        <v>106</v>
      </c>
      <c r="D105" s="94" t="s">
        <v>106</v>
      </c>
      <c r="E105" s="337"/>
    </row>
    <row r="106" spans="2:5" ht="20.05" customHeight="1" x14ac:dyDescent="0.35">
      <c r="B106" s="4" t="s">
        <v>107</v>
      </c>
      <c r="C106" s="89" t="str">
        <f>sample_mgmt_cl01_az1_mgmt_vm_pg</f>
        <v>sfo-m01-cl01-vds01-pg-vm-mgmt</v>
      </c>
      <c r="D106" s="343" t="str">
        <f>mgmt_cl01_az1_mgmt_vm_pg</f>
        <v>Value Missing</v>
      </c>
      <c r="E106" s="347" t="s">
        <v>108</v>
      </c>
    </row>
    <row r="107" spans="2:5" ht="20.05" customHeight="1" x14ac:dyDescent="0.35">
      <c r="B107" s="4" t="s">
        <v>109</v>
      </c>
      <c r="C107" s="89" t="str">
        <f>IF(mgmt_dpg_reuse_result="Included",CONCATENATE(prefix_mgmt_az1_cidr,"10.75","/",INT(RIGHT(sample_mgmt_az1_mgmt_vm_cidr,LEN(sample_mgmt_az1_mgmt_vm_cidr)-FIND("/",sample_mgmt_az1_mgmt_vm_cidr)))),CONCATENATE(prefix_mgmt_az1_cidr,"11.75","/",INT(RIGHT(sample_mgmt_az1_mgmt_cidr,LEN(sample_mgmt_az1_mgmt_cidr)-FIND("/",sample_mgmt_az1_mgmt_cidr)))))</f>
        <v>10.11.10.75/24</v>
      </c>
      <c r="D107" s="94"/>
      <c r="E107" s="337" t="str">
        <f>IF(mgmt_az1_en1_ip_allocation_chosen="DHCP","Inputs are masked out and only required if Static IP Allocation is selected","")</f>
        <v/>
      </c>
    </row>
    <row r="108" spans="2:5" ht="20.05" customHeight="1" x14ac:dyDescent="0.35">
      <c r="B108" s="4" t="s">
        <v>110</v>
      </c>
      <c r="C108" s="362" t="str">
        <f>sample_mgmt_az1_mgmt_vm_gateway_ip</f>
        <v>10.11.10.1</v>
      </c>
      <c r="D108" s="343" t="str">
        <f>mgmt_az1_mgmt_vm_gateway_ip</f>
        <v>Value Missing</v>
      </c>
      <c r="E108" s="347" t="str">
        <f>IF(mgmt_az1_en1_ip_allocation_chosen="DHCP","Inputs are masked out and only required if Static IP Allocation is selected","Values are set based on VM Management Network configuration in the Deploy Management Domain Tab. Click to Redirect")</f>
        <v>Values are set based on VM Management Network configuration in the Deploy Management Domain Tab. Click to Redirect</v>
      </c>
    </row>
    <row r="109" spans="2:5" ht="20.05" customHeight="1" x14ac:dyDescent="0.35">
      <c r="B109" s="4" t="s">
        <v>111</v>
      </c>
      <c r="C109" s="362" t="s">
        <v>112</v>
      </c>
      <c r="D109" s="94" t="s">
        <v>112</v>
      </c>
      <c r="E109" s="4"/>
    </row>
    <row r="110" spans="2:5" ht="20.05" customHeight="1" x14ac:dyDescent="0.35">
      <c r="B110" s="496" t="s">
        <v>113</v>
      </c>
      <c r="C110" s="497"/>
      <c r="D110" s="497"/>
      <c r="E110" s="498"/>
    </row>
    <row r="111" spans="2:5" ht="20.05" customHeight="1" x14ac:dyDescent="0.35">
      <c r="B111" s="4" t="s">
        <v>114</v>
      </c>
      <c r="C111" s="362" t="str">
        <f>IF(mgmt_cl01_vds_profile_chosen="Storage Traffic and NSX Traffic Separation","vmnic4",IF(mgmt_cl01_vds_profile_chosen="NSX Traffic Separation","vmnic2","vmnic0"))</f>
        <v>vmnic0</v>
      </c>
      <c r="D111" s="94"/>
      <c r="E111" s="337" t="s">
        <v>115</v>
      </c>
    </row>
    <row r="112" spans="2:5" ht="20.05" customHeight="1" x14ac:dyDescent="0.35">
      <c r="B112" s="17" t="s">
        <v>114</v>
      </c>
      <c r="C112" s="362" t="str">
        <f>IF(mgmt_cl01_vds_profile_chosen="Storage Traffic and NSX Traffic Separation","vmnic5",IF(mgmt_cl01_vds_profile_chosen="NSX Traffic Separation","vmnic3","vmnic1"))</f>
        <v>vmnic1</v>
      </c>
      <c r="D112" s="94"/>
      <c r="E112" s="337" t="s">
        <v>116</v>
      </c>
    </row>
    <row r="113" spans="2:5" ht="20.05" customHeight="1" x14ac:dyDescent="0.35">
      <c r="B113" s="17" t="s">
        <v>117</v>
      </c>
      <c r="C113" s="362" t="str">
        <f>IF(mgmt_cl01_vds_profile_chosen="Storage Traffic and NSX Traffic Separation","vmnic5",IF(mgmt_cl01_vds_profile_chosen="NSX Traffic Separation","vmnic3","vmnic1"))</f>
        <v>vmnic1</v>
      </c>
      <c r="D113" s="94"/>
      <c r="E113" s="337" t="s">
        <v>115</v>
      </c>
    </row>
    <row r="114" spans="2:5" ht="20.05" customHeight="1" x14ac:dyDescent="0.35">
      <c r="B114" s="22" t="s">
        <v>117</v>
      </c>
      <c r="C114" s="362" t="str">
        <f>IF(mgmt_cl01_vds_profile_chosen="Storage Traffic and NSX Traffic Separation","vmnic4",IF(mgmt_cl01_vds_profile_chosen="NSX Traffic Separation","vmnic2","vmnic0"))</f>
        <v>vmnic0</v>
      </c>
      <c r="D114" s="94"/>
      <c r="E114" s="337" t="s">
        <v>116</v>
      </c>
    </row>
    <row r="115" spans="2:5" ht="20.05" customHeight="1" x14ac:dyDescent="0.35">
      <c r="B115" s="4" t="s">
        <v>118</v>
      </c>
      <c r="C115" s="80" t="str">
        <f>CONCATENATE(prefix_mgmt_az1_vlan,"19")</f>
        <v>1119</v>
      </c>
      <c r="D115" s="347"/>
      <c r="E115" s="337" t="str">
        <f>IF(mgmt_ec01_use_host_overlay_chosen="Selected","Inputs are masked out as host overlay network and edge overlay networks will share the same network configuration","")</f>
        <v/>
      </c>
    </row>
    <row r="116" spans="2:5" ht="20.05" customHeight="1" x14ac:dyDescent="0.35">
      <c r="B116" s="4" t="s">
        <v>119</v>
      </c>
      <c r="C116" s="362" t="s">
        <v>120</v>
      </c>
      <c r="D116" s="94" t="s">
        <v>120</v>
      </c>
      <c r="E116" s="4"/>
    </row>
    <row r="117" spans="2:5" ht="20.05" customHeight="1" x14ac:dyDescent="0.35">
      <c r="B117" s="4" t="s">
        <v>121</v>
      </c>
      <c r="C117" s="89" t="str">
        <f>CONCATENATE(sample_mgmt_sddc_domain,"-ip-pool02-edge")</f>
        <v>sfo-m01-ip-pool02-edge</v>
      </c>
      <c r="D117" s="94"/>
      <c r="E117" s="337" t="str">
        <f>IF(mgmt_az1_en1_edge_overlay_network_ip_allocation_chosen&lt;&gt;"IP Pool","Inputs are masked out and only required if IP Pools are required","")</f>
        <v>Inputs are masked out and only required if IP Pools are required</v>
      </c>
    </row>
    <row r="118" spans="2:5" ht="20.05" customHeight="1" x14ac:dyDescent="0.35">
      <c r="B118" s="4" t="s">
        <v>122</v>
      </c>
      <c r="C118" s="89" t="str">
        <f>CONCATENATE(prefix_mgmt_az1_cidr,"19.2")</f>
        <v>10.11.19.2</v>
      </c>
      <c r="D118" s="94"/>
      <c r="E118" s="337" t="str">
        <f>IF(mgmt_az1_en1_edge_overlay_network_ip_allocation_chosen&lt;&gt;"IP Pool","Inputs are masked out and only required if IP Pools are required","")</f>
        <v>Inputs are masked out and only required if IP Pools are required</v>
      </c>
    </row>
    <row r="119" spans="2:5" ht="20.05" customHeight="1" x14ac:dyDescent="0.35">
      <c r="B119" s="4" t="s">
        <v>123</v>
      </c>
      <c r="C119" s="89" t="str">
        <f>CONCATENATE(prefix_mgmt_az1_cidr,"19.5")</f>
        <v>10.11.19.5</v>
      </c>
      <c r="D119" s="94"/>
      <c r="E119" s="337" t="str">
        <f>IF(mgmt_az1_en1_edge_overlay_network_ip_allocation_chosen&lt;&gt;"IP Pool","Inputs are masked out and only required if IP Pools are required","")</f>
        <v>Inputs are masked out and only required if IP Pools are required</v>
      </c>
    </row>
    <row r="120" spans="2:5" ht="20.05" customHeight="1" x14ac:dyDescent="0.35">
      <c r="B120" s="4" t="s">
        <v>124</v>
      </c>
      <c r="C120" s="89" t="str">
        <f>CONCATENATE(prefix_mgmt_az1_cidr,"19.2")</f>
        <v>10.11.19.2</v>
      </c>
      <c r="D120" s="347"/>
      <c r="E120" s="337" t="str">
        <f>IF(mgmt_az1_en1_edge_overlay_network_ip_allocation_chosen&lt;&gt;"Static IP List","Inputs are masked out and only required if Static IP List are required",IF(mgmt_ec01_use_host_overlay_chosen="Selected","","Overlay IP Address #01 for Edge Node 1"))</f>
        <v>Overlay IP Address #01 for Edge Node 1</v>
      </c>
    </row>
    <row r="121" spans="2:5" ht="20.05" customHeight="1" x14ac:dyDescent="0.35">
      <c r="B121" s="4" t="s">
        <v>125</v>
      </c>
      <c r="C121" s="89" t="str">
        <f>CONCATENATE(prefix_mgmt_az1_cidr,"19.3")</f>
        <v>10.11.19.3</v>
      </c>
      <c r="D121" s="347"/>
      <c r="E121" s="337" t="str">
        <f>IF(mgmt_az1_en1_edge_overlay_network_ip_allocation_chosen&lt;&gt;"Static IP List","Inputs are masked out and only required if Static IP List are required",IF(mgmt_ec01_use_host_overlay_chosen="Selected","","Overlay IP Address #02 for Edge Node 1"))</f>
        <v>Overlay IP Address #02 for Edge Node 1</v>
      </c>
    </row>
    <row r="122" spans="2:5" ht="20.05" customHeight="1" x14ac:dyDescent="0.35">
      <c r="B122" s="4" t="s">
        <v>126</v>
      </c>
      <c r="C122" s="80" t="str">
        <f>CONCATENATE(prefix_mgmt_az1_cidr,"19.1")</f>
        <v>10.11.19.1</v>
      </c>
      <c r="D122" s="347"/>
      <c r="E122" s="4"/>
    </row>
    <row r="123" spans="2:5" ht="20.05" customHeight="1" x14ac:dyDescent="0.35">
      <c r="B123" s="4" t="s">
        <v>127</v>
      </c>
      <c r="C123" s="362" t="s">
        <v>128</v>
      </c>
      <c r="D123" s="94"/>
      <c r="E123" s="4"/>
    </row>
    <row r="124" spans="2:5" ht="20.05" customHeight="1" x14ac:dyDescent="0.35">
      <c r="B124" s="496" t="s">
        <v>129</v>
      </c>
      <c r="C124" s="497"/>
      <c r="D124" s="497"/>
      <c r="E124" s="498"/>
    </row>
    <row r="125" spans="2:5" ht="20.05" customHeight="1" x14ac:dyDescent="0.35">
      <c r="B125" s="4" t="s">
        <v>130</v>
      </c>
      <c r="C125" s="126" t="str">
        <f>CONCATENATE(this_instance,"-m01-en01b",".",sample_child_dns_zone)</f>
        <v>sfo-m01-en01b.sfo.rainpole.io</v>
      </c>
      <c r="D125" s="347"/>
      <c r="E125" s="4"/>
    </row>
    <row r="126" spans="2:5" ht="20.05" customHeight="1" x14ac:dyDescent="0.35">
      <c r="B126" s="4" t="s">
        <v>96</v>
      </c>
      <c r="C126" s="362" t="str">
        <f>sample_mgmt_cl01_cluster</f>
        <v>sfo-m01-cl01</v>
      </c>
      <c r="D126" s="343" t="str">
        <f>mgmt_cl01_cluster</f>
        <v>Value Missing</v>
      </c>
      <c r="E126" s="347" t="s">
        <v>97</v>
      </c>
    </row>
    <row r="127" spans="2:5" ht="20.05" customHeight="1" x14ac:dyDescent="0.35">
      <c r="B127" s="4" t="s">
        <v>98</v>
      </c>
      <c r="C127" s="362" t="str">
        <f>sample_mgmt_ec_rp_name</f>
        <v>sfo-m01-cl01-rp-ec01</v>
      </c>
      <c r="D127" s="343" t="str">
        <f>mgmt_ec_rp_name</f>
        <v>Value Missing</v>
      </c>
      <c r="E127" s="337" t="str">
        <f>IF(input_mgmt_ec_rp_name="","Input is masked out based on based Resource Pool value for Edge node 1","")</f>
        <v>Input is masked out based on based Resource Pool value for Edge node 1</v>
      </c>
    </row>
    <row r="128" spans="2:5" ht="20.05" customHeight="1" x14ac:dyDescent="0.35">
      <c r="B128" s="4" t="s">
        <v>100</v>
      </c>
      <c r="C128" s="362" t="s">
        <v>101</v>
      </c>
      <c r="D128" s="343" t="str">
        <f>_xlfn.SINGLE(mgmt_ec01_host_group_affinity_rule_chosen)</f>
        <v>No</v>
      </c>
      <c r="E128" s="337" t="s">
        <v>131</v>
      </c>
    </row>
    <row r="129" spans="2:5" ht="20.05" customHeight="1" x14ac:dyDescent="0.35">
      <c r="B129" s="4" t="s">
        <v>102</v>
      </c>
      <c r="C129" s="362" t="str">
        <f>CONCATENATE(this_instance,"-m01","-host-group-affinity-rule-ec01-en01b")</f>
        <v>sfo-m01-host-group-affinity-rule-ec01-en01b</v>
      </c>
      <c r="D129" s="94"/>
      <c r="E129" s="337"/>
    </row>
    <row r="130" spans="2:5" ht="20.05" customHeight="1" x14ac:dyDescent="0.35">
      <c r="B130" s="4" t="s">
        <v>103</v>
      </c>
      <c r="C130" s="362" t="str">
        <f>sample_mgmt_cl01_vsan_datastore</f>
        <v>sfo-m01-cl01-ds-vsan01</v>
      </c>
      <c r="D130" s="343" t="str">
        <f>mgmt_cl01_vsan_datastore</f>
        <v>Value Missing</v>
      </c>
      <c r="E130" s="347" t="s">
        <v>104</v>
      </c>
    </row>
    <row r="131" spans="2:5" ht="20.05" customHeight="1" x14ac:dyDescent="0.35">
      <c r="B131" s="4" t="s">
        <v>105</v>
      </c>
      <c r="C131" s="89" t="s">
        <v>106</v>
      </c>
      <c r="D131" s="337" t="str">
        <f>mgmt_az1_en1_ip_allocation_chosen</f>
        <v>Static</v>
      </c>
      <c r="E131" s="337" t="s">
        <v>132</v>
      </c>
    </row>
    <row r="132" spans="2:5" ht="20.05" customHeight="1" x14ac:dyDescent="0.35">
      <c r="B132" s="4" t="s">
        <v>107</v>
      </c>
      <c r="C132" s="89" t="str">
        <f>sample_mgmt_cl01_az1_mgmt_vm_pg</f>
        <v>sfo-m01-cl01-vds01-pg-vm-mgmt</v>
      </c>
      <c r="D132" s="337" t="str">
        <f>mgmt_cl01_az1_mgmt_vm_pg</f>
        <v>Value Missing</v>
      </c>
      <c r="E132" s="347" t="s">
        <v>108</v>
      </c>
    </row>
    <row r="133" spans="2:5" ht="20.05" customHeight="1" x14ac:dyDescent="0.35">
      <c r="B133" s="4" t="s">
        <v>133</v>
      </c>
      <c r="C133" s="89" t="str">
        <f>IF(mgmt_dpg_reuse_result="Included",CONCATENATE(prefix_mgmt_az1_cidr,"10.76","/",INT(RIGHT(sample_mgmt_az1_mgmt_vm_cidr,LEN(sample_mgmt_az1_mgmt_vm_cidr)-FIND("/",sample_mgmt_az1_mgmt_vm_cidr)))),CONCATENATE(prefix_mgmt_az1_cidr,"11.76","/",INT(RIGHT(sample_mgmt_az1_mgmt_cidr,LEN(sample_mgmt_az1_mgmt_cidr)-FIND("/",sample_mgmt_az1_mgmt_cidr)))))</f>
        <v>10.11.10.76/24</v>
      </c>
      <c r="D133" s="347"/>
      <c r="E133" s="337" t="str">
        <f>IF(mgmt_az1_en1_ip_allocation_chosen="DHCP","Inputs are masked out and only required if Static IP Allocation is selected","")</f>
        <v/>
      </c>
    </row>
    <row r="134" spans="2:5" ht="20.05" customHeight="1" x14ac:dyDescent="0.35">
      <c r="B134" s="4" t="s">
        <v>134</v>
      </c>
      <c r="C134" s="362" t="str">
        <f>sample_mgmt_az1_mgmt_vm_gateway_ip</f>
        <v>10.11.10.1</v>
      </c>
      <c r="D134" s="343" t="str">
        <f>mgmt_az1_mgmt_vm_gateway_ip</f>
        <v>Value Missing</v>
      </c>
      <c r="E134" s="347" t="str">
        <f>IF(mgmt_az1_en1_ip_allocation_chosen="DHCP","Inputs are masked out and only required if Static IP Allocation is selected","Values are set based on VM Management Network configuration in the Deploy Management Domain Tab. Click to Redirect")</f>
        <v>Values are set based on VM Management Network configuration in the Deploy Management Domain Tab. Click to Redirect</v>
      </c>
    </row>
    <row r="135" spans="2:5" ht="20.05" customHeight="1" x14ac:dyDescent="0.35">
      <c r="B135" s="4" t="s">
        <v>111</v>
      </c>
      <c r="C135" s="362" t="s">
        <v>112</v>
      </c>
      <c r="D135" s="343" t="str">
        <f>mgmt_ec01_use_host_overlay_chosen</f>
        <v xml:space="preserve">Unselected </v>
      </c>
      <c r="E135" s="337" t="s">
        <v>135</v>
      </c>
    </row>
    <row r="136" spans="2:5" ht="20.05" customHeight="1" x14ac:dyDescent="0.35">
      <c r="B136" s="496" t="s">
        <v>136</v>
      </c>
      <c r="C136" s="497"/>
      <c r="D136" s="497"/>
      <c r="E136" s="498"/>
    </row>
    <row r="137" spans="2:5" ht="20.05" customHeight="1" x14ac:dyDescent="0.35">
      <c r="B137" s="4" t="s">
        <v>114</v>
      </c>
      <c r="C137" s="362" t="str">
        <f>IF(mgmt_cl01_vds_profile_chosen="Storage Traffic and NSX Traffic Separation","vmnic4",IF(mgmt_cl01_vds_profile_chosen="NSX Traffic Separation","vmnic2","vmnic0"))</f>
        <v>vmnic0</v>
      </c>
      <c r="D137" s="94"/>
      <c r="E137" s="4"/>
    </row>
    <row r="138" spans="2:5" ht="20.05" customHeight="1" x14ac:dyDescent="0.35">
      <c r="B138" s="17" t="s">
        <v>114</v>
      </c>
      <c r="C138" s="362" t="str">
        <f>IF(mgmt_cl01_vds_profile_chosen="Storage Traffic and NSX Traffic Separation","vmnic5",IF(mgmt_cl01_vds_profile_chosen="NSX Traffic Separation","vmnic3","vmnic1"))</f>
        <v>vmnic1</v>
      </c>
      <c r="D138" s="94"/>
      <c r="E138" s="4"/>
    </row>
    <row r="139" spans="2:5" ht="20.05" customHeight="1" x14ac:dyDescent="0.35">
      <c r="B139" s="17" t="s">
        <v>117</v>
      </c>
      <c r="C139" s="362" t="str">
        <f>IF(mgmt_cl01_vds_profile_chosen="Storage Traffic and NSX Traffic Separation","vmnic5",IF(mgmt_cl01_vds_profile_chosen="NSX Traffic Separation","vmnic3","vmnic1"))</f>
        <v>vmnic1</v>
      </c>
      <c r="D139" s="94"/>
      <c r="E139" s="4"/>
    </row>
    <row r="140" spans="2:5" ht="20.05" customHeight="1" x14ac:dyDescent="0.35">
      <c r="B140" s="22" t="s">
        <v>117</v>
      </c>
      <c r="C140" s="362" t="str">
        <f>IF(mgmt_cl01_vds_profile_chosen="Storage Traffic and NSX Traffic Separation","vmnic4",IF(mgmt_cl01_vds_profile_chosen="NSX Traffic Separation","vmnic2","vmnic0"))</f>
        <v>vmnic0</v>
      </c>
      <c r="D140" s="94"/>
      <c r="E140" s="4"/>
    </row>
    <row r="141" spans="2:5" ht="20.05" customHeight="1" x14ac:dyDescent="0.35">
      <c r="B141" s="4" t="s">
        <v>118</v>
      </c>
      <c r="C141" s="80" t="str">
        <f>sample_mgmt_az1_edge_overlay_vlan</f>
        <v>1119</v>
      </c>
      <c r="D141" s="337" t="str">
        <f>mgmt_az1_edge_overlay_vlan</f>
        <v>Value Missing</v>
      </c>
      <c r="E141" s="337" t="str">
        <f>IF(mgmt_ec01_use_host_overlay_chosen="Selected","Inputs are masked out as host overlay network and edge overlay networks will share the same network configuration","Value is set based on VLAN  for Edge node 1 ")</f>
        <v xml:space="preserve">Value is set based on VLAN  for Edge node 1 </v>
      </c>
    </row>
    <row r="142" spans="2:5" ht="20.05" customHeight="1" x14ac:dyDescent="0.35">
      <c r="B142" s="4" t="s">
        <v>119</v>
      </c>
      <c r="C142" s="362" t="s">
        <v>120</v>
      </c>
      <c r="D142" s="343" t="str">
        <f>mgmt_az1_en1_edge_overlay_network_ip_allocation_chosen</f>
        <v>Static IP List</v>
      </c>
      <c r="E142" s="337"/>
    </row>
    <row r="143" spans="2:5" ht="20.05" customHeight="1" x14ac:dyDescent="0.35">
      <c r="B143" s="4" t="s">
        <v>121</v>
      </c>
      <c r="C143" s="362" t="str">
        <f>sample_mgmt_az1_edge_overlay_network_pool_name</f>
        <v>sfo-m01-ip-pool02-edge</v>
      </c>
      <c r="D143" s="343" t="str">
        <f>mgmt_az1_edge_overlay_network_pool_name</f>
        <v>Value Missing</v>
      </c>
      <c r="E143" s="337" t="str">
        <f>IF(mgmt_az1_en1_edge_overlay_network_ip_allocation_chosen&lt;&gt;"IP Pool","Inputs are masked out and only required if IP Pools are required","Value is set based on IP Pool Name for Edge node 1 ")</f>
        <v>Inputs are masked out and only required if IP Pools are required</v>
      </c>
    </row>
    <row r="144" spans="2:5" ht="20.05" customHeight="1" x14ac:dyDescent="0.35">
      <c r="B144" s="4" t="s">
        <v>137</v>
      </c>
      <c r="C144" s="89" t="str">
        <f>CONCATENATE(prefix_mgmt_az1_cidr,"19.4")</f>
        <v>10.11.19.4</v>
      </c>
      <c r="D144" s="347"/>
      <c r="E144" s="337" t="str">
        <f>IF(mgmt_az1_en1_edge_overlay_network_ip_allocation_chosen&lt;&gt;"Static IP List","Inputs are masked out and only required if Static IP List are required",IF(mgmt_ec01_use_host_overlay_chosen="Selected","","Overlay IP Address #01 for Edge Node 2"))</f>
        <v>Overlay IP Address #01 for Edge Node 2</v>
      </c>
    </row>
    <row r="145" spans="2:5" ht="20.05" customHeight="1" x14ac:dyDescent="0.35">
      <c r="B145" s="4" t="s">
        <v>138</v>
      </c>
      <c r="C145" s="89" t="str">
        <f>CONCATENATE(prefix_mgmt_az1_cidr,"19.5")</f>
        <v>10.11.19.5</v>
      </c>
      <c r="D145" s="347"/>
      <c r="E145" s="337" t="str">
        <f>IF(mgmt_az1_en1_edge_overlay_network_ip_allocation_chosen&lt;&gt;"Static IP List","Inputs are masked out and only required if Static IP List are required",IF(mgmt_ec01_use_host_overlay_chosen="Selected","","Overlay IP Address #02 for Edge Node 2"))</f>
        <v>Overlay IP Address #02 for Edge Node 2</v>
      </c>
    </row>
    <row r="146" spans="2:5" ht="20.05" customHeight="1" x14ac:dyDescent="0.35">
      <c r="B146" s="4" t="s">
        <v>126</v>
      </c>
      <c r="C146" s="362" t="str">
        <f>sample_mgmt_az1_edge_overlay_gateway_ip</f>
        <v>10.11.19.1</v>
      </c>
      <c r="D146" s="337" t="str">
        <f>mgmt_az1_edge_overlay_gateway_ip</f>
        <v>Value Missing</v>
      </c>
      <c r="E146" s="337" t="str">
        <f>IF(mgmt_az1_en1_edge_overlay_network_ip_allocation_chosen&lt;&gt;"Static IP List","Inputs are masked out and only required if Static IP List are required","")</f>
        <v/>
      </c>
    </row>
    <row r="147" spans="2:5" ht="20.05" customHeight="1" x14ac:dyDescent="0.35">
      <c r="B147" s="4" t="s">
        <v>127</v>
      </c>
      <c r="C147" s="362" t="str">
        <f>sample_mgmt_az1_edge_overlay_mask</f>
        <v>255.255.255.0</v>
      </c>
      <c r="D147" s="343" t="str">
        <f>mgmt_az1_edge_overlay_mask</f>
        <v>Value Missing</v>
      </c>
      <c r="E147" s="337" t="str">
        <f>IF(mgmt_az1_en1_edge_overlay_network_ip_allocation_chosen&lt;&gt;"Static IP List","Inputs are masked out and only required if Static IP List are required","Value is set based on Subnet Mask Value for Edge node 1")</f>
        <v>Value is set based on Subnet Mask Value for Edge node 1</v>
      </c>
    </row>
    <row r="148" spans="2:5" ht="20.05" customHeight="1" x14ac:dyDescent="0.35">
      <c r="B148" s="4" t="s">
        <v>139</v>
      </c>
      <c r="C148" s="362" t="s">
        <v>112</v>
      </c>
      <c r="D148" s="94" t="s">
        <v>112</v>
      </c>
      <c r="E148" s="4"/>
    </row>
    <row r="149" spans="2:5" ht="20.05" customHeight="1" x14ac:dyDescent="0.35">
      <c r="B149" s="4" t="s">
        <v>140</v>
      </c>
      <c r="C149" s="362" t="s">
        <v>141</v>
      </c>
      <c r="D149" s="347"/>
      <c r="E149" s="337" t="str">
        <f>IF(mgmt_az1_ec01_password_creation_chosen="Selected","Inputs are masked out as you have opted to deploy with system generated passwords","Minimum 15 Characters, 1 Uppercase, 1 Special")</f>
        <v>Minimum 15 Characters, 1 Uppercase, 1 Special</v>
      </c>
    </row>
    <row r="150" spans="2:5" ht="20.05" customHeight="1" x14ac:dyDescent="0.35">
      <c r="B150" s="4" t="s">
        <v>142</v>
      </c>
      <c r="C150" s="362" t="s">
        <v>141</v>
      </c>
      <c r="D150" s="347"/>
      <c r="E150" s="337" t="str">
        <f>IF(mgmt_az1_ec01_password_creation_chosen="Selected","Inputs are masked out as you have opted to deploy with system generated passwords","Minimum 15 Characters, 1 Uppercase, 1 Special")</f>
        <v>Minimum 15 Characters, 1 Uppercase, 1 Special</v>
      </c>
    </row>
    <row r="151" spans="2:5" ht="20.05" customHeight="1" x14ac:dyDescent="0.35">
      <c r="B151" s="496" t="s">
        <v>143</v>
      </c>
      <c r="C151" s="497"/>
      <c r="D151" s="497"/>
      <c r="E151" s="498"/>
    </row>
    <row r="152" spans="2:5" ht="20.05" customHeight="1" x14ac:dyDescent="0.35">
      <c r="B152" s="4" t="s">
        <v>144</v>
      </c>
      <c r="C152" s="362" t="str">
        <f>IF(AND(mgmt_nsxt_federation_chosen="Standby Global Manager",(mgmt_vns_chosen="Centralized Connectivity")),"Selected","Unselected")</f>
        <v>Unselected</v>
      </c>
      <c r="D152" s="347" t="s">
        <v>145</v>
      </c>
      <c r="E152" s="337" t="str">
        <f>IF(AND(OR(mgmt_nsxt_federation_chosen="Standby Global Manager",mgmt_nsxt_federation_chosen="Connect Instance"),(mgmt_vns_chosen="Centralized Connectivity")),"Skip Gateway and Routing Configuration as stretched T0 will be configured as part of NSX Federation configuration","")</f>
        <v/>
      </c>
    </row>
    <row r="153" spans="2:5" ht="20.05" customHeight="1" x14ac:dyDescent="0.35">
      <c r="B153" s="4" t="s">
        <v>146</v>
      </c>
      <c r="C153" s="362" t="str">
        <f>CONCATENATE(this_instance,"-m01-ec01-t0-gw01")</f>
        <v>sfo-m01-ec01-t0-gw01</v>
      </c>
      <c r="D153" s="347"/>
      <c r="E153" s="4"/>
    </row>
    <row r="154" spans="2:5" ht="20.05" customHeight="1" x14ac:dyDescent="0.35">
      <c r="B154" s="4" t="s">
        <v>147</v>
      </c>
      <c r="C154" s="362" t="s">
        <v>148</v>
      </c>
      <c r="D154" s="94" t="s">
        <v>148</v>
      </c>
      <c r="E154" s="4"/>
    </row>
    <row r="155" spans="2:5" ht="20.05" customHeight="1" x14ac:dyDescent="0.35">
      <c r="B155" s="4" t="s">
        <v>149</v>
      </c>
      <c r="C155" s="362" t="s">
        <v>150</v>
      </c>
      <c r="D155" s="94" t="s">
        <v>150</v>
      </c>
      <c r="E155" s="4"/>
    </row>
    <row r="156" spans="2:5" ht="20.05" customHeight="1" x14ac:dyDescent="0.35">
      <c r="B156" s="4" t="s">
        <v>151</v>
      </c>
      <c r="C156" s="80" t="str">
        <f>IF(mgmt_domain_chosen="First Instance","65101","65201")</f>
        <v>65101</v>
      </c>
      <c r="D156" s="347"/>
      <c r="E156" s="4"/>
    </row>
    <row r="157" spans="2:5" ht="20.05" customHeight="1" x14ac:dyDescent="0.35">
      <c r="B157" s="496" t="s">
        <v>152</v>
      </c>
      <c r="C157" s="497"/>
      <c r="D157" s="497"/>
      <c r="E157" s="498"/>
    </row>
    <row r="158" spans="2:5" ht="20.05" customHeight="1" x14ac:dyDescent="0.35">
      <c r="B158" s="351" t="s">
        <v>153</v>
      </c>
      <c r="C158" s="80" t="str">
        <f>CONCATENATE(prefix_mgmt_az1_vlan,"17")</f>
        <v>1117</v>
      </c>
      <c r="D158" s="347"/>
      <c r="E158" s="337" t="s">
        <v>154</v>
      </c>
    </row>
    <row r="159" spans="2:5" ht="20.05" customHeight="1" x14ac:dyDescent="0.35">
      <c r="B159" s="351" t="s">
        <v>155</v>
      </c>
      <c r="C159" s="89" t="str">
        <f>CONCATENATE(prefix_mgmt_az1_cidr,"17.2","/",INT(RIGHT(sample_mgmt_az1_uplink01_cidr,LEN(sample_mgmt_az1_uplink01_cidr)-FIND("/",sample_mgmt_az1_uplink01_cidr))))</f>
        <v>10.11.17.2/24</v>
      </c>
      <c r="D159" s="347"/>
      <c r="E159" s="337" t="s">
        <v>156</v>
      </c>
    </row>
    <row r="160" spans="2:5" ht="20.05" customHeight="1" x14ac:dyDescent="0.35">
      <c r="B160" s="351" t="s">
        <v>157</v>
      </c>
      <c r="C160" s="80" t="str">
        <f>CONCATENATE(prefix_mgmt_az1_cidr,"17.10")</f>
        <v>10.11.17.10</v>
      </c>
      <c r="D160" s="347"/>
      <c r="E160" s="337" t="str">
        <f>IF(mgmt_gateway_routing_type_chosen="STATIC","Value is masked out due to Gateway Routing Type. Value is only requied if BGP is selected", "Top of Rack 1 - IP Address")</f>
        <v>Top of Rack 1 - IP Address</v>
      </c>
    </row>
    <row r="161" spans="2:5" ht="20.05" customHeight="1" x14ac:dyDescent="0.35">
      <c r="B161" s="351" t="s">
        <v>158</v>
      </c>
      <c r="C161" s="362" t="s">
        <v>159</v>
      </c>
      <c r="D161" s="347" t="s">
        <v>159</v>
      </c>
      <c r="E161" s="337"/>
    </row>
    <row r="162" spans="2:5" ht="20.05" customHeight="1" x14ac:dyDescent="0.35">
      <c r="B162" s="351" t="s">
        <v>160</v>
      </c>
      <c r="C162" s="362">
        <v>9000</v>
      </c>
      <c r="D162" s="347"/>
      <c r="E162" s="337"/>
    </row>
    <row r="163" spans="2:5" ht="20.05" customHeight="1" x14ac:dyDescent="0.35">
      <c r="B163" s="351" t="s">
        <v>161</v>
      </c>
      <c r="C163" s="80" t="str">
        <f>IF(wld_domain_chosen="First Domain",CONCATENATE(asn_start,asn_instance,asn_mgmt_az1,1),IF(wld_nsxt_federation_result="Included",CONCATENATE(asn_start,asn_instance,asn_mgmt_az1,1),CONCATENATE(asn_start,asn_instance,asn_mgmt_az1,1)))</f>
        <v>65111</v>
      </c>
      <c r="D163" s="347"/>
      <c r="E163" s="345" t="str">
        <f>IF(mgmt_gateway_routing_type_chosen="STATIC","Value is masked out due to Gateway Routing Type. Value is only requied if BGP is selected", "Top of Rack 1 - Autonomous System ID")</f>
        <v>Top of Rack 1 - Autonomous System ID</v>
      </c>
    </row>
    <row r="164" spans="2:5" ht="20.05" customHeight="1" x14ac:dyDescent="0.35">
      <c r="B164" s="351" t="s">
        <v>162</v>
      </c>
      <c r="C164" s="80" t="s">
        <v>30</v>
      </c>
      <c r="D164" s="347"/>
      <c r="E164" s="345" t="str">
        <f>IF(mgmt_gateway_routing_type_chosen="STATIC","Value is masked out due to Gateway Routing Type. Value is only requied if BGP is selected", "Top of Rack 1 - BGP Neighbor Password")</f>
        <v>Top of Rack 1 - BGP Neighbor Password</v>
      </c>
    </row>
    <row r="165" spans="2:5" ht="20.05" customHeight="1" x14ac:dyDescent="0.35">
      <c r="B165" s="351" t="s">
        <v>163</v>
      </c>
      <c r="C165" s="80" t="str">
        <f>CONCATENATE(prefix_mgmt_az1_vlan,"18")</f>
        <v>1118</v>
      </c>
      <c r="D165" s="347"/>
      <c r="E165" s="345" t="s">
        <v>164</v>
      </c>
    </row>
    <row r="166" spans="2:5" ht="20.05" customHeight="1" x14ac:dyDescent="0.35">
      <c r="B166" s="351" t="s">
        <v>155</v>
      </c>
      <c r="C166" s="89" t="str">
        <f>CONCATENATE(prefix_mgmt_az1_cidr,"18.2","/",INT(RIGHT(sample_mgmt_az1_uplink02_cidr,LEN(sample_mgmt_az1_uplink02_cidr)-FIND("/",sample_mgmt_az1_uplink02_cidr))))</f>
        <v>10.11.18.2/24</v>
      </c>
      <c r="D166" s="347"/>
      <c r="E166" s="345" t="s">
        <v>165</v>
      </c>
    </row>
    <row r="167" spans="2:5" ht="20.05" customHeight="1" x14ac:dyDescent="0.35">
      <c r="B167" s="351" t="s">
        <v>157</v>
      </c>
      <c r="C167" s="80" t="str">
        <f>CONCATENATE(prefix_mgmt_az1_cidr,"18.10")</f>
        <v>10.11.18.10</v>
      </c>
      <c r="D167" s="347"/>
      <c r="E167" s="345" t="str">
        <f>IF(mgmt_gateway_routing_type_chosen="STATIC","Value is masked out due to Gateway Routing Type. Value is only requied if BGP is selected", "Top of Rack 2 - IP Address")</f>
        <v>Top of Rack 2 - IP Address</v>
      </c>
    </row>
    <row r="168" spans="2:5" ht="20.05" customHeight="1" x14ac:dyDescent="0.35">
      <c r="B168" s="351" t="s">
        <v>158</v>
      </c>
      <c r="C168" s="362" t="s">
        <v>159</v>
      </c>
      <c r="D168" s="337" t="str">
        <f>mgmt_en01_bfd_chosen</f>
        <v>Selected</v>
      </c>
      <c r="E168" s="345"/>
    </row>
    <row r="169" spans="2:5" ht="20.05" customHeight="1" x14ac:dyDescent="0.35">
      <c r="B169" s="351" t="s">
        <v>160</v>
      </c>
      <c r="C169" s="80">
        <v>9000</v>
      </c>
      <c r="D169" s="347"/>
      <c r="E169" s="345"/>
    </row>
    <row r="170" spans="2:5" ht="20.05" customHeight="1" x14ac:dyDescent="0.35">
      <c r="B170" s="351" t="s">
        <v>161</v>
      </c>
      <c r="C170" s="80" t="str">
        <f>IF(wld_domain_chosen="First Domain",CONCATENATE(asn_start,asn_instance,asn_mgmt_az1,1),IF(wld_nsxt_federation_result="Included",CONCATENATE(asn_start,asn_instance,asn_mgmt_az1,1),CONCATENATE(asn_start,asn_instance,asn_mgmt_az1,1)))</f>
        <v>65111</v>
      </c>
      <c r="D170" s="347"/>
      <c r="E170" s="337" t="str">
        <f>IF(mgmt_gateway_routing_type_chosen="STATIC","Value is masked out due to Gateway Routing Type. Value is only requied if BGP is selected", "Top of Rack 2 - Autonomous System ID")</f>
        <v>Top of Rack 2 - Autonomous System ID</v>
      </c>
    </row>
    <row r="171" spans="2:5" ht="20.05" customHeight="1" x14ac:dyDescent="0.35">
      <c r="B171" s="351" t="s">
        <v>162</v>
      </c>
      <c r="C171" s="80" t="s">
        <v>30</v>
      </c>
      <c r="D171" s="347"/>
      <c r="E171" s="337" t="str">
        <f>IF(mgmt_gateway_routing_type_chosen="STATIC","Value is masked out due to Gateway Routing Type. Value is only requied if BGP is selected", "Top of Rack 2 - BGP Neighbor Password")</f>
        <v>Top of Rack 2 - BGP Neighbor Password</v>
      </c>
    </row>
    <row r="172" spans="2:5" ht="20.05" customHeight="1" x14ac:dyDescent="0.35">
      <c r="B172" s="496" t="s">
        <v>166</v>
      </c>
      <c r="C172" s="497"/>
      <c r="D172" s="497"/>
      <c r="E172" s="498"/>
    </row>
    <row r="173" spans="2:5" ht="20.05" customHeight="1" x14ac:dyDescent="0.35">
      <c r="B173" s="17" t="s">
        <v>153</v>
      </c>
      <c r="C173" s="362" t="str">
        <f>sample_mgmt_az1_uplink01_vlan</f>
        <v>1117</v>
      </c>
      <c r="D173" s="343" t="str">
        <f>mgmt_az1_uplink01_vlan</f>
        <v>Value Missing</v>
      </c>
      <c r="E173" s="153" t="s">
        <v>154</v>
      </c>
    </row>
    <row r="174" spans="2:5" ht="20.05" customHeight="1" x14ac:dyDescent="0.35">
      <c r="B174" s="17" t="s">
        <v>155</v>
      </c>
      <c r="C174" s="89" t="str">
        <f>CONCATENATE(prefix_mgmt_az1_cidr,"17.3","/",INT(RIGHT(sample_mgmt_az1_uplink01_cidr,LEN(sample_mgmt_az1_uplink01_cidr)-FIND("/",sample_mgmt_az1_uplink01_cidr))))</f>
        <v>10.11.17.3/24</v>
      </c>
      <c r="D174" s="347"/>
      <c r="E174" s="337" t="s">
        <v>167</v>
      </c>
    </row>
    <row r="175" spans="2:5" ht="20.05" customHeight="1" x14ac:dyDescent="0.35">
      <c r="B175" s="17" t="s">
        <v>157</v>
      </c>
      <c r="C175" s="362" t="str">
        <f>sample_mgmt_az1_tor1_peer_ip</f>
        <v>10.11.17.10</v>
      </c>
      <c r="D175" s="343" t="str">
        <f>mgmt_az1_tor1_peer_ip</f>
        <v>Value Missing</v>
      </c>
      <c r="E175" s="337" t="s">
        <v>168</v>
      </c>
    </row>
    <row r="176" spans="2:5" ht="20.05" customHeight="1" x14ac:dyDescent="0.35">
      <c r="B176" s="17" t="s">
        <v>158</v>
      </c>
      <c r="C176" s="362" t="s">
        <v>159</v>
      </c>
      <c r="D176" s="347" t="s">
        <v>159</v>
      </c>
      <c r="E176" s="302"/>
    </row>
    <row r="177" spans="2:5" ht="20.05" customHeight="1" x14ac:dyDescent="0.35">
      <c r="B177" s="17" t="s">
        <v>160</v>
      </c>
      <c r="C177" s="362">
        <v>9000</v>
      </c>
      <c r="D177" s="337" t="str">
        <f>mgmt_az1_uplink01_mtu</f>
        <v>Value Missing</v>
      </c>
      <c r="E177" s="345"/>
    </row>
    <row r="178" spans="2:5" ht="20.05" customHeight="1" x14ac:dyDescent="0.35">
      <c r="B178" s="17" t="s">
        <v>161</v>
      </c>
      <c r="C178" s="362" t="str">
        <f>sample_mgmt_az1_tor1_peer_asn</f>
        <v>65111</v>
      </c>
      <c r="D178" s="343" t="str">
        <f>mgmt_az1_tor1_peer_asn</f>
        <v>Value Missing</v>
      </c>
      <c r="E178" s="337" t="s">
        <v>169</v>
      </c>
    </row>
    <row r="179" spans="2:5" ht="20.05" customHeight="1" x14ac:dyDescent="0.35">
      <c r="B179" s="17" t="s">
        <v>162</v>
      </c>
      <c r="C179" s="362" t="str">
        <f>sample_mgmt_az1_tor1_peer_bgp_password</f>
        <v>VMw@re1!</v>
      </c>
      <c r="D179" s="343" t="str">
        <f>mgmt_az1_tor1_peer_bgp_password</f>
        <v>Value Missing</v>
      </c>
      <c r="E179" s="337" t="s">
        <v>170</v>
      </c>
    </row>
    <row r="180" spans="2:5" ht="20.05" customHeight="1" x14ac:dyDescent="0.35">
      <c r="B180" s="17" t="s">
        <v>163</v>
      </c>
      <c r="C180" s="362" t="str">
        <f>sample_mgmt_az1_uplink02_vlan</f>
        <v>1118</v>
      </c>
      <c r="D180" s="343" t="str">
        <f>mgmt_az1_uplink02_vlan</f>
        <v>Value Missing</v>
      </c>
      <c r="E180" s="337" t="s">
        <v>164</v>
      </c>
    </row>
    <row r="181" spans="2:5" ht="20.05" customHeight="1" x14ac:dyDescent="0.35">
      <c r="B181" s="17" t="s">
        <v>155</v>
      </c>
      <c r="C181" s="89" t="str">
        <f>CONCATENATE(prefix_mgmt_az1_cidr,"18.3","/",INT(RIGHT(sample_mgmt_az1_uplink02_cidr,LEN(sample_mgmt_az1_uplink02_cidr)-FIND("/",sample_mgmt_az1_uplink02_cidr))))</f>
        <v>10.11.18.3/24</v>
      </c>
      <c r="D181" s="347"/>
      <c r="E181" s="337" t="s">
        <v>165</v>
      </c>
    </row>
    <row r="182" spans="2:5" ht="20.05" customHeight="1" x14ac:dyDescent="0.35">
      <c r="B182" s="17" t="s">
        <v>157</v>
      </c>
      <c r="C182" s="362" t="str">
        <f>sample_mgmt_az1_tor2_peer_ip</f>
        <v>10.11.18.10</v>
      </c>
      <c r="D182" s="343" t="str">
        <f>mgmt_az1_tor2_peer_ip</f>
        <v>Value Missing</v>
      </c>
      <c r="E182" s="337" t="s">
        <v>171</v>
      </c>
    </row>
    <row r="183" spans="2:5" ht="20.05" customHeight="1" x14ac:dyDescent="0.35">
      <c r="B183" s="17" t="s">
        <v>158</v>
      </c>
      <c r="C183" s="362" t="s">
        <v>159</v>
      </c>
      <c r="D183" s="337" t="str">
        <f>mgmt_en02_bfd_chosen</f>
        <v>Selected</v>
      </c>
      <c r="E183" s="302"/>
    </row>
    <row r="184" spans="2:5" ht="20.05" customHeight="1" x14ac:dyDescent="0.35">
      <c r="B184" s="17" t="s">
        <v>160</v>
      </c>
      <c r="C184" s="362">
        <v>9000</v>
      </c>
      <c r="D184" s="337" t="str">
        <f>mgmt_az1_uplink02_mtu</f>
        <v>Value Missing</v>
      </c>
      <c r="E184" s="345"/>
    </row>
    <row r="185" spans="2:5" ht="20.05" customHeight="1" x14ac:dyDescent="0.35">
      <c r="B185" s="17" t="s">
        <v>161</v>
      </c>
      <c r="C185" s="362" t="str">
        <f>sample_mgmt_az1_tor2_peer_asn</f>
        <v>65111</v>
      </c>
      <c r="D185" s="343" t="str">
        <f>mgmt_az1_tor2_peer_asn</f>
        <v>Value Missing</v>
      </c>
      <c r="E185" s="337" t="s">
        <v>172</v>
      </c>
    </row>
    <row r="186" spans="2:5" ht="20.05" customHeight="1" x14ac:dyDescent="0.35">
      <c r="B186" s="17" t="s">
        <v>162</v>
      </c>
      <c r="C186" s="362" t="str">
        <f>sample_mgmt_az1_tor2_peer_bgp_password</f>
        <v>VMw@re1!</v>
      </c>
      <c r="D186" s="343" t="str">
        <f>mgmt_az1_tor2_peer_bgp_password</f>
        <v>Value Missing</v>
      </c>
      <c r="E186" s="337" t="s">
        <v>173</v>
      </c>
    </row>
    <row r="187" spans="2:5" ht="20.05" customHeight="1" x14ac:dyDescent="0.35">
      <c r="B187" s="462" t="s">
        <v>174</v>
      </c>
      <c r="C187" s="505"/>
      <c r="D187" s="463"/>
      <c r="E187" s="464"/>
    </row>
    <row r="188" spans="2:5" ht="20.05" customHeight="1" x14ac:dyDescent="0.35">
      <c r="B188" s="4" t="s">
        <v>175</v>
      </c>
      <c r="C188" s="362" t="s">
        <v>176</v>
      </c>
      <c r="D188" s="94"/>
      <c r="E188" s="337" t="s">
        <v>177</v>
      </c>
    </row>
    <row r="189" spans="2:5" ht="20.05" customHeight="1" x14ac:dyDescent="0.35">
      <c r="B189" s="4" t="s">
        <v>178</v>
      </c>
      <c r="C189" s="362" t="s">
        <v>179</v>
      </c>
      <c r="D189" s="94"/>
      <c r="E189" s="337" t="s">
        <v>180</v>
      </c>
    </row>
    <row r="190" spans="2:5" ht="20.05" customHeight="1" x14ac:dyDescent="0.35">
      <c r="B190" s="462" t="s">
        <v>181</v>
      </c>
      <c r="C190" s="463"/>
      <c r="D190" s="463"/>
      <c r="E190" s="464"/>
    </row>
    <row r="191" spans="2:5" ht="20.05" customHeight="1" x14ac:dyDescent="0.35">
      <c r="B191" s="4" t="s">
        <v>182</v>
      </c>
      <c r="C191" s="80" t="s">
        <v>183</v>
      </c>
      <c r="D191" s="355" t="s">
        <v>183</v>
      </c>
      <c r="E191" s="4" t="str">
        <f>IF(mgmt_ec_api_chosen="Exclude","","Use the JSON Generator to create the JSON Spec - PATCH https://sfo-m01-nsx01.sfo.rainpole.io/policy/api/v1/infra")</f>
        <v>Use the JSON Generator to create the JSON Spec - PATCH https://sfo-m01-nsx01.sfo.rainpole.io/policy/api/v1/infra</v>
      </c>
    </row>
    <row r="192" spans="2:5" ht="20.05" customHeight="1" x14ac:dyDescent="0.35">
      <c r="B192" s="496" t="s">
        <v>184</v>
      </c>
      <c r="C192" s="497"/>
      <c r="D192" s="497"/>
      <c r="E192" s="498"/>
    </row>
    <row r="193" spans="2:7" ht="20.05" customHeight="1" x14ac:dyDescent="0.35">
      <c r="B193" s="4" t="s">
        <v>185</v>
      </c>
      <c r="C193" s="80" t="str">
        <f>CONCATENATE(this_instance,"-m01-cl01-vds01-pg-uplink01")</f>
        <v>sfo-m01-cl01-vds01-pg-uplink01</v>
      </c>
      <c r="D193" s="94"/>
      <c r="E193" s="33" t="s">
        <v>186</v>
      </c>
    </row>
    <row r="194" spans="2:7" ht="20.05" customHeight="1" x14ac:dyDescent="0.35">
      <c r="B194" s="4" t="s">
        <v>187</v>
      </c>
      <c r="C194" s="80" t="str">
        <f>CONCATENATE(prefix_mgmt_az1_cidr,"17.1")</f>
        <v>10.11.17.1</v>
      </c>
      <c r="D194" s="94"/>
      <c r="E194" s="32"/>
    </row>
    <row r="195" spans="2:7" ht="20.05" customHeight="1" x14ac:dyDescent="0.35">
      <c r="B195" s="4" t="s">
        <v>188</v>
      </c>
      <c r="C195" s="80" t="str">
        <f>CONCATENATE(prefix_mgmt_az1_cidr,"17.0/24")</f>
        <v>10.11.17.0/24</v>
      </c>
      <c r="D195" s="94"/>
      <c r="E195" s="32"/>
    </row>
    <row r="196" spans="2:7" ht="20.05" customHeight="1" x14ac:dyDescent="0.35">
      <c r="B196" s="496" t="s">
        <v>189</v>
      </c>
      <c r="C196" s="497"/>
      <c r="D196" s="497"/>
      <c r="E196" s="498"/>
    </row>
    <row r="197" spans="2:7" ht="20.05" customHeight="1" x14ac:dyDescent="0.35">
      <c r="B197" s="4" t="s">
        <v>185</v>
      </c>
      <c r="C197" s="80" t="str">
        <f>CONCATENATE(this_instance,"-m01-cl01-vds01-pg-uplink02")</f>
        <v>sfo-m01-cl01-vds01-pg-uplink02</v>
      </c>
      <c r="D197" s="94"/>
      <c r="E197" s="33" t="s">
        <v>190</v>
      </c>
    </row>
    <row r="198" spans="2:7" ht="20.05" customHeight="1" x14ac:dyDescent="0.35">
      <c r="B198" s="4" t="s">
        <v>187</v>
      </c>
      <c r="C198" s="80" t="str">
        <f>CONCATENATE(prefix_mgmt_az1_cidr,"18.1")</f>
        <v>10.11.18.1</v>
      </c>
      <c r="D198" s="94"/>
      <c r="E198" s="32"/>
    </row>
    <row r="199" spans="2:7" ht="20.05" customHeight="1" x14ac:dyDescent="0.35">
      <c r="B199" s="4" t="s">
        <v>188</v>
      </c>
      <c r="C199" s="80" t="str">
        <f>CONCATENATE(prefix_mgmt_az1_cidr,"18.0/24")</f>
        <v>10.11.18.0/24</v>
      </c>
      <c r="D199" s="94"/>
      <c r="E199" s="32"/>
    </row>
    <row r="200" spans="2:7" ht="20.05" customHeight="1" x14ac:dyDescent="0.35">
      <c r="B200" s="496" t="s">
        <v>191</v>
      </c>
      <c r="C200" s="497"/>
      <c r="D200" s="497"/>
      <c r="E200" s="498"/>
    </row>
    <row r="201" spans="2:7" ht="20.05" customHeight="1" x14ac:dyDescent="0.35">
      <c r="B201" s="4" t="s">
        <v>188</v>
      </c>
      <c r="C201" s="80" t="str">
        <f>CONCATENATE(prefix_mgmt_az1_cidr,"19.0/24")</f>
        <v>10.11.19.0/24</v>
      </c>
      <c r="D201" s="94"/>
      <c r="E201" s="32"/>
    </row>
    <row r="202" spans="2:7" ht="20.05" customHeight="1" x14ac:dyDescent="0.35">
      <c r="B202" s="4" t="s">
        <v>160</v>
      </c>
      <c r="C202" s="80">
        <v>9000</v>
      </c>
      <c r="D202" s="94"/>
      <c r="E202" s="32"/>
    </row>
    <row r="203" spans="2:7" ht="16" customHeight="1" x14ac:dyDescent="0.35"/>
    <row r="204" spans="2:7" ht="34" customHeight="1" x14ac:dyDescent="0.35">
      <c r="B204" s="506" t="s">
        <v>192</v>
      </c>
      <c r="C204" s="507"/>
      <c r="D204" s="507"/>
      <c r="E204" s="508"/>
      <c r="G204" s="27"/>
    </row>
    <row r="205" spans="2:7" ht="20.05" customHeight="1" x14ac:dyDescent="0.35">
      <c r="B205" s="462" t="s">
        <v>193</v>
      </c>
      <c r="C205" s="463"/>
      <c r="D205" s="463"/>
      <c r="E205" s="464"/>
    </row>
    <row r="206" spans="2:7" ht="20.05" customHeight="1" x14ac:dyDescent="0.35">
      <c r="B206" s="43" t="s">
        <v>17</v>
      </c>
      <c r="C206" s="346" t="s">
        <v>18</v>
      </c>
      <c r="D206" s="346" t="s">
        <v>19</v>
      </c>
      <c r="E206" s="346" t="s">
        <v>20</v>
      </c>
    </row>
    <row r="207" spans="2:7" ht="20.05" customHeight="1" x14ac:dyDescent="0.35">
      <c r="B207" s="462" t="s">
        <v>194</v>
      </c>
      <c r="C207" s="463"/>
      <c r="D207" s="463"/>
      <c r="E207" s="464"/>
      <c r="G207" s="27"/>
    </row>
    <row r="208" spans="2:7" ht="20.05" customHeight="1" x14ac:dyDescent="0.35">
      <c r="B208" s="4" t="s">
        <v>195</v>
      </c>
      <c r="C208" s="362" t="s">
        <v>196</v>
      </c>
      <c r="D208" s="347"/>
      <c r="E208" s="4"/>
    </row>
    <row r="209" spans="2:7" ht="20.05" customHeight="1" x14ac:dyDescent="0.35">
      <c r="B209" s="462" t="s">
        <v>197</v>
      </c>
      <c r="C209" s="505"/>
      <c r="D209" s="463"/>
      <c r="E209" s="464"/>
    </row>
    <row r="210" spans="2:7" ht="20.05" customHeight="1" x14ac:dyDescent="0.35">
      <c r="B210" s="4" t="s">
        <v>88</v>
      </c>
      <c r="C210" s="362" t="s">
        <v>93</v>
      </c>
      <c r="D210" s="337" t="s">
        <v>93</v>
      </c>
      <c r="E210" s="4"/>
    </row>
    <row r="211" spans="2:7" ht="20.05" customHeight="1" x14ac:dyDescent="0.35">
      <c r="B211" s="462" t="s">
        <v>198</v>
      </c>
      <c r="C211" s="505"/>
      <c r="D211" s="463"/>
      <c r="E211" s="464"/>
    </row>
    <row r="212" spans="2:7" ht="20.05" customHeight="1" x14ac:dyDescent="0.35">
      <c r="B212" s="4" t="s">
        <v>199</v>
      </c>
      <c r="C212" s="362" t="s">
        <v>141</v>
      </c>
      <c r="D212" s="347"/>
      <c r="E212" s="337" t="s">
        <v>200</v>
      </c>
      <c r="G212" s="27"/>
    </row>
    <row r="213" spans="2:7" ht="20.05" customHeight="1" x14ac:dyDescent="0.35">
      <c r="B213" s="4" t="s">
        <v>201</v>
      </c>
      <c r="C213" s="89" t="str">
        <f>IF(mgmt_dpg_reuse_result="Included",CONCATENATE(prefix_mgmt_az1_cidr,"10.92"),CONCATENATE(prefix_mgmt_az1_cidr,"11.92"))</f>
        <v>10.11.10.92</v>
      </c>
      <c r="D213" s="129"/>
      <c r="E213" s="337" t="s">
        <v>202</v>
      </c>
    </row>
    <row r="214" spans="2:7" ht="20.05" customHeight="1" x14ac:dyDescent="0.35">
      <c r="B214" s="4" t="s">
        <v>203</v>
      </c>
      <c r="C214" s="89" t="str">
        <f>IF(mgmt_dpg_reuse_result="Included",CONCATENATE(prefix_mgmt_az1_cidr,"10.93"),CONCATENATE(prefix_mgmt_az1_cidr,"11.93"))</f>
        <v>10.11.10.93</v>
      </c>
      <c r="D214" s="129"/>
      <c r="E214" s="337" t="s">
        <v>204</v>
      </c>
    </row>
    <row r="215" spans="2:7" ht="20.05" customHeight="1" x14ac:dyDescent="0.35">
      <c r="B215" s="4" t="s">
        <v>205</v>
      </c>
      <c r="C215" s="89" t="str">
        <f>IF(mgmt_dpg_reuse_result="Included",CONCATENATE(prefix_mgmt_az1_cidr,"10.94"),CONCATENATE(prefix_mgmt_az1_cidr,"11.94"))</f>
        <v>10.11.10.94</v>
      </c>
      <c r="D215" s="129"/>
      <c r="E215" s="337" t="s">
        <v>206</v>
      </c>
    </row>
    <row r="216" spans="2:7" ht="20.05" customHeight="1" x14ac:dyDescent="0.35">
      <c r="B216" s="4" t="s">
        <v>207</v>
      </c>
      <c r="C216" s="89" t="str">
        <f>IF(mgmt_dpg_reuse_result="Included",CONCATENATE(prefix_mgmt_az1_cidr,"10.91"),CONCATENATE(prefix_mgmt_az1_cidr,"11.91"))</f>
        <v>10.11.10.91</v>
      </c>
      <c r="D216" s="129"/>
      <c r="E216" s="337" t="s">
        <v>208</v>
      </c>
    </row>
    <row r="217" spans="2:7" ht="20.05" customHeight="1" x14ac:dyDescent="0.35">
      <c r="B217" s="4" t="s">
        <v>209</v>
      </c>
      <c r="C217" s="362" t="str">
        <f>CONCATENATE(this_instance,"-m01-avilb01",".",sample_child_dns_zone)</f>
        <v>sfo-m01-avilb01.sfo.rainpole.io</v>
      </c>
      <c r="D217" s="347"/>
      <c r="E217" s="4"/>
    </row>
    <row r="218" spans="2:7" ht="20.05" customHeight="1" x14ac:dyDescent="0.35">
      <c r="B218" s="4" t="s">
        <v>210</v>
      </c>
      <c r="C218" s="362" t="str">
        <f>CONCATENATE(this_instance,"-m01-cl01-avilb01")</f>
        <v>sfo-m01-cl01-avilb01</v>
      </c>
      <c r="D218" s="347"/>
      <c r="E218" s="4"/>
    </row>
    <row r="219" spans="2:7" ht="16" customHeight="1" x14ac:dyDescent="0.35"/>
    <row r="220" spans="2:7" ht="34" customHeight="1" x14ac:dyDescent="0.35">
      <c r="B220" s="506" t="s">
        <v>211</v>
      </c>
      <c r="C220" s="507"/>
      <c r="D220" s="507"/>
      <c r="E220" s="508"/>
      <c r="G220" s="27"/>
    </row>
    <row r="221" spans="2:7" ht="16" customHeight="1" x14ac:dyDescent="0.35">
      <c r="G221" s="27"/>
    </row>
    <row r="222" spans="2:7" ht="34" customHeight="1" x14ac:dyDescent="0.35">
      <c r="B222" s="509" t="s">
        <v>212</v>
      </c>
      <c r="C222" s="510"/>
      <c r="D222" s="510"/>
      <c r="E222" s="511"/>
    </row>
    <row r="223" spans="2:7" ht="20.05" customHeight="1" x14ac:dyDescent="0.35">
      <c r="B223" s="43" t="s">
        <v>17</v>
      </c>
      <c r="C223" s="346" t="s">
        <v>18</v>
      </c>
      <c r="D223" s="346" t="s">
        <v>19</v>
      </c>
      <c r="E223" s="346" t="s">
        <v>20</v>
      </c>
    </row>
    <row r="224" spans="2:7" ht="20.05" customHeight="1" x14ac:dyDescent="0.35">
      <c r="B224" s="496" t="s">
        <v>213</v>
      </c>
      <c r="C224" s="497"/>
      <c r="D224" s="497"/>
      <c r="E224" s="498"/>
    </row>
    <row r="225" spans="2:5" ht="20.05" customHeight="1" x14ac:dyDescent="0.35">
      <c r="B225" s="4" t="s">
        <v>85</v>
      </c>
      <c r="C225" s="80" t="str">
        <f>CONCATENATE(prefix_mgmt_az2_vlan,"11")</f>
        <v>1211</v>
      </c>
      <c r="D225" s="347"/>
      <c r="E225" s="93"/>
    </row>
    <row r="226" spans="2:5" ht="20.05" customHeight="1" x14ac:dyDescent="0.35">
      <c r="B226" s="4" t="s">
        <v>187</v>
      </c>
      <c r="C226" s="80" t="str">
        <f>CONCATENATE(prefix_mgmt_az2_cidr,"11.1")</f>
        <v>10.12.11.1</v>
      </c>
      <c r="D226" s="347"/>
      <c r="E226" s="32"/>
    </row>
    <row r="227" spans="2:5" ht="20.05" customHeight="1" x14ac:dyDescent="0.35">
      <c r="B227" s="4" t="s">
        <v>188</v>
      </c>
      <c r="C227" s="80" t="str">
        <f>CONCATENATE(prefix_mgmt_az2_cidr,"11.0/24")</f>
        <v>10.12.11.0/24</v>
      </c>
      <c r="D227" s="347"/>
      <c r="E227" s="32"/>
    </row>
    <row r="228" spans="2:5" ht="20.05" customHeight="1" x14ac:dyDescent="0.35">
      <c r="B228" s="4" t="s">
        <v>160</v>
      </c>
      <c r="C228" s="80">
        <v>1500</v>
      </c>
      <c r="D228" s="347"/>
      <c r="E228" s="32"/>
    </row>
    <row r="229" spans="2:5" ht="20.05" customHeight="1" x14ac:dyDescent="0.35">
      <c r="B229" s="512" t="s">
        <v>214</v>
      </c>
      <c r="C229" s="513"/>
      <c r="D229" s="513"/>
      <c r="E229" s="514"/>
    </row>
    <row r="230" spans="2:5" ht="20.05" customHeight="1" x14ac:dyDescent="0.35">
      <c r="B230" s="17" t="s">
        <v>215</v>
      </c>
      <c r="C230" s="131" t="str">
        <f>CONCATENATE(prefix_mgmt_az2_cidr,"11.101")</f>
        <v>10.12.11.101</v>
      </c>
      <c r="D230" s="347"/>
      <c r="E230" s="132" t="s">
        <v>216</v>
      </c>
    </row>
    <row r="231" spans="2:5" ht="20.05" customHeight="1" x14ac:dyDescent="0.35">
      <c r="B231" s="17" t="s">
        <v>217</v>
      </c>
      <c r="C231" s="131" t="str">
        <f>CONCATENATE(prefix_mgmt_az2_cidr,"11.102")</f>
        <v>10.12.11.102</v>
      </c>
      <c r="D231" s="347"/>
      <c r="E231" s="132" t="s">
        <v>218</v>
      </c>
    </row>
    <row r="232" spans="2:5" ht="20.05" customHeight="1" x14ac:dyDescent="0.35">
      <c r="B232" s="17" t="s">
        <v>219</v>
      </c>
      <c r="C232" s="131" t="str">
        <f>CONCATENATE(prefix_mgmt_az2_cidr,"11.103")</f>
        <v>10.12.11.103</v>
      </c>
      <c r="D232" s="347"/>
      <c r="E232" s="132" t="s">
        <v>220</v>
      </c>
    </row>
    <row r="233" spans="2:5" ht="20.05" customHeight="1" x14ac:dyDescent="0.35">
      <c r="B233" s="17" t="s">
        <v>221</v>
      </c>
      <c r="C233" s="131" t="str">
        <f>CONCATENATE(prefix_mgmt_az2_cidr,"11.104")</f>
        <v>10.12.11.104</v>
      </c>
      <c r="D233" s="347"/>
      <c r="E233" s="132" t="s">
        <v>222</v>
      </c>
    </row>
    <row r="234" spans="2:5" ht="20.05" customHeight="1" x14ac:dyDescent="0.35">
      <c r="B234" s="17" t="s">
        <v>223</v>
      </c>
      <c r="C234" s="131" t="str">
        <f>CONCATENATE(prefix_mgmt_az2_cidr,"11.105")</f>
        <v>10.12.11.105</v>
      </c>
      <c r="D234" s="347"/>
      <c r="E234" s="132" t="s">
        <v>224</v>
      </c>
    </row>
    <row r="235" spans="2:5" ht="20.05" customHeight="1" x14ac:dyDescent="0.35">
      <c r="B235" s="17" t="s">
        <v>225</v>
      </c>
      <c r="C235" s="131" t="str">
        <f>CONCATENATE(prefix_mgmt_az2_cidr,"11.106")</f>
        <v>10.12.11.106</v>
      </c>
      <c r="D235" s="347"/>
      <c r="E235" s="132" t="s">
        <v>226</v>
      </c>
    </row>
    <row r="236" spans="2:5" ht="20.05" customHeight="1" x14ac:dyDescent="0.35">
      <c r="B236" s="17" t="s">
        <v>227</v>
      </c>
      <c r="C236" s="131" t="str">
        <f>CONCATENATE(prefix_mgmt_az2_cidr,"11.107")</f>
        <v>10.12.11.107</v>
      </c>
      <c r="D236" s="347"/>
      <c r="E236" s="132" t="s">
        <v>228</v>
      </c>
    </row>
    <row r="237" spans="2:5" ht="20.05" customHeight="1" x14ac:dyDescent="0.35">
      <c r="B237" s="17" t="s">
        <v>229</v>
      </c>
      <c r="C237" s="131" t="str">
        <f>CONCATENATE(prefix_mgmt_az2_cidr,"11.108")</f>
        <v>10.12.11.108</v>
      </c>
      <c r="D237" s="347"/>
      <c r="E237" s="132" t="s">
        <v>230</v>
      </c>
    </row>
    <row r="238" spans="2:5" ht="20.05" customHeight="1" x14ac:dyDescent="0.35">
      <c r="B238" s="17" t="s">
        <v>231</v>
      </c>
      <c r="C238" s="131" t="str">
        <f>CONCATENATE(prefix_mgmt_az2_cidr,"11.109")</f>
        <v>10.12.11.109</v>
      </c>
      <c r="D238" s="347"/>
      <c r="E238" s="132" t="s">
        <v>232</v>
      </c>
    </row>
    <row r="239" spans="2:5" ht="20.05" customHeight="1" x14ac:dyDescent="0.35">
      <c r="B239" s="17" t="s">
        <v>233</v>
      </c>
      <c r="C239" s="131" t="str">
        <f>CONCATENATE(prefix_mgmt_az2_cidr,"11.110")</f>
        <v>10.12.11.110</v>
      </c>
      <c r="D239" s="347"/>
      <c r="E239" s="132" t="s">
        <v>234</v>
      </c>
    </row>
    <row r="240" spans="2:5" ht="20.05" customHeight="1" x14ac:dyDescent="0.35">
      <c r="B240" s="17" t="s">
        <v>235</v>
      </c>
      <c r="C240" s="131" t="str">
        <f>CONCATENATE(prefix_mgmt_az2_cidr,"11.111")</f>
        <v>10.12.11.111</v>
      </c>
      <c r="D240" s="347"/>
      <c r="E240" s="132" t="s">
        <v>236</v>
      </c>
    </row>
    <row r="241" spans="2:7" ht="20.05" customHeight="1" x14ac:dyDescent="0.35">
      <c r="B241" s="17" t="s">
        <v>237</v>
      </c>
      <c r="C241" s="131" t="str">
        <f>CONCATENATE(prefix_mgmt_az2_cidr,"11.112")</f>
        <v>10.12.11.112</v>
      </c>
      <c r="D241" s="347"/>
      <c r="E241" s="132" t="s">
        <v>238</v>
      </c>
    </row>
    <row r="242" spans="2:7" ht="20.05" customHeight="1" x14ac:dyDescent="0.35">
      <c r="B242" s="17" t="s">
        <v>239</v>
      </c>
      <c r="C242" s="131" t="str">
        <f>CONCATENATE(prefix_mgmt_az2_cidr,"11.113")</f>
        <v>10.12.11.113</v>
      </c>
      <c r="D242" s="347"/>
      <c r="E242" s="132" t="s">
        <v>240</v>
      </c>
    </row>
    <row r="243" spans="2:7" ht="20.05" customHeight="1" x14ac:dyDescent="0.35">
      <c r="B243" s="17" t="s">
        <v>241</v>
      </c>
      <c r="C243" s="131" t="str">
        <f>CONCATENATE(prefix_mgmt_az2_cidr,"11.114")</f>
        <v>10.12.11.114</v>
      </c>
      <c r="D243" s="347"/>
      <c r="E243" s="132" t="s">
        <v>242</v>
      </c>
    </row>
    <row r="244" spans="2:7" ht="20.05" customHeight="1" x14ac:dyDescent="0.35">
      <c r="B244" s="17" t="s">
        <v>243</v>
      </c>
      <c r="C244" s="131" t="str">
        <f>CONCATENATE(prefix_mgmt_az2_cidr,"11.115")</f>
        <v>10.12.11.115</v>
      </c>
      <c r="D244" s="347"/>
      <c r="E244" s="132" t="s">
        <v>244</v>
      </c>
    </row>
    <row r="245" spans="2:7" ht="20.05" customHeight="1" x14ac:dyDescent="0.35">
      <c r="B245" s="17" t="s">
        <v>245</v>
      </c>
      <c r="C245" s="131" t="str">
        <f>CONCATENATE(prefix_mgmt_az2_cidr,"11.116")</f>
        <v>10.12.11.116</v>
      </c>
      <c r="D245" s="347"/>
      <c r="E245" s="132" t="s">
        <v>246</v>
      </c>
    </row>
    <row r="246" spans="2:7" ht="16" customHeight="1" x14ac:dyDescent="0.35">
      <c r="G246" s="27"/>
    </row>
    <row r="247" spans="2:7" ht="34" customHeight="1" x14ac:dyDescent="0.35">
      <c r="B247" s="509" t="s">
        <v>247</v>
      </c>
      <c r="C247" s="510"/>
      <c r="D247" s="510"/>
      <c r="E247" s="511"/>
    </row>
    <row r="248" spans="2:7" ht="20.05" customHeight="1" x14ac:dyDescent="0.35">
      <c r="B248" s="43" t="s">
        <v>17</v>
      </c>
      <c r="C248" s="346" t="s">
        <v>18</v>
      </c>
      <c r="D248" s="346" t="s">
        <v>19</v>
      </c>
      <c r="E248" s="346" t="s">
        <v>20</v>
      </c>
    </row>
    <row r="249" spans="2:7" ht="20.05" customHeight="1" x14ac:dyDescent="0.35">
      <c r="B249" s="4" t="s">
        <v>248</v>
      </c>
      <c r="C249" s="362" t="s">
        <v>249</v>
      </c>
      <c r="D249" s="127" t="s">
        <v>249</v>
      </c>
      <c r="E249" s="337" t="str">
        <f>IF(mgmt_az2_reuse_vcf_networkpool_chosen="Re-use an existing VCF Network Pool","An exisiting VCF Network Pool will be reused","A new VCF Network Pool will be created")</f>
        <v>A new VCF Network Pool will be created</v>
      </c>
    </row>
    <row r="250" spans="2:7" ht="20.05" customHeight="1" x14ac:dyDescent="0.35">
      <c r="B250" s="17" t="s">
        <v>250</v>
      </c>
      <c r="C250" s="133" t="str">
        <f>CONCATENATE(this_instance,"02-m01-r01-network-pool-01")</f>
        <v>sfo02-m01-r01-network-pool-01</v>
      </c>
      <c r="D250" s="134"/>
      <c r="E250" s="32"/>
    </row>
    <row r="251" spans="2:7" ht="20.05" customHeight="1" x14ac:dyDescent="0.35">
      <c r="B251" s="496" t="s">
        <v>251</v>
      </c>
      <c r="C251" s="497"/>
      <c r="D251" s="497"/>
      <c r="E251" s="498"/>
    </row>
    <row r="252" spans="2:7" ht="20.05" customHeight="1" x14ac:dyDescent="0.35">
      <c r="B252" s="4" t="s">
        <v>85</v>
      </c>
      <c r="C252" s="80" t="str">
        <f>CONCATENATE(prefix_mgmt_az2_vlan,"12")</f>
        <v>1212</v>
      </c>
      <c r="D252" s="347"/>
      <c r="E252" s="143" t="str">
        <f>IF(mgmt_az2_reuse_vcf_networkpool_chosen="Re-use an existing VCF Network Pool", "Inputs are masked out as existing VCF Network Pool will be used","")</f>
        <v/>
      </c>
    </row>
    <row r="253" spans="2:7" ht="20.05" customHeight="1" x14ac:dyDescent="0.35">
      <c r="B253" s="4" t="s">
        <v>160</v>
      </c>
      <c r="C253" s="80">
        <v>9000</v>
      </c>
      <c r="D253" s="347"/>
      <c r="E253" s="32"/>
    </row>
    <row r="254" spans="2:7" ht="20.05" customHeight="1" x14ac:dyDescent="0.35">
      <c r="B254" s="4" t="s">
        <v>252</v>
      </c>
      <c r="C254" s="80" t="str">
        <f>CONCATENATE(prefix_mgmt_az2_cidr,"12.0")</f>
        <v>10.12.12.0</v>
      </c>
      <c r="D254" s="347"/>
      <c r="E254" s="32"/>
    </row>
    <row r="255" spans="2:7" ht="20.05" customHeight="1" x14ac:dyDescent="0.35">
      <c r="B255" s="4" t="s">
        <v>253</v>
      </c>
      <c r="C255" s="80" t="s">
        <v>128</v>
      </c>
      <c r="D255" s="347"/>
      <c r="E255" s="32"/>
    </row>
    <row r="256" spans="2:7" ht="20.05" customHeight="1" x14ac:dyDescent="0.35">
      <c r="B256" s="4" t="s">
        <v>254</v>
      </c>
      <c r="C256" s="80" t="str">
        <f>CONCATENATE(prefix_mgmt_az2_cidr,"12.1")</f>
        <v>10.12.12.1</v>
      </c>
      <c r="D256" s="347"/>
      <c r="E256" s="32"/>
    </row>
    <row r="257" spans="2:5" ht="20.05" customHeight="1" x14ac:dyDescent="0.35">
      <c r="B257" s="17" t="s">
        <v>255</v>
      </c>
      <c r="C257" s="80" t="str">
        <f>CONCATENATE(prefix_mgmt_az2_cidr,"12.101")</f>
        <v>10.12.12.101</v>
      </c>
      <c r="D257" s="347"/>
      <c r="E257" s="32"/>
    </row>
    <row r="258" spans="2:5" ht="20.05" customHeight="1" x14ac:dyDescent="0.35">
      <c r="B258" s="17" t="s">
        <v>256</v>
      </c>
      <c r="C258" s="80" t="str">
        <f>CONCATENATE(prefix_mgmt_az2_cidr,"12.116")</f>
        <v>10.12.12.116</v>
      </c>
      <c r="D258" s="347"/>
      <c r="E258" s="32"/>
    </row>
    <row r="259" spans="2:5" ht="20.05" customHeight="1" x14ac:dyDescent="0.35">
      <c r="B259" s="496" t="s">
        <v>257</v>
      </c>
      <c r="C259" s="497"/>
      <c r="D259" s="497"/>
      <c r="E259" s="498"/>
    </row>
    <row r="260" spans="2:5" ht="20.05" customHeight="1" x14ac:dyDescent="0.35">
      <c r="B260" s="4" t="s">
        <v>85</v>
      </c>
      <c r="C260" s="80" t="str">
        <f>CONCATENATE(prefix_mgmt_az2_vlan,"13")</f>
        <v>1213</v>
      </c>
      <c r="D260" s="347"/>
      <c r="E260" s="33" t="str">
        <f>IF(mgmt_az2_reuse_vcf_networkpool_chosen="Re-use an existing VCF Network Pool", "Inputs are masked out as existing VCF Network Pool will be used","")</f>
        <v/>
      </c>
    </row>
    <row r="261" spans="2:5" ht="20.05" customHeight="1" x14ac:dyDescent="0.35">
      <c r="B261" s="4" t="s">
        <v>160</v>
      </c>
      <c r="C261" s="80">
        <v>9000</v>
      </c>
      <c r="D261" s="347"/>
      <c r="E261" s="32"/>
    </row>
    <row r="262" spans="2:5" ht="20.05" customHeight="1" x14ac:dyDescent="0.35">
      <c r="B262" s="4" t="s">
        <v>252</v>
      </c>
      <c r="C262" s="80" t="str">
        <f>CONCATENATE(prefix_mgmt_az2_cidr,"13.0")</f>
        <v>10.12.13.0</v>
      </c>
      <c r="D262" s="347"/>
      <c r="E262" s="56"/>
    </row>
    <row r="263" spans="2:5" ht="20.05" customHeight="1" x14ac:dyDescent="0.35">
      <c r="B263" s="4" t="s">
        <v>253</v>
      </c>
      <c r="C263" s="80" t="s">
        <v>128</v>
      </c>
      <c r="D263" s="347"/>
      <c r="E263" s="56"/>
    </row>
    <row r="264" spans="2:5" ht="20.05" customHeight="1" x14ac:dyDescent="0.35">
      <c r="B264" s="4" t="s">
        <v>254</v>
      </c>
      <c r="C264" s="80" t="str">
        <f>CONCATENATE(prefix_mgmt_az2_cidr,"13.1")</f>
        <v>10.12.13.1</v>
      </c>
      <c r="D264" s="347"/>
      <c r="E264" s="32" t="str">
        <f>IF(AND(mgmt_stretched_cluster_result="Included",mgmt_dpg_reuse_result="Excluded"),"Stretched L2","")</f>
        <v/>
      </c>
    </row>
    <row r="265" spans="2:5" ht="20.05" customHeight="1" x14ac:dyDescent="0.35">
      <c r="B265" s="17" t="s">
        <v>255</v>
      </c>
      <c r="C265" s="80" t="str">
        <f>CONCATENATE(prefix_mgmt_az2_cidr,"13.101")</f>
        <v>10.12.13.101</v>
      </c>
      <c r="D265" s="347"/>
      <c r="E265" s="56"/>
    </row>
    <row r="266" spans="2:5" ht="20.05" customHeight="1" x14ac:dyDescent="0.35">
      <c r="B266" s="17" t="s">
        <v>256</v>
      </c>
      <c r="C266" s="80" t="str">
        <f>CONCATENATE(prefix_mgmt_az2_cidr,"13.116")</f>
        <v>10.12.13.116</v>
      </c>
      <c r="D266" s="347"/>
      <c r="E266" s="56"/>
    </row>
    <row r="267" spans="2:5" ht="20.05" customHeight="1" x14ac:dyDescent="0.35">
      <c r="B267" s="496" t="s">
        <v>258</v>
      </c>
      <c r="C267" s="497"/>
      <c r="D267" s="497"/>
      <c r="E267" s="498"/>
    </row>
    <row r="268" spans="2:5" ht="20.05" customHeight="1" x14ac:dyDescent="0.35">
      <c r="B268" s="4" t="s">
        <v>85</v>
      </c>
      <c r="C268" s="135" t="str">
        <f>CONCATENATE(prefix_mgmt_az2_vlan,"15")</f>
        <v>1215</v>
      </c>
      <c r="D268" s="347"/>
      <c r="E268" s="33" t="str">
        <f>IF(mgmt_az2_reuse_vcf_networkpool_chosen="Re-use an existing VCF Network Pool", "Inputs are masked out as existing VCF Network Pool will be used",IF(mgmt_principal_storage_chosen&lt;&gt;"NFSv3","Input is masked out and only required if configuring NFS Storage",""))</f>
        <v>Input is masked out and only required if configuring NFS Storage</v>
      </c>
    </row>
    <row r="269" spans="2:5" ht="20.05" customHeight="1" x14ac:dyDescent="0.35">
      <c r="B269" s="4" t="s">
        <v>160</v>
      </c>
      <c r="C269" s="136">
        <v>9000</v>
      </c>
      <c r="D269" s="347"/>
      <c r="E269" s="32"/>
    </row>
    <row r="270" spans="2:5" ht="20.05" customHeight="1" x14ac:dyDescent="0.35">
      <c r="B270" s="4" t="s">
        <v>252</v>
      </c>
      <c r="C270" s="136" t="str">
        <f>CONCATENATE(prefix_mgmt_az2_cidr,"15.0")</f>
        <v>10.12.15.0</v>
      </c>
      <c r="D270" s="347"/>
      <c r="E270" s="56"/>
    </row>
    <row r="271" spans="2:5" ht="20.05" customHeight="1" x14ac:dyDescent="0.35">
      <c r="B271" s="4" t="s">
        <v>253</v>
      </c>
      <c r="C271" s="136" t="s">
        <v>128</v>
      </c>
      <c r="D271" s="347"/>
      <c r="E271" s="56"/>
    </row>
    <row r="272" spans="2:5" ht="20.05" customHeight="1" x14ac:dyDescent="0.35">
      <c r="B272" s="4" t="s">
        <v>254</v>
      </c>
      <c r="C272" s="136" t="str">
        <f>CONCATENATE(prefix_mgmt_az2_cidr,"15.1")</f>
        <v>10.12.15.1</v>
      </c>
      <c r="D272" s="347"/>
      <c r="E272" s="32" t="str">
        <f>IF(AND(mgmt_stretched_cluster_result="Included",mgmt_dpg_reuse_result="Excluded"),"Stretched L2","")</f>
        <v/>
      </c>
    </row>
    <row r="273" spans="2:5" ht="20.05" customHeight="1" x14ac:dyDescent="0.35">
      <c r="B273" s="17" t="s">
        <v>255</v>
      </c>
      <c r="C273" s="136" t="str">
        <f>CONCATENATE(prefix_mgmt_az2_cidr,"15.101")</f>
        <v>10.12.15.101</v>
      </c>
      <c r="D273" s="347"/>
      <c r="E273" s="56"/>
    </row>
    <row r="274" spans="2:5" ht="20.05" customHeight="1" x14ac:dyDescent="0.35">
      <c r="B274" s="17" t="s">
        <v>256</v>
      </c>
      <c r="C274" s="136" t="str">
        <f>CONCATENATE(prefix_mgmt_az2_cidr,"15.116")</f>
        <v>10.12.15.116</v>
      </c>
      <c r="D274" s="347"/>
      <c r="E274" s="56"/>
    </row>
    <row r="275" spans="2:5" ht="16" customHeight="1" x14ac:dyDescent="0.35"/>
    <row r="276" spans="2:5" ht="34" customHeight="1" x14ac:dyDescent="0.35">
      <c r="B276" s="509" t="s">
        <v>259</v>
      </c>
      <c r="C276" s="510"/>
      <c r="D276" s="510"/>
      <c r="E276" s="511"/>
    </row>
    <row r="277" spans="2:5" ht="20.05" customHeight="1" x14ac:dyDescent="0.35">
      <c r="B277" s="518" t="s">
        <v>260</v>
      </c>
      <c r="C277" s="519"/>
      <c r="D277" s="519"/>
      <c r="E277" s="520"/>
    </row>
    <row r="278" spans="2:5" ht="20.05" customHeight="1" x14ac:dyDescent="0.35">
      <c r="B278" s="43" t="s">
        <v>261</v>
      </c>
      <c r="C278" s="43" t="s">
        <v>262</v>
      </c>
      <c r="D278" s="130" t="s">
        <v>19</v>
      </c>
      <c r="E278" s="43" t="s">
        <v>263</v>
      </c>
    </row>
    <row r="279" spans="2:5" ht="20.05" customHeight="1" x14ac:dyDescent="0.35">
      <c r="B279" s="17" t="s">
        <v>215</v>
      </c>
      <c r="C279" s="89" t="str">
        <f>CONCATENATE(this_instance,"02-m01-r01-esx01",".",sample_child_dns_zone)</f>
        <v>sfo02-m01-r01-esx01.sfo.rainpole.io</v>
      </c>
      <c r="D279" s="347"/>
      <c r="E279" s="32"/>
    </row>
    <row r="280" spans="2:5" ht="20.05" customHeight="1" x14ac:dyDescent="0.35">
      <c r="B280" s="17" t="s">
        <v>217</v>
      </c>
      <c r="C280" s="89" t="str">
        <f>CONCATENATE(this_instance,"02-m01-r01-esx02",".",sample_child_dns_zone)</f>
        <v>sfo02-m01-r01-esx02.sfo.rainpole.io</v>
      </c>
      <c r="D280" s="347"/>
      <c r="E280" s="32"/>
    </row>
    <row r="281" spans="2:5" ht="20.05" customHeight="1" x14ac:dyDescent="0.35">
      <c r="B281" s="17" t="s">
        <v>219</v>
      </c>
      <c r="C281" s="89" t="str">
        <f>CONCATENATE(this_instance,"02-m01-r01-esx03",".",sample_child_dns_zone)</f>
        <v>sfo02-m01-r01-esx03.sfo.rainpole.io</v>
      </c>
      <c r="D281" s="347"/>
      <c r="E281" s="32"/>
    </row>
    <row r="282" spans="2:5" ht="20.05" customHeight="1" x14ac:dyDescent="0.35">
      <c r="B282" s="17" t="s">
        <v>221</v>
      </c>
      <c r="C282" s="89" t="str">
        <f>CONCATENATE(this_instance,"02-m01-r01-esx04",".",sample_child_dns_zone)</f>
        <v>sfo02-m01-r01-esx04.sfo.rainpole.io</v>
      </c>
      <c r="D282" s="347"/>
      <c r="E282" s="32"/>
    </row>
    <row r="283" spans="2:5" ht="20.05" customHeight="1" x14ac:dyDescent="0.35">
      <c r="B283" s="17" t="s">
        <v>223</v>
      </c>
      <c r="C283" s="89" t="str">
        <f>CONCATENATE(this_instance,"02-m01-r01-esx05",".",sample_child_dns_zone)</f>
        <v>sfo02-m01-r01-esx05.sfo.rainpole.io</v>
      </c>
      <c r="D283" s="347"/>
      <c r="E283" s="32"/>
    </row>
    <row r="284" spans="2:5" ht="20.05" customHeight="1" x14ac:dyDescent="0.35">
      <c r="B284" s="17" t="s">
        <v>225</v>
      </c>
      <c r="C284" s="89" t="str">
        <f>CONCATENATE(this_instance,"02-m01-r01-esx06",".",sample_child_dns_zone)</f>
        <v>sfo02-m01-r01-esx06.sfo.rainpole.io</v>
      </c>
      <c r="D284" s="347"/>
      <c r="E284" s="32"/>
    </row>
    <row r="285" spans="2:5" ht="20.05" customHeight="1" x14ac:dyDescent="0.35">
      <c r="B285" s="17" t="s">
        <v>227</v>
      </c>
      <c r="C285" s="89" t="str">
        <f>CONCATENATE(this_instance,"02-m01-r01-esx07",".",sample_child_dns_zone)</f>
        <v>sfo02-m01-r01-esx07.sfo.rainpole.io</v>
      </c>
      <c r="D285" s="347"/>
      <c r="E285" s="32"/>
    </row>
    <row r="286" spans="2:5" ht="20.05" customHeight="1" x14ac:dyDescent="0.35">
      <c r="B286" s="17" t="s">
        <v>229</v>
      </c>
      <c r="C286" s="89" t="str">
        <f>CONCATENATE(this_instance,"02-m01-r01-esx08",".",sample_child_dns_zone)</f>
        <v>sfo02-m01-r01-esx08.sfo.rainpole.io</v>
      </c>
      <c r="D286" s="347"/>
      <c r="E286" s="32"/>
    </row>
    <row r="287" spans="2:5" ht="20.05" customHeight="1" x14ac:dyDescent="0.35">
      <c r="B287" s="17" t="s">
        <v>231</v>
      </c>
      <c r="C287" s="89" t="str">
        <f>CONCATENATE(this_instance,"02-m01-r01-esx09",".",sample_child_dns_zone)</f>
        <v>sfo02-m01-r01-esx09.sfo.rainpole.io</v>
      </c>
      <c r="D287" s="347"/>
      <c r="E287" s="32"/>
    </row>
    <row r="288" spans="2:5" ht="20.05" customHeight="1" x14ac:dyDescent="0.35">
      <c r="B288" s="17" t="s">
        <v>233</v>
      </c>
      <c r="C288" s="89" t="str">
        <f>CONCATENATE(this_instance,"02-m01-r01-esx10",".",sample_child_dns_zone)</f>
        <v>sfo02-m01-r01-esx10.sfo.rainpole.io</v>
      </c>
      <c r="D288" s="347"/>
      <c r="E288" s="32"/>
    </row>
    <row r="289" spans="2:5" ht="20.05" customHeight="1" x14ac:dyDescent="0.35">
      <c r="B289" s="17" t="s">
        <v>235</v>
      </c>
      <c r="C289" s="89" t="str">
        <f>CONCATENATE(this_instance,"02-m01-r01-esx11",".",sample_child_dns_zone)</f>
        <v>sfo02-m01-r01-esx11.sfo.rainpole.io</v>
      </c>
      <c r="D289" s="347"/>
      <c r="E289" s="32"/>
    </row>
    <row r="290" spans="2:5" ht="20.05" customHeight="1" x14ac:dyDescent="0.35">
      <c r="B290" s="17" t="s">
        <v>237</v>
      </c>
      <c r="C290" s="89" t="str">
        <f>CONCATENATE(this_instance,"02-m01-r01-esx12",".",sample_child_dns_zone)</f>
        <v>sfo02-m01-r01-esx12.sfo.rainpole.io</v>
      </c>
      <c r="D290" s="347"/>
      <c r="E290" s="32"/>
    </row>
    <row r="291" spans="2:5" ht="20.05" customHeight="1" x14ac:dyDescent="0.35">
      <c r="B291" s="17" t="s">
        <v>239</v>
      </c>
      <c r="C291" s="89" t="str">
        <f>CONCATENATE(this_instance,"02-m01-r01-esx13",".",sample_child_dns_zone)</f>
        <v>sfo02-m01-r01-esx13.sfo.rainpole.io</v>
      </c>
      <c r="D291" s="347"/>
      <c r="E291" s="32"/>
    </row>
    <row r="292" spans="2:5" ht="20.05" customHeight="1" x14ac:dyDescent="0.35">
      <c r="B292" s="17" t="s">
        <v>241</v>
      </c>
      <c r="C292" s="89" t="str">
        <f>CONCATENATE(this_instance,"02-m01-r01-esx14",".",sample_child_dns_zone)</f>
        <v>sfo02-m01-r01-esx14.sfo.rainpole.io</v>
      </c>
      <c r="D292" s="347"/>
      <c r="E292" s="32"/>
    </row>
    <row r="293" spans="2:5" ht="20.05" customHeight="1" x14ac:dyDescent="0.35">
      <c r="B293" s="17" t="s">
        <v>243</v>
      </c>
      <c r="C293" s="89" t="str">
        <f>CONCATENATE(this_instance,"02-m01-r01-esx15",".",sample_child_dns_zone)</f>
        <v>sfo02-m01-r01-esx15.sfo.rainpole.io</v>
      </c>
      <c r="D293" s="347"/>
      <c r="E293" s="32"/>
    </row>
    <row r="294" spans="2:5" ht="20.05" customHeight="1" x14ac:dyDescent="0.35">
      <c r="B294" s="17" t="s">
        <v>245</v>
      </c>
      <c r="C294" s="89" t="str">
        <f>CONCATENATE(this_instance,"02-m01-r01-esx16",".",sample_child_dns_zone)</f>
        <v>sfo02-m01-r01-esx16.sfo.rainpole.io</v>
      </c>
      <c r="D294" s="347"/>
      <c r="E294" s="32"/>
    </row>
    <row r="295" spans="2:5" ht="20.05" customHeight="1" x14ac:dyDescent="0.35">
      <c r="B295" s="17" t="s">
        <v>264</v>
      </c>
      <c r="C295" s="78" t="s">
        <v>265</v>
      </c>
      <c r="D295" s="337" t="s">
        <v>265</v>
      </c>
      <c r="E295" s="32"/>
    </row>
    <row r="296" spans="2:5" ht="20.05" customHeight="1" x14ac:dyDescent="0.35">
      <c r="B296" s="17" t="s">
        <v>266</v>
      </c>
      <c r="C296" s="78" t="s">
        <v>267</v>
      </c>
      <c r="D296" s="347" t="s">
        <v>267</v>
      </c>
      <c r="E296" s="32"/>
    </row>
    <row r="297" spans="2:5" ht="20.05" customHeight="1" x14ac:dyDescent="0.35">
      <c r="B297" s="17" t="s">
        <v>268</v>
      </c>
      <c r="C297" s="78" t="s">
        <v>159</v>
      </c>
      <c r="D297" s="337" t="str">
        <f>IF(mgmt_principal_storage_chosen="vSAN-ESA","Selected","Unselected")</f>
        <v>Selected</v>
      </c>
      <c r="E297" s="32"/>
    </row>
    <row r="298" spans="2:5" ht="20.05" customHeight="1" x14ac:dyDescent="0.35">
      <c r="B298" s="17" t="s">
        <v>250</v>
      </c>
      <c r="C298" s="78" t="str">
        <f>sample_mgmt_az2_pool_name</f>
        <v>sfo02-m01-r01-network-pool-01</v>
      </c>
      <c r="D298" s="337" t="str">
        <f>mgmt_az2_pool_name</f>
        <v>Value Missing</v>
      </c>
      <c r="E298" s="32"/>
    </row>
    <row r="299" spans="2:5" ht="20.05" customHeight="1" x14ac:dyDescent="0.35">
      <c r="B299" s="17" t="s">
        <v>46</v>
      </c>
      <c r="C299" s="78" t="s">
        <v>269</v>
      </c>
      <c r="D299" s="347"/>
      <c r="E299" s="32"/>
    </row>
    <row r="300" spans="2:5" ht="20.05" customHeight="1" x14ac:dyDescent="0.35">
      <c r="B300" s="17" t="s">
        <v>29</v>
      </c>
      <c r="C300" s="78" t="s">
        <v>30</v>
      </c>
      <c r="D300" s="347"/>
      <c r="E300" s="32"/>
    </row>
    <row r="301" spans="2:5" ht="16" customHeight="1" x14ac:dyDescent="0.35"/>
    <row r="302" spans="2:5" ht="34" customHeight="1" x14ac:dyDescent="0.35">
      <c r="B302" s="509" t="s">
        <v>270</v>
      </c>
      <c r="C302" s="510"/>
      <c r="D302" s="510"/>
      <c r="E302" s="511"/>
    </row>
    <row r="303" spans="2:5" ht="20.05" customHeight="1" x14ac:dyDescent="0.35">
      <c r="B303" s="496" t="s">
        <v>271</v>
      </c>
      <c r="C303" s="497"/>
      <c r="D303" s="497"/>
      <c r="E303" s="498"/>
    </row>
    <row r="304" spans="2:5" ht="20.05" customHeight="1" x14ac:dyDescent="0.35">
      <c r="B304" s="43" t="s">
        <v>261</v>
      </c>
      <c r="C304" s="43" t="s">
        <v>262</v>
      </c>
      <c r="D304" s="130" t="s">
        <v>19</v>
      </c>
      <c r="E304" s="43" t="s">
        <v>263</v>
      </c>
    </row>
    <row r="305" spans="2:5" ht="20.05" customHeight="1" x14ac:dyDescent="0.35">
      <c r="B305" s="4" t="s">
        <v>85</v>
      </c>
      <c r="C305" s="80" t="str">
        <f>IF(mgmt_dpg_reuse_result="Included",CONCATENATE(prefix_mgmt_witness_vlan,"10"),CONCATENATE(prefix_mgmt_witness_vlan,"11"))</f>
        <v>2110</v>
      </c>
      <c r="D305" s="347"/>
      <c r="E305" s="32"/>
    </row>
    <row r="306" spans="2:5" ht="20.05" customHeight="1" x14ac:dyDescent="0.35">
      <c r="B306" s="4" t="s">
        <v>187</v>
      </c>
      <c r="C306" s="362" t="str">
        <f>IF(mgmt_dpg_reuse_result="Included",CONCATENATE(prefix_mgmt_witness_cidr,"10.1"),CONCATENATE(prefix_mgmt_witness_cidr,"11.1"))</f>
        <v>10.21.10.1</v>
      </c>
      <c r="D306" s="347"/>
      <c r="E306" s="32" t="str">
        <f>IF(AND(mgmt_stretched_cluster_result="Included",mgmt_dpg_reuse_result="Excluded"),"Stretched L2","")</f>
        <v/>
      </c>
    </row>
    <row r="307" spans="2:5" ht="20.05" customHeight="1" x14ac:dyDescent="0.35">
      <c r="B307" s="4" t="s">
        <v>188</v>
      </c>
      <c r="C307" s="362" t="str">
        <f>IF(mgmt_dpg_reuse_result="Included",CONCATENATE(prefix_mgmt_witness_cidr,"10.0/24"),CONCATENATE(prefix_mgmt_witness_cidr,"11.0/24"))</f>
        <v>10.21.10.0/24</v>
      </c>
      <c r="D307" s="347"/>
      <c r="E307" s="32"/>
    </row>
    <row r="308" spans="2:5" ht="20.05" customHeight="1" x14ac:dyDescent="0.35">
      <c r="B308" s="4" t="s">
        <v>160</v>
      </c>
      <c r="C308" s="80">
        <v>1500</v>
      </c>
      <c r="D308" s="347"/>
      <c r="E308" s="32"/>
    </row>
    <row r="309" spans="2:5" ht="20.05" customHeight="1" x14ac:dyDescent="0.35">
      <c r="B309" s="518" t="s">
        <v>272</v>
      </c>
      <c r="C309" s="519"/>
      <c r="D309" s="519"/>
      <c r="E309" s="520"/>
    </row>
    <row r="310" spans="2:5" ht="20.05" customHeight="1" x14ac:dyDescent="0.35">
      <c r="B310" s="4" t="s">
        <v>273</v>
      </c>
      <c r="C310" s="126" t="str">
        <f>CONCATENATE(other_instance,"-m01-vc01.",other_instance,".rainpole.io")</f>
        <v>lax-m01-vc01.lax.rainpole.io</v>
      </c>
      <c r="D310" s="129"/>
      <c r="E310" s="337" t="s">
        <v>274</v>
      </c>
    </row>
    <row r="311" spans="2:5" ht="20.05" customHeight="1" x14ac:dyDescent="0.35">
      <c r="B311" s="4" t="s">
        <v>275</v>
      </c>
      <c r="C311" s="181" t="str">
        <f>IF(mgmt_dpg_reuse_result="Included",CONCATENATE(prefix_other_region_az1_cidr,"10.70"),CONCATENATE(prefix_other_region_az1_cidr,"11.70"))</f>
        <v>10.21.10.70</v>
      </c>
      <c r="D311" s="182"/>
      <c r="E311" s="4"/>
    </row>
    <row r="312" spans="2:5" ht="20.05" customHeight="1" x14ac:dyDescent="0.35">
      <c r="B312" s="4" t="s">
        <v>276</v>
      </c>
      <c r="C312" s="126" t="str">
        <f>CONCATENATE(this_instance,"-m01-cl01-vsw01")</f>
        <v>sfo-m01-cl01-vsw01</v>
      </c>
      <c r="D312" s="129"/>
      <c r="E312" s="4"/>
    </row>
    <row r="313" spans="2:5" ht="20.05" customHeight="1" x14ac:dyDescent="0.35">
      <c r="B313" s="4" t="s">
        <v>277</v>
      </c>
      <c r="C313" s="362" t="str">
        <f>CONCATENATE(other_instance,"-m01-cl01")</f>
        <v>lax-m01-cl01</v>
      </c>
      <c r="D313" s="129"/>
      <c r="E313" s="4"/>
    </row>
    <row r="314" spans="2:5" ht="20.05" customHeight="1" x14ac:dyDescent="0.35">
      <c r="B314" s="4" t="s">
        <v>278</v>
      </c>
      <c r="C314" s="362" t="str">
        <f>CONCATENATE(other_instance,"-m01","-fd-mgmt")</f>
        <v>lax-m01-fd-mgmt</v>
      </c>
      <c r="D314" s="129"/>
      <c r="E314" s="4"/>
    </row>
    <row r="315" spans="2:5" ht="20.05" customHeight="1" x14ac:dyDescent="0.35">
      <c r="B315" s="4" t="s">
        <v>279</v>
      </c>
      <c r="C315" s="362" t="str">
        <f>CONCATENATE(other_instance,"-m01-cl01-ds-vsan01")</f>
        <v>lax-m01-cl01-ds-vsan01</v>
      </c>
      <c r="D315" s="129"/>
      <c r="E315" s="4"/>
    </row>
    <row r="316" spans="2:5" ht="20.05" customHeight="1" x14ac:dyDescent="0.35">
      <c r="B316" s="4" t="s">
        <v>280</v>
      </c>
      <c r="C316" s="362" t="str">
        <f>CONCATENATE(other_instance,"01-m01-cl01-vds01-pg-mgmt")</f>
        <v>lax01-m01-cl01-vds01-pg-mgmt</v>
      </c>
      <c r="D316" s="129"/>
      <c r="E316" s="4"/>
    </row>
    <row r="317" spans="2:5" ht="20.05" customHeight="1" x14ac:dyDescent="0.35">
      <c r="B317" s="4" t="s">
        <v>281</v>
      </c>
      <c r="C317" s="362" t="str">
        <f>sample_mgmt_witness_mgmt_pg</f>
        <v>lax01-m01-cl01-vds01-pg-mgmt</v>
      </c>
      <c r="D317" s="9" t="str">
        <f>mgmt_witness_mgmt_pg</f>
        <v>Value Missing</v>
      </c>
      <c r="E317" s="4"/>
    </row>
    <row r="318" spans="2:5" ht="20.05" customHeight="1" x14ac:dyDescent="0.35">
      <c r="B318" s="4" t="s">
        <v>282</v>
      </c>
      <c r="C318" s="362" t="s">
        <v>30</v>
      </c>
      <c r="D318" s="129"/>
      <c r="E318" s="4"/>
    </row>
    <row r="319" spans="2:5" ht="20.05" customHeight="1" x14ac:dyDescent="0.35">
      <c r="B319" s="4" t="s">
        <v>283</v>
      </c>
      <c r="C319" s="126" t="str">
        <f>IF(mgmt_dpg_reuse_result="Included",CONCATENATE(prefix_other_region_az1_cidr,"10.218"),CONCATENATE(prefix_other_region_az1_cidr,"11.219"))</f>
        <v>10.21.10.218</v>
      </c>
      <c r="D319" s="129"/>
      <c r="E319" s="337" t="s">
        <v>284</v>
      </c>
    </row>
    <row r="320" spans="2:5" ht="20.05" customHeight="1" x14ac:dyDescent="0.35">
      <c r="B320" s="4" t="s">
        <v>285</v>
      </c>
      <c r="C320" s="362" t="s">
        <v>128</v>
      </c>
      <c r="D320" s="9" t="str">
        <f>mgmt_witnessaz_mgmt_mask</f>
        <v>Value Missing</v>
      </c>
      <c r="E320" s="4"/>
    </row>
    <row r="321" spans="2:7" ht="20.05" customHeight="1" x14ac:dyDescent="0.35">
      <c r="B321" s="4" t="s">
        <v>187</v>
      </c>
      <c r="C321" s="362" t="str">
        <f>sample_mgmt_witnessaz_mgmt_gateway_ip</f>
        <v>10.21.10.1</v>
      </c>
      <c r="D321" s="9" t="str">
        <f>mgmt_witnessaz_mgmt_gateway_ip</f>
        <v>Value Missing</v>
      </c>
      <c r="E321" s="4"/>
    </row>
    <row r="322" spans="2:7" ht="20.05" customHeight="1" x14ac:dyDescent="0.35">
      <c r="B322" s="4" t="s">
        <v>286</v>
      </c>
      <c r="C322" s="362" t="str">
        <f>sample_child_dns_zone</f>
        <v>sfo.rainpole.io</v>
      </c>
      <c r="D322" s="9"/>
      <c r="E322" s="4"/>
    </row>
    <row r="323" spans="2:7" ht="20.05" customHeight="1" x14ac:dyDescent="0.35">
      <c r="B323" s="4" t="s">
        <v>287</v>
      </c>
      <c r="C323" s="362" t="str">
        <f>CONCATENATE(this_instance,"-m01-cl01-vsw01")</f>
        <v>sfo-m01-cl01-vsw01</v>
      </c>
      <c r="D323" s="9" t="str">
        <f>mgmt_witness_hostname</f>
        <v>Value Missing</v>
      </c>
      <c r="E323" s="4"/>
    </row>
    <row r="324" spans="2:7" ht="20.05" customHeight="1" x14ac:dyDescent="0.35">
      <c r="B324" s="4" t="s">
        <v>288</v>
      </c>
      <c r="C324" s="80" t="str">
        <f>IF(mgmt_dpg_reuse_result="Included",CONCATENATE(prefix_other_region_az1_cidr,"10.4"),CONCATENATE(prefix_other_region_az1_cidr,"11.4"))</f>
        <v>10.21.10.4</v>
      </c>
      <c r="D324" s="129"/>
      <c r="E324" s="337" t="s">
        <v>289</v>
      </c>
    </row>
    <row r="325" spans="2:7" ht="20.05" customHeight="1" x14ac:dyDescent="0.35">
      <c r="B325" s="4" t="s">
        <v>290</v>
      </c>
      <c r="C325" s="80" t="str">
        <f>IF(mgmt_dpg_reuse_result="Included",CONCATENATE(prefix_other_region_az1_cidr,"10.5"),CONCATENATE(prefix_other_region_az1_cidr,"11.5"))</f>
        <v>10.21.10.5</v>
      </c>
      <c r="D325" s="129"/>
      <c r="E325" s="337" t="s">
        <v>291</v>
      </c>
    </row>
    <row r="326" spans="2:7" ht="20.05" customHeight="1" x14ac:dyDescent="0.35">
      <c r="B326" s="4" t="s">
        <v>292</v>
      </c>
      <c r="C326" s="84" t="str">
        <f>CONCATENATE("ntp0.",this_instance,".rainpole.io")</f>
        <v>ntp0.sfo.rainpole.io</v>
      </c>
      <c r="D326" s="129"/>
      <c r="E326" s="337"/>
    </row>
    <row r="327" spans="2:7" ht="20.05" customHeight="1" x14ac:dyDescent="0.35">
      <c r="B327" s="4" t="s">
        <v>293</v>
      </c>
      <c r="C327" s="137" t="str">
        <f>CONCATENATE("ntp1.",this_instance,".rainpole.io")</f>
        <v>ntp1.sfo.rainpole.io</v>
      </c>
      <c r="D327" s="129"/>
      <c r="E327" s="4"/>
      <c r="G327" s="27"/>
    </row>
    <row r="328" spans="2:7" ht="20.05" customHeight="1" x14ac:dyDescent="0.35">
      <c r="B328" s="518" t="s">
        <v>294</v>
      </c>
      <c r="C328" s="519"/>
      <c r="D328" s="519"/>
      <c r="E328" s="520"/>
    </row>
    <row r="329" spans="2:7" ht="20.05" customHeight="1" x14ac:dyDescent="0.35">
      <c r="B329" s="4" t="s">
        <v>273</v>
      </c>
      <c r="C329" s="362" t="str">
        <f>sample_mgmt_vc_fqdn</f>
        <v>sfo-m01-vc01.sfo.rainpole.io</v>
      </c>
      <c r="D329" s="343" t="str">
        <f>mgmt_vc_fqdn</f>
        <v>Value Missing</v>
      </c>
      <c r="E329" s="4"/>
      <c r="G329" s="27"/>
    </row>
    <row r="330" spans="2:7" ht="20.05" customHeight="1" x14ac:dyDescent="0.35">
      <c r="B330" s="4" t="s">
        <v>295</v>
      </c>
      <c r="C330" s="362" t="str">
        <f>sample_mgmt_datacenter</f>
        <v>sfo-m01-dc01</v>
      </c>
      <c r="D330" s="343" t="str">
        <f>mgmt_datacenter</f>
        <v>Value Missing</v>
      </c>
      <c r="E330" s="4"/>
    </row>
    <row r="331" spans="2:7" ht="20.05" customHeight="1" x14ac:dyDescent="0.35">
      <c r="B331" s="4" t="s">
        <v>38</v>
      </c>
      <c r="C331" s="362" t="str">
        <f>sample_mgmt_witness_hostname</f>
        <v>sfo-m01-cl01-vsw01</v>
      </c>
      <c r="D331" s="343" t="str">
        <f>mgmt_witness_hostname</f>
        <v>Value Missing</v>
      </c>
      <c r="E331" s="4"/>
    </row>
    <row r="332" spans="2:7" ht="20.05" customHeight="1" x14ac:dyDescent="0.35">
      <c r="B332" s="4" t="s">
        <v>296</v>
      </c>
      <c r="C332" s="362" t="str">
        <f>sample_mgmt_witness_root_password</f>
        <v>VMw@re1!</v>
      </c>
      <c r="D332" s="343" t="str">
        <f>mgmt_witness_root_password</f>
        <v>Value Missing</v>
      </c>
      <c r="E332" s="4"/>
    </row>
    <row r="333" spans="2:7" ht="20.05" customHeight="1" x14ac:dyDescent="0.35">
      <c r="B333" s="518" t="s">
        <v>297</v>
      </c>
      <c r="C333" s="519"/>
      <c r="D333" s="519"/>
      <c r="E333" s="520"/>
    </row>
    <row r="334" spans="2:7" ht="20.05" customHeight="1" x14ac:dyDescent="0.35">
      <c r="B334" s="4" t="s">
        <v>273</v>
      </c>
      <c r="C334" s="362" t="str">
        <f>sample_mgmt_vc_fqdn</f>
        <v>sfo-m01-vc01.sfo.rainpole.io</v>
      </c>
      <c r="D334" s="343" t="str">
        <f>mgmt_vc_fqdn</f>
        <v>Value Missing</v>
      </c>
      <c r="E334" s="4"/>
    </row>
    <row r="335" spans="2:7" ht="20.05" customHeight="1" x14ac:dyDescent="0.35">
      <c r="B335" s="4" t="s">
        <v>298</v>
      </c>
      <c r="C335" s="362" t="str">
        <f>CONCATENATE(this_instance,"-m01-cl01-vsw01")</f>
        <v>sfo-m01-cl01-vsw01</v>
      </c>
      <c r="D335" s="343" t="str">
        <f>mgmt_witness_hostname</f>
        <v>Value Missing</v>
      </c>
      <c r="E335" s="4"/>
    </row>
    <row r="336" spans="2:7" ht="20.05" customHeight="1" x14ac:dyDescent="0.35">
      <c r="B336" s="4" t="s">
        <v>299</v>
      </c>
      <c r="C336" s="362" t="str">
        <f>CONCATENATE(sample_mgmt_witness_ntp1_server,",",sample_mgmt_witness_ntp2_server)</f>
        <v>ntp0.sfo.rainpole.io,ntp1.sfo.rainpole.io</v>
      </c>
      <c r="D336" s="343" t="str">
        <f>IF(AND((NOT(ISBLANK(witness_ntp2_server))),(witness_ntp2_server&lt;&gt;"n/a"),(witness_ntp2_server&lt;&gt;"")),CONCATENATE(witness_ntp1_server,",",witness_ntp2_server))</f>
        <v>Value Missing,Value Missing</v>
      </c>
      <c r="E336" s="32"/>
      <c r="G336" s="27"/>
    </row>
    <row r="337" spans="2:5" ht="20.05" customHeight="1" x14ac:dyDescent="0.35">
      <c r="B337" s="518" t="s">
        <v>300</v>
      </c>
      <c r="C337" s="519"/>
      <c r="D337" s="519"/>
      <c r="E337" s="520"/>
    </row>
    <row r="338" spans="2:5" ht="20.05" customHeight="1" x14ac:dyDescent="0.35">
      <c r="B338" s="4" t="s">
        <v>273</v>
      </c>
      <c r="C338" s="362" t="str">
        <f>sample_mgmt_vc_fqdn</f>
        <v>sfo-m01-vc01.sfo.rainpole.io</v>
      </c>
      <c r="D338" s="343" t="str">
        <f>mgmt_vc_fqdn</f>
        <v>Value Missing</v>
      </c>
      <c r="E338" s="4"/>
    </row>
    <row r="339" spans="2:5" ht="20.05" customHeight="1" x14ac:dyDescent="0.35">
      <c r="B339" s="4" t="s">
        <v>301</v>
      </c>
      <c r="C339" s="362" t="str">
        <f>sample_mgmt_datacenter</f>
        <v>sfo-m01-dc01</v>
      </c>
      <c r="D339" s="343" t="str">
        <f>mgmt_datacenter</f>
        <v>Value Missing</v>
      </c>
      <c r="E339" s="4"/>
    </row>
    <row r="340" spans="2:5" ht="20.05" customHeight="1" x14ac:dyDescent="0.35">
      <c r="B340" s="4" t="s">
        <v>302</v>
      </c>
      <c r="C340" s="362" t="str">
        <f>sample_mgmt_witness_hostname</f>
        <v>sfo-m01-cl01-vsw01</v>
      </c>
      <c r="D340" s="343" t="str">
        <f>mgmt_witness_hostname</f>
        <v>Value Missing</v>
      </c>
      <c r="E340" s="4"/>
    </row>
    <row r="341" spans="2:5" ht="16" customHeight="1" x14ac:dyDescent="0.35"/>
    <row r="342" spans="2:5" ht="34" customHeight="1" x14ac:dyDescent="0.35">
      <c r="B342" s="521" t="s">
        <v>303</v>
      </c>
      <c r="C342" s="522"/>
      <c r="D342" s="522"/>
      <c r="E342" s="523"/>
    </row>
    <row r="343" spans="2:5" ht="20.05" customHeight="1" x14ac:dyDescent="0.35">
      <c r="B343" s="43" t="s">
        <v>261</v>
      </c>
      <c r="C343" s="43" t="s">
        <v>262</v>
      </c>
      <c r="D343" s="130" t="s">
        <v>19</v>
      </c>
      <c r="E343" s="43" t="s">
        <v>263</v>
      </c>
    </row>
    <row r="344" spans="2:5" ht="20.05" customHeight="1" x14ac:dyDescent="0.35">
      <c r="B344" s="518" t="s">
        <v>304</v>
      </c>
      <c r="C344" s="519"/>
      <c r="D344" s="519"/>
      <c r="E344" s="520"/>
    </row>
    <row r="345" spans="2:5" ht="20.05" customHeight="1" x14ac:dyDescent="0.35">
      <c r="B345" s="4" t="str">
        <f t="array" ref="B345:B360">mgmt_az2_host_fqdns</f>
        <v>Value Missing</v>
      </c>
      <c r="C345" s="362" t="s">
        <v>305</v>
      </c>
      <c r="D345" s="94"/>
      <c r="E345" s="312" t="s">
        <v>306</v>
      </c>
    </row>
    <row r="346" spans="2:5" ht="20.05" customHeight="1" x14ac:dyDescent="0.35">
      <c r="B346" s="4" t="str">
        <v>Value Missing</v>
      </c>
      <c r="C346" s="362" t="s">
        <v>307</v>
      </c>
      <c r="D346" s="94"/>
      <c r="E346" s="313" t="s">
        <v>308</v>
      </c>
    </row>
    <row r="347" spans="2:5" ht="20.05" customHeight="1" x14ac:dyDescent="0.35">
      <c r="B347" s="4" t="str">
        <v>Value Missing</v>
      </c>
      <c r="C347" s="362" t="s">
        <v>309</v>
      </c>
      <c r="D347" s="94"/>
      <c r="E347" s="313" t="s">
        <v>310</v>
      </c>
    </row>
    <row r="348" spans="2:5" ht="20.05" customHeight="1" x14ac:dyDescent="0.35">
      <c r="B348" s="4" t="str">
        <v>Value Missing</v>
      </c>
      <c r="C348" s="362" t="s">
        <v>311</v>
      </c>
      <c r="D348" s="94"/>
      <c r="E348" s="313" t="s">
        <v>312</v>
      </c>
    </row>
    <row r="349" spans="2:5" ht="20.05" customHeight="1" x14ac:dyDescent="0.35">
      <c r="B349" s="4" t="str">
        <v>Value Missing</v>
      </c>
      <c r="C349" s="138" t="s">
        <v>313</v>
      </c>
      <c r="D349" s="94"/>
      <c r="E349" s="313" t="s">
        <v>314</v>
      </c>
    </row>
    <row r="350" spans="2:5" ht="20.05" customHeight="1" x14ac:dyDescent="0.35">
      <c r="B350" s="4" t="str">
        <v>Value Missing</v>
      </c>
      <c r="C350" s="138" t="s">
        <v>315</v>
      </c>
      <c r="D350" s="94"/>
      <c r="E350" s="313" t="s">
        <v>316</v>
      </c>
    </row>
    <row r="351" spans="2:5" ht="20.05" customHeight="1" x14ac:dyDescent="0.35">
      <c r="B351" s="4" t="str">
        <v>Value Missing</v>
      </c>
      <c r="C351" s="138" t="s">
        <v>317</v>
      </c>
      <c r="D351" s="94"/>
      <c r="E351" s="313" t="s">
        <v>318</v>
      </c>
    </row>
    <row r="352" spans="2:5" ht="20.05" customHeight="1" x14ac:dyDescent="0.35">
      <c r="B352" s="4" t="str">
        <v>Value Missing</v>
      </c>
      <c r="C352" s="138" t="s">
        <v>319</v>
      </c>
      <c r="D352" s="94"/>
      <c r="E352" s="313" t="s">
        <v>320</v>
      </c>
    </row>
    <row r="353" spans="2:7" ht="20.05" customHeight="1" x14ac:dyDescent="0.35">
      <c r="B353" s="4" t="str">
        <v>Value Missing</v>
      </c>
      <c r="C353" s="138" t="s">
        <v>321</v>
      </c>
      <c r="D353" s="94"/>
      <c r="E353" s="313" t="s">
        <v>322</v>
      </c>
    </row>
    <row r="354" spans="2:7" ht="20.05" customHeight="1" x14ac:dyDescent="0.35">
      <c r="B354" s="4" t="str">
        <v>Value Missing</v>
      </c>
      <c r="C354" s="138" t="s">
        <v>323</v>
      </c>
      <c r="D354" s="94"/>
      <c r="E354" s="313" t="s">
        <v>324</v>
      </c>
    </row>
    <row r="355" spans="2:7" ht="20.05" customHeight="1" x14ac:dyDescent="0.35">
      <c r="B355" s="4" t="str">
        <v>Value Missing</v>
      </c>
      <c r="C355" s="138" t="s">
        <v>325</v>
      </c>
      <c r="D355" s="94"/>
      <c r="E355" s="313" t="s">
        <v>326</v>
      </c>
      <c r="G355" s="27"/>
    </row>
    <row r="356" spans="2:7" ht="20.05" customHeight="1" x14ac:dyDescent="0.35">
      <c r="B356" s="4" t="str">
        <v>Value Missing</v>
      </c>
      <c r="C356" s="138" t="s">
        <v>327</v>
      </c>
      <c r="D356" s="94"/>
      <c r="E356" s="313" t="s">
        <v>328</v>
      </c>
      <c r="G356" s="27"/>
    </row>
    <row r="357" spans="2:7" ht="20.05" customHeight="1" x14ac:dyDescent="0.35">
      <c r="B357" s="4" t="str">
        <v>Value Missing</v>
      </c>
      <c r="C357" s="138" t="s">
        <v>329</v>
      </c>
      <c r="D357" s="94"/>
      <c r="E357" s="313" t="s">
        <v>330</v>
      </c>
      <c r="G357" s="27"/>
    </row>
    <row r="358" spans="2:7" ht="20.05" customHeight="1" x14ac:dyDescent="0.35">
      <c r="B358" s="4" t="str">
        <v>Value Missing</v>
      </c>
      <c r="C358" s="138" t="s">
        <v>331</v>
      </c>
      <c r="D358" s="94"/>
      <c r="E358" s="313" t="s">
        <v>332</v>
      </c>
      <c r="G358" s="27"/>
    </row>
    <row r="359" spans="2:7" ht="20.05" customHeight="1" x14ac:dyDescent="0.35">
      <c r="B359" s="4" t="str">
        <v>Value Missing</v>
      </c>
      <c r="C359" s="138" t="s">
        <v>333</v>
      </c>
      <c r="D359" s="94"/>
      <c r="E359" s="313" t="s">
        <v>334</v>
      </c>
      <c r="G359" s="27"/>
    </row>
    <row r="360" spans="2:7" ht="20.05" customHeight="1" x14ac:dyDescent="0.35">
      <c r="B360" s="4" t="str">
        <v>Value Missing</v>
      </c>
      <c r="C360" s="138" t="s">
        <v>335</v>
      </c>
      <c r="D360" s="94"/>
      <c r="E360" s="313" t="s">
        <v>336</v>
      </c>
      <c r="G360" s="27"/>
    </row>
    <row r="361" spans="2:7" ht="20.05" customHeight="1" x14ac:dyDescent="0.35">
      <c r="B361" s="4" t="s">
        <v>337</v>
      </c>
      <c r="C361" s="139" t="str">
        <f>CONCATENATE(this_instance,"02-",sample_mgmt_cl01_cluster,"-r01-network-profile")</f>
        <v>sfo02-sfo-m01-cl01-r01-network-profile</v>
      </c>
      <c r="D361" s="134"/>
      <c r="E361" s="337"/>
      <c r="G361" s="27"/>
    </row>
    <row r="362" spans="2:7" ht="20.05" customHeight="1" x14ac:dyDescent="0.35">
      <c r="B362" s="4" t="s">
        <v>338</v>
      </c>
      <c r="C362" s="362" t="s">
        <v>339</v>
      </c>
      <c r="D362" s="134" t="s">
        <v>339</v>
      </c>
      <c r="E362" s="337"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63" spans="2:7" ht="20.05" customHeight="1" x14ac:dyDescent="0.35">
      <c r="B363" s="4" t="s">
        <v>340</v>
      </c>
      <c r="C363" s="139" t="str">
        <f>CONCATENATE(this_instance,"02-m01","-r01-ip-pool01-host")</f>
        <v>sfo02-m01-r01-ip-pool01-host</v>
      </c>
      <c r="D363" s="134"/>
      <c r="E363" s="4"/>
      <c r="G363" s="27"/>
    </row>
    <row r="364" spans="2:7" ht="20.05" customHeight="1" x14ac:dyDescent="0.35">
      <c r="B364" s="4" t="s">
        <v>341</v>
      </c>
      <c r="C364" s="139" t="str">
        <f>CONCATENATE(this_instance,"02-m01","-r01-uplink-profile01")</f>
        <v>sfo02-m01-r01-uplink-profile01</v>
      </c>
      <c r="D364" s="134"/>
      <c r="E364" s="4"/>
      <c r="G364" s="27"/>
    </row>
    <row r="365" spans="2:7" ht="20.05" customHeight="1" x14ac:dyDescent="0.35">
      <c r="B365" s="17" t="s">
        <v>342</v>
      </c>
      <c r="C365" s="80" t="str">
        <f>CONCATENATE(prefix_mgmt_az2_vlan,"14")</f>
        <v>1214</v>
      </c>
      <c r="D365" s="134"/>
      <c r="E365" s="17"/>
      <c r="G365" s="27"/>
    </row>
    <row r="366" spans="2:7" ht="20.05" customHeight="1" x14ac:dyDescent="0.35">
      <c r="B366" s="4" t="s">
        <v>343</v>
      </c>
      <c r="C366" s="80" t="str">
        <f>CONCATENATE(prefix_mgmt_az2_cidr,"14.1")</f>
        <v>10.12.14.1</v>
      </c>
      <c r="D366" s="134"/>
      <c r="E366" s="22"/>
      <c r="G366" s="27"/>
    </row>
    <row r="367" spans="2:7" ht="20.05" customHeight="1" x14ac:dyDescent="0.35">
      <c r="B367" s="4" t="s">
        <v>344</v>
      </c>
      <c r="C367" s="80" t="str">
        <f>CONCATENATE(prefix_mgmt_az2_cidr,"14.0/24")</f>
        <v>10.12.14.0/24</v>
      </c>
      <c r="D367" s="134"/>
      <c r="E367" s="22"/>
      <c r="G367" s="27"/>
    </row>
    <row r="368" spans="2:7" ht="20.05" customHeight="1" x14ac:dyDescent="0.35">
      <c r="B368" s="4" t="s">
        <v>345</v>
      </c>
      <c r="C368" s="80">
        <f>9000</f>
        <v>9000</v>
      </c>
      <c r="D368" s="134"/>
      <c r="E368" s="22"/>
      <c r="G368" s="27"/>
    </row>
    <row r="369" spans="2:7" ht="20.05" customHeight="1" x14ac:dyDescent="0.35">
      <c r="B369" s="17" t="s">
        <v>255</v>
      </c>
      <c r="C369" s="80" t="str">
        <f>CONCATENATE(prefix_mgmt_az2_cidr,"14.101")</f>
        <v>10.12.14.101</v>
      </c>
      <c r="D369" s="134"/>
      <c r="E369" s="22"/>
      <c r="G369" s="27"/>
    </row>
    <row r="370" spans="2:7" ht="20.05" customHeight="1" x14ac:dyDescent="0.35">
      <c r="B370" s="17" t="s">
        <v>256</v>
      </c>
      <c r="C370" s="80" t="str">
        <f>CONCATENATE(prefix_mgmt_az2_cidr,"14.132")</f>
        <v>10.12.14.132</v>
      </c>
      <c r="D370" s="134"/>
      <c r="E370" s="22"/>
      <c r="G370" s="27"/>
    </row>
    <row r="371" spans="2:7" ht="20.05" customHeight="1" x14ac:dyDescent="0.35">
      <c r="B371" s="4" t="s">
        <v>346</v>
      </c>
      <c r="C371" s="362" t="str">
        <f>CONCATENATE(this_instance,"-m01-cl01-vsw01.",sample_child_dns_zone)</f>
        <v>sfo-m01-cl01-vsw01.sfo.rainpole.io</v>
      </c>
      <c r="D371" s="134"/>
      <c r="E371" s="337"/>
      <c r="G371" s="27"/>
    </row>
    <row r="372" spans="2:7" ht="20.05" customHeight="1" x14ac:dyDescent="0.35">
      <c r="B372" s="4" t="s">
        <v>347</v>
      </c>
      <c r="C372" s="362" t="str">
        <f>sample_mgmt_witnessaz_mgmt_cidr</f>
        <v>10.21.10.0/24</v>
      </c>
      <c r="D372" s="278" t="str">
        <f>mgmt_witnessaz_mgmt_cidr</f>
        <v>Value Missing</v>
      </c>
      <c r="E372" s="337" t="s">
        <v>348</v>
      </c>
      <c r="G372" s="27"/>
    </row>
    <row r="373" spans="2:7" ht="20.05" customHeight="1" x14ac:dyDescent="0.35">
      <c r="B373" s="4" t="s">
        <v>349</v>
      </c>
      <c r="C373" s="89" t="str">
        <f>sample_mgmt_witness_ip</f>
        <v>10.21.10.218</v>
      </c>
      <c r="D373" s="278" t="e">
        <f>mgmt_witness_mgmt_ip</f>
        <v>#NAME?</v>
      </c>
      <c r="E373" s="337" t="s">
        <v>350</v>
      </c>
      <c r="G373" s="27"/>
    </row>
    <row r="374" spans="2:7" ht="20.05" customHeight="1" x14ac:dyDescent="0.35">
      <c r="B374" s="4" t="s">
        <v>351</v>
      </c>
      <c r="C374" s="362" t="s">
        <v>352</v>
      </c>
      <c r="D374" s="134"/>
      <c r="E374" s="337" t="s">
        <v>353</v>
      </c>
    </row>
    <row r="375" spans="2:7" ht="20.05" customHeight="1" x14ac:dyDescent="0.35">
      <c r="B375" s="524"/>
      <c r="C375" s="524"/>
      <c r="D375" s="524"/>
      <c r="E375" s="524"/>
    </row>
    <row r="376" spans="2:7" ht="34" customHeight="1" x14ac:dyDescent="0.35">
      <c r="B376" s="521" t="s">
        <v>354</v>
      </c>
      <c r="C376" s="522"/>
      <c r="D376" s="522"/>
      <c r="E376" s="523"/>
    </row>
    <row r="377" spans="2:7" ht="20.05" customHeight="1" x14ac:dyDescent="0.35">
      <c r="B377" s="518" t="s">
        <v>355</v>
      </c>
      <c r="C377" s="519"/>
      <c r="D377" s="519"/>
      <c r="E377" s="520"/>
    </row>
    <row r="378" spans="2:7" ht="20.05" customHeight="1" x14ac:dyDescent="0.35">
      <c r="B378" s="4" t="s">
        <v>356</v>
      </c>
      <c r="C378" s="362" t="str">
        <f>sample_mgmt_nsxt_vip_fqdn</f>
        <v>sfo-m01-nsx01.sfo.rainpole.io</v>
      </c>
      <c r="D378" s="337" t="str">
        <f>mgmt_nsxt_vip_fqdn</f>
        <v>Value Missing</v>
      </c>
      <c r="E378" s="337" t="str">
        <f>IF(mgmt_vns_chosen&lt;&gt;"Centralized Connectivity", "These sections are masked out as NSX connectivity has not be configured or selected in Post-Deployment Options" )</f>
        <v>These sections are masked out as NSX connectivity has not be configured or selected in Post-Deployment Options</v>
      </c>
    </row>
    <row r="379" spans="2:7" ht="20.05" customHeight="1" x14ac:dyDescent="0.35">
      <c r="B379" s="518" t="s">
        <v>357</v>
      </c>
      <c r="C379" s="519"/>
      <c r="D379" s="519"/>
      <c r="E379" s="520"/>
    </row>
    <row r="380" spans="2:7" ht="20.05" customHeight="1" x14ac:dyDescent="0.35">
      <c r="B380" s="4" t="s">
        <v>356</v>
      </c>
      <c r="C380" s="362" t="str">
        <f>sample_mgmt_nsxt_vip_fqdn</f>
        <v>sfo-m01-nsx01.sfo.rainpole.io</v>
      </c>
      <c r="D380" s="343" t="str">
        <f>mgmt_nsxt_vip_fqdn</f>
        <v>Value Missing</v>
      </c>
      <c r="E380" s="4"/>
    </row>
    <row r="381" spans="2:7" ht="20.05" customHeight="1" x14ac:dyDescent="0.35">
      <c r="B381" s="4" t="s">
        <v>358</v>
      </c>
      <c r="C381" s="362" t="str">
        <f>sample_mgmt_en_asn</f>
        <v>65101</v>
      </c>
      <c r="D381" s="343" t="str">
        <f>mgmt_en_asn</f>
        <v>Value Missing</v>
      </c>
      <c r="E381" s="4"/>
    </row>
    <row r="382" spans="2:7" ht="20.05" customHeight="1" x14ac:dyDescent="0.35">
      <c r="B382" s="518" t="s">
        <v>359</v>
      </c>
      <c r="C382" s="519"/>
      <c r="D382" s="519"/>
      <c r="E382" s="520"/>
    </row>
    <row r="383" spans="2:7" ht="20.05" customHeight="1" x14ac:dyDescent="0.35">
      <c r="B383" s="4" t="s">
        <v>356</v>
      </c>
      <c r="C383" s="362" t="str">
        <f>sample_mgmt_nsxt_vip_fqdn</f>
        <v>sfo-m01-nsx01.sfo.rainpole.io</v>
      </c>
      <c r="D383" s="343" t="str">
        <f>mgmt_nsxt_vip_fqdn</f>
        <v>Value Missing</v>
      </c>
      <c r="E383" s="337"/>
    </row>
    <row r="384" spans="2:7" ht="20.05" customHeight="1" x14ac:dyDescent="0.35">
      <c r="B384" s="4" t="s">
        <v>360</v>
      </c>
      <c r="C384" s="362" t="str">
        <f>CONCATENATE(prefix_mgmt_az1_cidr,"17.11")</f>
        <v>10.11.17.11</v>
      </c>
      <c r="D384" s="347"/>
      <c r="E384" s="337" t="s">
        <v>168</v>
      </c>
    </row>
    <row r="385" spans="2:5" ht="20.05" customHeight="1" x14ac:dyDescent="0.35">
      <c r="B385" s="4" t="s">
        <v>361</v>
      </c>
      <c r="C385" s="362" t="str">
        <f>IF(wld_domain_chosen="First Domain",CONCATENATE(asn_start,asn_instance,asn_mgmt_az2,1),IF(wld_nsxt_federation_result="Included",CONCATENATE(asn_start,asn_instance,asn_mgmt_az2,1),CONCATENATE(asn_start,asn_instance,asn_mgmt_az2,1)))</f>
        <v>65121</v>
      </c>
      <c r="D385" s="347"/>
      <c r="E385" s="337" t="s">
        <v>169</v>
      </c>
    </row>
    <row r="386" spans="2:5" ht="20.05" customHeight="1" x14ac:dyDescent="0.35">
      <c r="B386" s="4" t="s">
        <v>362</v>
      </c>
      <c r="C386" s="362" t="str">
        <f>sample_mgmt_az1_en1_uplink01_interface_cidr</f>
        <v>10.11.17.2/24</v>
      </c>
      <c r="D386" s="343" t="str">
        <f>mgmt_az1_en1_uplink01_interface_cidr</f>
        <v>Value Missing</v>
      </c>
      <c r="E386" s="337"/>
    </row>
    <row r="387" spans="2:5" ht="20.05" customHeight="1" x14ac:dyDescent="0.35">
      <c r="B387" s="4" t="s">
        <v>363</v>
      </c>
      <c r="C387" s="362" t="str">
        <f>sample_mgmt_az1_en2_uplink01_interface_cidr</f>
        <v>10.11.17.3/24</v>
      </c>
      <c r="D387" s="343" t="str">
        <f>mgmt_az1_en2_uplink01_interface_cidr</f>
        <v>Value Missing</v>
      </c>
      <c r="E387" s="337"/>
    </row>
    <row r="388" spans="2:5" ht="20.05" customHeight="1" x14ac:dyDescent="0.35">
      <c r="B388" s="4" t="s">
        <v>364</v>
      </c>
      <c r="C388" s="362" t="s">
        <v>30</v>
      </c>
      <c r="D388" s="347"/>
      <c r="E388" s="337" t="s">
        <v>170</v>
      </c>
    </row>
    <row r="389" spans="2:5" ht="20.05" customHeight="1" x14ac:dyDescent="0.35">
      <c r="B389" s="4" t="s">
        <v>365</v>
      </c>
      <c r="C389" s="362" t="str">
        <f>CONCATENATE(prefix_mgmt_az1_cidr,"18.11")</f>
        <v>10.11.18.11</v>
      </c>
      <c r="D389" s="347"/>
      <c r="E389" s="337" t="s">
        <v>171</v>
      </c>
    </row>
    <row r="390" spans="2:5" ht="20.05" customHeight="1" x14ac:dyDescent="0.35">
      <c r="B390" s="4" t="s">
        <v>362</v>
      </c>
      <c r="C390" s="362" t="str">
        <f>sample_mgmt_az1_en1_uplink02_interface_cidr</f>
        <v>10.11.18.2/24</v>
      </c>
      <c r="D390" s="343" t="str">
        <f>mgmt_az1_en1_uplink02_interface_cidr</f>
        <v>Value Missing</v>
      </c>
      <c r="E390" s="337"/>
    </row>
    <row r="391" spans="2:5" ht="20.05" customHeight="1" x14ac:dyDescent="0.35">
      <c r="B391" s="4" t="s">
        <v>363</v>
      </c>
      <c r="C391" s="362" t="str">
        <f>sample_mgmt_az1_en2_uplink02_interface_cidr</f>
        <v>10.11.18.3/24</v>
      </c>
      <c r="D391" s="343" t="str">
        <f>mgmt_az1_en2_uplink02_interface_cidr</f>
        <v>Value Missing</v>
      </c>
      <c r="E391" s="337"/>
    </row>
    <row r="392" spans="2:5" ht="20.05" customHeight="1" x14ac:dyDescent="0.35">
      <c r="B392" s="4" t="s">
        <v>366</v>
      </c>
      <c r="C392" s="362" t="str">
        <f>IF(wld_domain_chosen="First Domain",CONCATENATE(asn_start,asn_instance,asn_mgmt_az2,1),IF(wld_nsxt_federation_result="Included",CONCATENATE(asn_start,asn_instance,asn_mgmt_az2,1),CONCATENATE(asn_start,asn_instance,asn_mgmt_az2,1)))</f>
        <v>65121</v>
      </c>
      <c r="D392" s="347"/>
      <c r="E392" s="337" t="s">
        <v>172</v>
      </c>
    </row>
    <row r="393" spans="2:5" ht="20.05" customHeight="1" x14ac:dyDescent="0.35">
      <c r="B393" s="4" t="s">
        <v>364</v>
      </c>
      <c r="C393" s="362" t="s">
        <v>30</v>
      </c>
      <c r="D393" s="347"/>
      <c r="E393" s="337" t="s">
        <v>173</v>
      </c>
    </row>
    <row r="394" spans="2:5" ht="16" customHeight="1" x14ac:dyDescent="0.35"/>
    <row r="395" spans="2:5" ht="34" customHeight="1" x14ac:dyDescent="0.35">
      <c r="B395" s="515" t="s">
        <v>7</v>
      </c>
      <c r="C395" s="516"/>
      <c r="D395" s="516"/>
      <c r="E395" s="517"/>
    </row>
    <row r="396" spans="2:5" ht="20.05" customHeight="1" x14ac:dyDescent="0.35">
      <c r="B396" s="518" t="s">
        <v>367</v>
      </c>
      <c r="C396" s="519"/>
      <c r="D396" s="519"/>
      <c r="E396" s="520"/>
    </row>
    <row r="397" spans="2:5" ht="20.05" customHeight="1" x14ac:dyDescent="0.35">
      <c r="B397" s="43" t="s">
        <v>261</v>
      </c>
      <c r="C397" s="43" t="s">
        <v>262</v>
      </c>
      <c r="D397" s="130" t="s">
        <v>19</v>
      </c>
      <c r="E397" s="43" t="s">
        <v>263</v>
      </c>
    </row>
    <row r="398" spans="2:5" ht="20.05" customHeight="1" x14ac:dyDescent="0.35">
      <c r="B398" s="4" t="s">
        <v>368</v>
      </c>
      <c r="C398" s="85" t="str">
        <f>sample_mgmt_vc_fqdn</f>
        <v>sfo-m01-vc01.sfo.rainpole.io</v>
      </c>
      <c r="D398" s="337" t="str">
        <f>mgmt_vc_fqdn</f>
        <v>Value Missing</v>
      </c>
      <c r="E398" s="4"/>
    </row>
    <row r="399" spans="2:5" ht="20.05" customHeight="1" x14ac:dyDescent="0.35">
      <c r="B399" s="518" t="s">
        <v>369</v>
      </c>
      <c r="C399" s="519"/>
      <c r="D399" s="519"/>
      <c r="E399" s="520"/>
    </row>
    <row r="400" spans="2:5" ht="20.05" customHeight="1" x14ac:dyDescent="0.35">
      <c r="B400" s="4" t="s">
        <v>370</v>
      </c>
      <c r="C400" s="141" t="str">
        <f>CONCATENATE(this_instance,"-m01-nsx-gm01a")</f>
        <v>sfo-m01-nsx-gm01a</v>
      </c>
      <c r="D400" s="129"/>
      <c r="E400" s="4"/>
    </row>
    <row r="401" spans="2:7" ht="20.05" customHeight="1" x14ac:dyDescent="0.35">
      <c r="B401" s="4" t="s">
        <v>371</v>
      </c>
      <c r="C401" s="85" t="str">
        <f>sample_mgmt_datacenter</f>
        <v>sfo-m01-dc01</v>
      </c>
      <c r="D401" s="337" t="str">
        <f>mgmt_datacenter</f>
        <v>Value Missing</v>
      </c>
      <c r="E401" s="4"/>
    </row>
    <row r="402" spans="2:7" ht="20.05" customHeight="1" x14ac:dyDescent="0.35">
      <c r="B402" s="4" t="s">
        <v>372</v>
      </c>
      <c r="C402" s="85" t="str">
        <f>sample_mgmt_cl01_cluster</f>
        <v>sfo-m01-cl01</v>
      </c>
      <c r="D402" s="337" t="str">
        <f>mgmt_cl01_cluster</f>
        <v>Value Missing</v>
      </c>
      <c r="E402" s="4"/>
    </row>
    <row r="403" spans="2:7" ht="20.05" customHeight="1" x14ac:dyDescent="0.35">
      <c r="B403" s="4" t="s">
        <v>373</v>
      </c>
      <c r="C403" s="85" t="s">
        <v>93</v>
      </c>
      <c r="D403" s="337" t="s">
        <v>93</v>
      </c>
      <c r="E403" s="4"/>
    </row>
    <row r="404" spans="2:7" ht="20.05" customHeight="1" x14ac:dyDescent="0.35">
      <c r="B404" s="4" t="s">
        <v>374</v>
      </c>
      <c r="C404" s="85" t="str">
        <f>sample_mgmt_cl01_vsan_datastore</f>
        <v>sfo-m01-cl01-ds-vsan01</v>
      </c>
      <c r="D404" s="337" t="str">
        <f>mgmt_cl01_vsan_datastore</f>
        <v>Value Missing</v>
      </c>
      <c r="E404" s="4"/>
    </row>
    <row r="405" spans="2:7" ht="20.05" customHeight="1" x14ac:dyDescent="0.35">
      <c r="B405" s="4" t="s">
        <v>375</v>
      </c>
      <c r="C405" s="142" t="str">
        <f>sample_mgmt_cl01_az1_mgmt_vm_pg</f>
        <v>sfo-m01-cl01-vds01-pg-vm-mgmt</v>
      </c>
      <c r="D405" s="337" t="str">
        <f>mgmt_cl01_az1_mgmt_vm_pg</f>
        <v>Value Missing</v>
      </c>
      <c r="E405" s="4"/>
    </row>
    <row r="406" spans="2:7" ht="20.05" customHeight="1" x14ac:dyDescent="0.35">
      <c r="B406" s="4" t="s">
        <v>376</v>
      </c>
      <c r="C406" s="85" t="s">
        <v>141</v>
      </c>
      <c r="D406" s="347"/>
      <c r="E406" s="4"/>
    </row>
    <row r="407" spans="2:7" ht="20.05" customHeight="1" x14ac:dyDescent="0.35">
      <c r="B407" s="4" t="s">
        <v>377</v>
      </c>
      <c r="C407" s="85" t="s">
        <v>141</v>
      </c>
      <c r="D407" s="347"/>
      <c r="E407" s="4"/>
    </row>
    <row r="408" spans="2:7" ht="20.05" customHeight="1" x14ac:dyDescent="0.35">
      <c r="B408" s="4" t="s">
        <v>378</v>
      </c>
      <c r="C408" s="85" t="s">
        <v>141</v>
      </c>
      <c r="D408" s="347"/>
      <c r="E408" s="4"/>
    </row>
    <row r="409" spans="2:7" ht="20.05" customHeight="1" x14ac:dyDescent="0.35">
      <c r="B409" s="4" t="s">
        <v>379</v>
      </c>
      <c r="C409" s="85" t="str">
        <f>CONCATENATE(sample_mgmt_nsxt_global_mgra_hostname,".",sample_child_dns_zone)</f>
        <v>sfo-m01-nsx-gm01a.sfo.rainpole.io</v>
      </c>
      <c r="D409" s="347"/>
      <c r="E409" s="337" t="s">
        <v>380</v>
      </c>
    </row>
    <row r="410" spans="2:7" ht="20.05" customHeight="1" x14ac:dyDescent="0.35">
      <c r="B410" s="4" t="s">
        <v>381</v>
      </c>
      <c r="C410" s="141" t="str">
        <f>IF(mgmt_dpg_reuse_result="Included",CONCATENATE(prefix_mgmt_az1_cidr,"10.82"),CONCATENATE(prefix_mgmt_az1_cidr,"11.82"))</f>
        <v>10.11.10.82</v>
      </c>
      <c r="D410" s="129"/>
      <c r="E410" s="4"/>
    </row>
    <row r="411" spans="2:7" ht="20.05" customHeight="1" x14ac:dyDescent="0.35">
      <c r="B411" s="4" t="s">
        <v>382</v>
      </c>
      <c r="C411" s="85" t="s">
        <v>128</v>
      </c>
      <c r="D411" s="337" t="str">
        <f>mgmt_az1_mgmt_vm_mask</f>
        <v>Value Missing</v>
      </c>
      <c r="E411" s="4"/>
    </row>
    <row r="412" spans="2:7" ht="20.05" customHeight="1" x14ac:dyDescent="0.35">
      <c r="B412" s="4" t="s">
        <v>383</v>
      </c>
      <c r="C412" s="85" t="str">
        <f>sample_mgmt_az1_mgmt_vm_gateway_ip</f>
        <v>10.11.10.1</v>
      </c>
      <c r="D412" s="337" t="str">
        <f>mgmt_az1_mgmt_vm_gateway_ip</f>
        <v>Value Missing</v>
      </c>
      <c r="E412" s="4"/>
    </row>
    <row r="413" spans="2:7" ht="20.05" customHeight="1" x14ac:dyDescent="0.35">
      <c r="B413" s="4" t="s">
        <v>384</v>
      </c>
      <c r="C413" s="85" t="str">
        <f>CONCATENATE(sample_mgmt_witness_dns1_ip,",",sample_mgmt_witness_dns2_ip)</f>
        <v>10.21.10.4,10.21.10.5</v>
      </c>
      <c r="D413" s="337" t="str">
        <f>IF(ISBLANK(input_region_dns1_ip),"Value Missing",CONCATENATE(region_dns1_ip,",",IF(ISBLANK(input_region_dns2_ip),"Value Missing",region_dns2_ip)))</f>
        <v>Value Missing</v>
      </c>
      <c r="E413" s="4"/>
    </row>
    <row r="414" spans="2:7" ht="20.05" customHeight="1" x14ac:dyDescent="0.35">
      <c r="B414" s="4" t="s">
        <v>385</v>
      </c>
      <c r="C414" s="85" t="str">
        <f>CONCATENATE(sample_child_dns_zone,",",sample_parent_dns_zone)</f>
        <v>sfo.rainpole.io,rainpole.io</v>
      </c>
      <c r="D414" s="337" t="str">
        <f>child_dns_zone</f>
        <v>Value Missing</v>
      </c>
      <c r="E414" s="4"/>
      <c r="G414" s="27"/>
    </row>
    <row r="415" spans="2:7" ht="20.05" customHeight="1" x14ac:dyDescent="0.35">
      <c r="B415" s="4" t="s">
        <v>386</v>
      </c>
      <c r="C415" s="85" t="str">
        <f>IF(AND((NOT(ISBLANK(sample_region_ntp2_server))),(sample_region_ntp2_server &lt;&gt; "n/a")),CONCATENATE(sample_region_ntp1_server,",",sample_region_ntp2_server),sample_region_ntp1_server)</f>
        <v>ntp0.sfo.rainpole.io,ntp1.sfo.rainpole.io</v>
      </c>
      <c r="D415" s="337" t="str">
        <f>IF(AND((NOT(ISBLANK(region_ntp2_server))),(region_ntp2_server&lt;&gt;"n/a"),(region_ntp2_server&lt;&gt;"")),CONCATENATE(region_ntp1_server,",",region_ntp2_server,region_ntp1_server))</f>
        <v>Value Missing,Value MissingValue Missing</v>
      </c>
      <c r="E415" s="4"/>
    </row>
    <row r="416" spans="2:7" ht="20.05" customHeight="1" x14ac:dyDescent="0.35">
      <c r="B416" s="518" t="s">
        <v>387</v>
      </c>
      <c r="C416" s="519"/>
      <c r="D416" s="519"/>
      <c r="E416" s="520"/>
    </row>
    <row r="417" spans="2:5" ht="20.05" customHeight="1" x14ac:dyDescent="0.35">
      <c r="B417" s="4" t="s">
        <v>388</v>
      </c>
      <c r="C417" s="141" t="str">
        <f>CONCATENATE(this_instance,"-m01-nsx-gm01b")</f>
        <v>sfo-m01-nsx-gm01b</v>
      </c>
      <c r="D417" s="129"/>
      <c r="E417" s="4"/>
    </row>
    <row r="418" spans="2:5" ht="20.05" customHeight="1" x14ac:dyDescent="0.35">
      <c r="B418" s="4" t="s">
        <v>389</v>
      </c>
      <c r="C418" s="85" t="str">
        <f>sample_mgmt_datacenter</f>
        <v>sfo-m01-dc01</v>
      </c>
      <c r="D418" s="337" t="str">
        <f>mgmt_datacenter</f>
        <v>Value Missing</v>
      </c>
      <c r="E418" s="4"/>
    </row>
    <row r="419" spans="2:5" ht="20.05" customHeight="1" x14ac:dyDescent="0.35">
      <c r="B419" s="4" t="s">
        <v>390</v>
      </c>
      <c r="C419" s="85" t="str">
        <f>sample_mgmt_cl01_cluster</f>
        <v>sfo-m01-cl01</v>
      </c>
      <c r="D419" s="337" t="str">
        <f>mgmt_cl01_cluster</f>
        <v>Value Missing</v>
      </c>
      <c r="E419" s="4"/>
    </row>
    <row r="420" spans="2:5" ht="20.05" customHeight="1" x14ac:dyDescent="0.35">
      <c r="B420" s="4" t="s">
        <v>391</v>
      </c>
      <c r="C420" s="85" t="s">
        <v>93</v>
      </c>
      <c r="D420" s="337" t="str">
        <f>D403</f>
        <v>Medium</v>
      </c>
      <c r="E420" s="4"/>
    </row>
    <row r="421" spans="2:5" ht="20.05" customHeight="1" x14ac:dyDescent="0.35">
      <c r="B421" s="4" t="s">
        <v>392</v>
      </c>
      <c r="C421" s="85" t="str">
        <f>sample_mgmt_cl01_vsan_datastore</f>
        <v>sfo-m01-cl01-ds-vsan01</v>
      </c>
      <c r="D421" s="337" t="str">
        <f>mgmt_cl01_vsan_datastore</f>
        <v>Value Missing</v>
      </c>
      <c r="E421" s="4"/>
    </row>
    <row r="422" spans="2:5" ht="20.05" customHeight="1" x14ac:dyDescent="0.35">
      <c r="B422" s="4" t="s">
        <v>393</v>
      </c>
      <c r="C422" s="142" t="str">
        <f>sample_mgmt_cl01_az1_mgmt_vm_pg</f>
        <v>sfo-m01-cl01-vds01-pg-vm-mgmt</v>
      </c>
      <c r="D422" s="337" t="str">
        <f>mgmt_cl01_az1_mgmt_vm_pg</f>
        <v>Value Missing</v>
      </c>
      <c r="E422" s="4"/>
    </row>
    <row r="423" spans="2:5" ht="20.05" customHeight="1" x14ac:dyDescent="0.35">
      <c r="B423" s="4" t="s">
        <v>394</v>
      </c>
      <c r="C423" s="85" t="str">
        <f>sample_nsxt_gm_root_password</f>
        <v>VMw@re1!VMw@re1!</v>
      </c>
      <c r="D423" s="337" t="str">
        <f>nsxt_gm_root_password</f>
        <v>Value Missing</v>
      </c>
      <c r="E423" s="4"/>
    </row>
    <row r="424" spans="2:5" ht="20.05" customHeight="1" x14ac:dyDescent="0.35">
      <c r="B424" s="4" t="s">
        <v>395</v>
      </c>
      <c r="C424" s="85" t="str">
        <f>sample_nsxt_gm_audit_password</f>
        <v>VMw@re1!VMw@re1!</v>
      </c>
      <c r="D424" s="337" t="str">
        <f>nsxt_gm_admin_password</f>
        <v>Value Missing</v>
      </c>
      <c r="E424" s="4"/>
    </row>
    <row r="425" spans="2:5" ht="20.05" customHeight="1" x14ac:dyDescent="0.35">
      <c r="B425" s="4" t="s">
        <v>396</v>
      </c>
      <c r="C425" s="85" t="str">
        <f>sample_nsxt_gm_audit_password</f>
        <v>VMw@re1!VMw@re1!</v>
      </c>
      <c r="D425" s="337" t="str">
        <f>nsxt_gm_audit_password</f>
        <v>Value Missing</v>
      </c>
      <c r="E425" s="4"/>
    </row>
    <row r="426" spans="2:5" ht="20.05" customHeight="1" x14ac:dyDescent="0.35">
      <c r="B426" s="4" t="s">
        <v>397</v>
      </c>
      <c r="C426" s="85" t="str">
        <f>CONCATENATE(sample_mgmt_nsxt_global_mgrb_hostname,".",sample_child_dns_zone)</f>
        <v>sfo-m01-nsx-gm01b.sfo.rainpole.io</v>
      </c>
      <c r="D426" s="347"/>
      <c r="E426" s="4"/>
    </row>
    <row r="427" spans="2:5" ht="20.05" customHeight="1" x14ac:dyDescent="0.35">
      <c r="B427" s="4" t="s">
        <v>398</v>
      </c>
      <c r="C427" s="141" t="str">
        <f>IF(mgmt_dpg_reuse_result="Included",CONCATENATE(prefix_mgmt_az1_cidr,"10.83"),CONCATENATE(prefix_mgmt_az1_cidr,"11.83"))</f>
        <v>10.11.10.83</v>
      </c>
      <c r="D427" s="129"/>
      <c r="E427" s="4"/>
    </row>
    <row r="428" spans="2:5" ht="20.05" customHeight="1" x14ac:dyDescent="0.35">
      <c r="B428" s="4" t="s">
        <v>399</v>
      </c>
      <c r="C428" s="85" t="s">
        <v>128</v>
      </c>
      <c r="D428" s="337" t="str">
        <f>mgmt_az1_mgmt_vm_mask</f>
        <v>Value Missing</v>
      </c>
      <c r="E428" s="4"/>
    </row>
    <row r="429" spans="2:5" ht="20.05" customHeight="1" x14ac:dyDescent="0.35">
      <c r="B429" s="4" t="s">
        <v>400</v>
      </c>
      <c r="C429" s="85" t="str">
        <f>sample_mgmt_az1_mgmt_vm_gateway_ip</f>
        <v>10.11.10.1</v>
      </c>
      <c r="D429" s="337" t="str">
        <f>mgmt_az1_mgmt_vm_gateway_ip</f>
        <v>Value Missing</v>
      </c>
      <c r="E429" s="4"/>
    </row>
    <row r="430" spans="2:5" ht="20.05" customHeight="1" x14ac:dyDescent="0.35">
      <c r="B430" s="4" t="s">
        <v>401</v>
      </c>
      <c r="C430" s="85" t="str">
        <f>CONCATENATE(sample_mgmt_witness_dns1_ip,",",sample_mgmt_witness_dns2_ip)</f>
        <v>10.21.10.4,10.21.10.5</v>
      </c>
      <c r="D430" s="337" t="str">
        <f>IF(ISBLANK(input_region_dns1_ip),"Value Missing",CONCATENATE(region_dns1_ip,",",IF(ISBLANK(input_region_dns2_ip),"Value Missing",region_dns2_ip)))</f>
        <v>Value Missing</v>
      </c>
      <c r="E430" s="4"/>
    </row>
    <row r="431" spans="2:5" ht="20.05" customHeight="1" x14ac:dyDescent="0.35">
      <c r="B431" s="4" t="s">
        <v>402</v>
      </c>
      <c r="C431" s="85" t="str">
        <f>CONCATENATE(sample_child_dns_zone,",",sample_parent_dns_zone)</f>
        <v>sfo.rainpole.io,rainpole.io</v>
      </c>
      <c r="D431" s="337" t="str">
        <f>CONCATENATE(child_dns_zone,",",parent_dns_zone)</f>
        <v>Value Missing,Value Missing</v>
      </c>
      <c r="E431" s="4"/>
    </row>
    <row r="432" spans="2:5" ht="20.05" customHeight="1" x14ac:dyDescent="0.35">
      <c r="B432" s="4" t="s">
        <v>403</v>
      </c>
      <c r="C432" s="85" t="str">
        <f>IF(AND((NOT(ISBLANK(sample_region_ntp2_server))),(sample_region_ntp2_server &lt;&gt; "n/a")),CONCATENATE(sample_region_ntp1_server,",",sample_region_ntp2_server),sample_region_ntp1_server)</f>
        <v>ntp0.sfo.rainpole.io,ntp1.sfo.rainpole.io</v>
      </c>
      <c r="D432" s="337" t="str">
        <f>IF(AND((NOT(ISBLANK(region_ntp2_server))),(region_ntp2_server &lt;&gt; "n/a")),CONCATENATE(region_ntp1_server,",",region_ntp2_server),region_ntp1_server)</f>
        <v>Value Missing,Value Missing</v>
      </c>
      <c r="E432" s="4"/>
    </row>
    <row r="433" spans="2:7" ht="20.05" customHeight="1" x14ac:dyDescent="0.35">
      <c r="B433" s="518" t="s">
        <v>404</v>
      </c>
      <c r="C433" s="519"/>
      <c r="D433" s="519"/>
      <c r="E433" s="520"/>
    </row>
    <row r="434" spans="2:7" ht="20.05" customHeight="1" x14ac:dyDescent="0.35">
      <c r="B434" s="4" t="s">
        <v>405</v>
      </c>
      <c r="C434" s="141" t="str">
        <f>CONCATENATE(this_instance,"-m01-nsx-gm01c")</f>
        <v>sfo-m01-nsx-gm01c</v>
      </c>
      <c r="D434" s="129"/>
      <c r="E434" s="4"/>
      <c r="G434" s="27"/>
    </row>
    <row r="435" spans="2:7" ht="20.05" customHeight="1" x14ac:dyDescent="0.35">
      <c r="B435" s="4" t="s">
        <v>406</v>
      </c>
      <c r="C435" s="85" t="str">
        <f>sample_mgmt_datacenter</f>
        <v>sfo-m01-dc01</v>
      </c>
      <c r="D435" s="337" t="str">
        <f>mgmt_datacenter</f>
        <v>Value Missing</v>
      </c>
      <c r="E435" s="4"/>
    </row>
    <row r="436" spans="2:7" ht="20.05" customHeight="1" x14ac:dyDescent="0.35">
      <c r="B436" s="4" t="s">
        <v>407</v>
      </c>
      <c r="C436" s="85" t="str">
        <f>sample_mgmt_cl01_cluster</f>
        <v>sfo-m01-cl01</v>
      </c>
      <c r="D436" s="337" t="str">
        <f>mgmt_cl01_cluster</f>
        <v>Value Missing</v>
      </c>
      <c r="E436" s="4"/>
    </row>
    <row r="437" spans="2:7" ht="20.05" customHeight="1" x14ac:dyDescent="0.35">
      <c r="B437" s="4" t="s">
        <v>408</v>
      </c>
      <c r="C437" s="85" t="s">
        <v>93</v>
      </c>
      <c r="D437" s="337" t="str">
        <f>D420</f>
        <v>Medium</v>
      </c>
      <c r="E437" s="4"/>
    </row>
    <row r="438" spans="2:7" ht="20.05" customHeight="1" x14ac:dyDescent="0.35">
      <c r="B438" s="4" t="s">
        <v>409</v>
      </c>
      <c r="C438" s="85" t="str">
        <f>sample_mgmt_cl01_vsan_datastore</f>
        <v>sfo-m01-cl01-ds-vsan01</v>
      </c>
      <c r="D438" s="337" t="str">
        <f>mgmt_cl01_vsan_datastore</f>
        <v>Value Missing</v>
      </c>
      <c r="E438" s="4"/>
    </row>
    <row r="439" spans="2:7" ht="20.05" customHeight="1" x14ac:dyDescent="0.35">
      <c r="B439" s="4" t="s">
        <v>410</v>
      </c>
      <c r="C439" s="142" t="str">
        <f>sample_mgmt_cl01_az1_mgmt_vm_pg</f>
        <v>sfo-m01-cl01-vds01-pg-vm-mgmt</v>
      </c>
      <c r="D439" s="337" t="str">
        <f>mgmt_cl01_az1_mgmt_vm_pg</f>
        <v>Value Missing</v>
      </c>
      <c r="E439" s="4"/>
    </row>
    <row r="440" spans="2:7" ht="20.05" customHeight="1" x14ac:dyDescent="0.35">
      <c r="B440" s="4" t="s">
        <v>411</v>
      </c>
      <c r="C440" s="85" t="str">
        <f>sample_nsxt_gm_root_password</f>
        <v>VMw@re1!VMw@re1!</v>
      </c>
      <c r="D440" s="337" t="str">
        <f>nsxt_gm_root_password</f>
        <v>Value Missing</v>
      </c>
      <c r="E440" s="4"/>
    </row>
    <row r="441" spans="2:7" ht="20.05" customHeight="1" x14ac:dyDescent="0.35">
      <c r="B441" s="4" t="s">
        <v>412</v>
      </c>
      <c r="C441" s="85" t="str">
        <f>sample_nsxt_gm_admin_password</f>
        <v>VMw@re1!VMw@re1!</v>
      </c>
      <c r="D441" s="337" t="str">
        <f>nsxt_gm_admin_password</f>
        <v>Value Missing</v>
      </c>
      <c r="E441" s="4"/>
    </row>
    <row r="442" spans="2:7" ht="20.05" customHeight="1" x14ac:dyDescent="0.35">
      <c r="B442" s="4" t="s">
        <v>413</v>
      </c>
      <c r="C442" s="85" t="str">
        <f>sample_nsxt_gm_audit_password</f>
        <v>VMw@re1!VMw@re1!</v>
      </c>
      <c r="D442" s="337" t="str">
        <f>nsxt_gm_audit_password</f>
        <v>Value Missing</v>
      </c>
      <c r="E442" s="4"/>
      <c r="G442" s="27"/>
    </row>
    <row r="443" spans="2:7" ht="20.05" customHeight="1" x14ac:dyDescent="0.35">
      <c r="B443" s="4" t="s">
        <v>414</v>
      </c>
      <c r="C443" s="85" t="str">
        <f>CONCATENATE(sample_mgmt_nsxt_global_mgrc_hostname,".",sample_child_dns_zone)</f>
        <v>sfo-m01-nsx-gm01c.sfo.rainpole.io</v>
      </c>
      <c r="D443" s="347"/>
      <c r="E443" s="4"/>
    </row>
    <row r="444" spans="2:7" ht="20.05" customHeight="1" x14ac:dyDescent="0.35">
      <c r="B444" s="4" t="s">
        <v>415</v>
      </c>
      <c r="C444" s="141" t="str">
        <f>IF(mgmt_dpg_reuse_result="Included",CONCATENATE(prefix_mgmt_az1_cidr,"10.84"),CONCATENATE(prefix_mgmt_az1_cidr,"11.84"))</f>
        <v>10.11.10.84</v>
      </c>
      <c r="D444" s="129"/>
      <c r="E444" s="4"/>
    </row>
    <row r="445" spans="2:7" ht="20.05" customHeight="1" x14ac:dyDescent="0.35">
      <c r="B445" s="4" t="s">
        <v>416</v>
      </c>
      <c r="C445" s="85" t="s">
        <v>128</v>
      </c>
      <c r="D445" s="337" t="str">
        <f>mgmt_az1_mgmt_vm_mask</f>
        <v>Value Missing</v>
      </c>
      <c r="E445" s="4"/>
    </row>
    <row r="446" spans="2:7" ht="20.05" customHeight="1" x14ac:dyDescent="0.35">
      <c r="B446" s="4" t="s">
        <v>417</v>
      </c>
      <c r="C446" s="85" t="str">
        <f>sample_mgmt_az1_mgmt_vm_gateway_ip</f>
        <v>10.11.10.1</v>
      </c>
      <c r="D446" s="337" t="str">
        <f>mgmt_az1_mgmt_vm_gateway_ip</f>
        <v>Value Missing</v>
      </c>
      <c r="E446" s="4"/>
    </row>
    <row r="447" spans="2:7" ht="20.05" customHeight="1" x14ac:dyDescent="0.35">
      <c r="B447" s="4" t="s">
        <v>418</v>
      </c>
      <c r="C447" s="85" t="str">
        <f>CONCATENATE(sample_mgmt_witness_dns1_ip,",",sample_mgmt_witness_dns2_ip)</f>
        <v>10.21.10.4,10.21.10.5</v>
      </c>
      <c r="D447" s="337" t="str">
        <f>IF(ISBLANK(input_region_dns1_ip),"Value Missing",CONCATENATE(region_dns1_ip,",",IF(ISBLANK(input_region_dns2_ip),"Value Missing",region_dns2_ip)))</f>
        <v>Value Missing</v>
      </c>
      <c r="E447" s="4"/>
    </row>
    <row r="448" spans="2:7" ht="20.05" customHeight="1" x14ac:dyDescent="0.35">
      <c r="B448" s="4" t="s">
        <v>419</v>
      </c>
      <c r="C448" s="85" t="str">
        <f>CONCATENATE(sample_child_dns_zone,",",sample_parent_dns_zone)</f>
        <v>sfo.rainpole.io,rainpole.io</v>
      </c>
      <c r="D448" s="337" t="str">
        <f>CONCATENATE(child_dns_zone,",",parent_dns_zone)</f>
        <v>Value Missing,Value Missing</v>
      </c>
      <c r="E448" s="4"/>
      <c r="G448" s="27"/>
    </row>
    <row r="449" spans="2:7" ht="20.05" customHeight="1" x14ac:dyDescent="0.35">
      <c r="B449" s="4" t="s">
        <v>420</v>
      </c>
      <c r="C449" s="85" t="str">
        <f>IF(AND((NOT(ISBLANK(sample_region_ntp2_server))),(sample_region_ntp2_server &lt;&gt; "n/a")),CONCATENATE(sample_region_ntp1_server,",",sample_region_ntp2_server),sample_region_ntp1_server)</f>
        <v>ntp0.sfo.rainpole.io,ntp1.sfo.rainpole.io</v>
      </c>
      <c r="D449" s="337" t="str">
        <f>IF(AND((NOT(ISBLANK(region_ntp2_server))),(region_ntp2_server &lt;&gt; "n/a")),CONCATENATE(region_ntp1_server,",",region_ntp2_server),region_ntp1_server)</f>
        <v>Value Missing,Value Missing</v>
      </c>
      <c r="E449" s="4"/>
    </row>
    <row r="450" spans="2:7" ht="20.05" customHeight="1" x14ac:dyDescent="0.35">
      <c r="B450" s="4" t="s">
        <v>421</v>
      </c>
      <c r="C450" s="141" t="str">
        <f>CONCATENATE(this_instance,"-m01-nsx-gm01",".",sample_child_dns_zone)</f>
        <v>sfo-m01-nsx-gm01.sfo.rainpole.io</v>
      </c>
      <c r="D450" s="129"/>
      <c r="E450" s="4"/>
    </row>
    <row r="451" spans="2:7" ht="20.05" customHeight="1" x14ac:dyDescent="0.35">
      <c r="B451" s="518" t="s">
        <v>422</v>
      </c>
      <c r="C451" s="519"/>
      <c r="D451" s="519"/>
      <c r="E451" s="520"/>
      <c r="G451" s="27"/>
    </row>
    <row r="452" spans="2:7" ht="20.05" customHeight="1" x14ac:dyDescent="0.35">
      <c r="B452" s="17" t="s">
        <v>368</v>
      </c>
      <c r="C452" s="362" t="str">
        <f>sample_mgmt_vc_fqdn</f>
        <v>sfo-m01-vc01.sfo.rainpole.io</v>
      </c>
      <c r="D452" s="343" t="str">
        <f>mgmt_vc_fqdn</f>
        <v>Value Missing</v>
      </c>
      <c r="E452" s="4"/>
    </row>
    <row r="453" spans="2:7" ht="20.05" customHeight="1" x14ac:dyDescent="0.35">
      <c r="B453" s="17" t="s">
        <v>423</v>
      </c>
      <c r="C453" s="85" t="s">
        <v>424</v>
      </c>
      <c r="D453" s="347"/>
      <c r="E453" s="66"/>
    </row>
    <row r="454" spans="2:7" ht="20.05" customHeight="1" x14ac:dyDescent="0.35">
      <c r="B454" s="17" t="s">
        <v>425</v>
      </c>
      <c r="C454" s="85" t="s">
        <v>426</v>
      </c>
      <c r="D454" s="347"/>
      <c r="E454" s="66"/>
    </row>
    <row r="455" spans="2:7" ht="20.05" customHeight="1" x14ac:dyDescent="0.35">
      <c r="B455" s="17" t="s">
        <v>427</v>
      </c>
      <c r="C455" s="362" t="str">
        <f>sample_mgmt_nsxt_global_mgrb_hostname</f>
        <v>sfo-m01-nsx-gm01b</v>
      </c>
      <c r="D455" s="343" t="str">
        <f>mgmt_nsxt_global_mgrb_fqdn</f>
        <v>Value Missing</v>
      </c>
      <c r="E455" s="66"/>
    </row>
    <row r="456" spans="2:7" ht="20.05" customHeight="1" x14ac:dyDescent="0.35">
      <c r="B456" s="17" t="s">
        <v>428</v>
      </c>
      <c r="C456" s="362" t="str">
        <f>sample_mgmt_nsxt_global_mgra_ip</f>
        <v>10.11.10.82</v>
      </c>
      <c r="D456" s="343" t="str">
        <f>mgmt_nsxt_global_mgra_ip</f>
        <v>Value Missing</v>
      </c>
      <c r="E456" s="66"/>
    </row>
    <row r="457" spans="2:7" ht="20.05" customHeight="1" x14ac:dyDescent="0.35">
      <c r="B457" s="17" t="s">
        <v>429</v>
      </c>
      <c r="C457" s="362" t="str">
        <f>sample_mgmt_nsxt_global_mgr_cluster_id</f>
        <v>ca3bd7dc-aa06-4f2d-a9e1-0c4999354c9b</v>
      </c>
      <c r="D457" s="343" t="str">
        <f>mgmt_nsxt_global_mgr_cluster_id</f>
        <v>Value Missing</v>
      </c>
      <c r="E457" s="66"/>
      <c r="G457" s="27"/>
    </row>
    <row r="458" spans="2:7" ht="20.05" customHeight="1" x14ac:dyDescent="0.35">
      <c r="B458" s="17" t="s">
        <v>430</v>
      </c>
      <c r="C458" s="362" t="s">
        <v>431</v>
      </c>
      <c r="D458" s="94"/>
      <c r="E458" s="66"/>
    </row>
    <row r="459" spans="2:7" ht="20.05" customHeight="1" x14ac:dyDescent="0.35">
      <c r="B459" s="17" t="s">
        <v>432</v>
      </c>
      <c r="C459" s="362" t="str">
        <f>sample_nsxt_gm_admin_password</f>
        <v>VMw@re1!VMw@re1!</v>
      </c>
      <c r="D459" s="343" t="str">
        <f>nsxt_gm_admin_password</f>
        <v>Value Missing</v>
      </c>
      <c r="E459" s="66"/>
    </row>
    <row r="460" spans="2:7" ht="20.05" customHeight="1" x14ac:dyDescent="0.35">
      <c r="B460" s="17" t="s">
        <v>433</v>
      </c>
      <c r="C460" s="362" t="str">
        <f>sample_mgmt_nsxt_global_mgr_vmca_signed_thumbprint</f>
        <v>c7a6264cd8f74033e851944a205110afdeb046386af42ce47240939c417acb93</v>
      </c>
      <c r="D460" s="343" t="str">
        <f>mgmt_nsxt_global_mgr_vmca_signed_thumbprint</f>
        <v>Value Missing</v>
      </c>
      <c r="E460" s="66"/>
    </row>
    <row r="461" spans="2:7" ht="20.05" customHeight="1" x14ac:dyDescent="0.35">
      <c r="B461" s="17" t="s">
        <v>434</v>
      </c>
      <c r="C461" s="362" t="str">
        <f>sample_mgmt_nsxt_global_mgrc_hostname</f>
        <v>sfo-m01-nsx-gm01c</v>
      </c>
      <c r="D461" s="343" t="str">
        <f>mgmt_nsxt_global_mgrc_fqdn</f>
        <v>Value Missing</v>
      </c>
      <c r="E461" s="66"/>
    </row>
    <row r="462" spans="2:7" ht="20.05" customHeight="1" x14ac:dyDescent="0.35">
      <c r="B462" s="17" t="s">
        <v>435</v>
      </c>
      <c r="C462" s="362" t="str">
        <f>sample_mgmt_nsxt_global_mgra_ip</f>
        <v>10.11.10.82</v>
      </c>
      <c r="D462" s="343" t="str">
        <f>mgmt_nsxt_global_mgra_ip</f>
        <v>Value Missing</v>
      </c>
      <c r="E462" s="66"/>
    </row>
    <row r="463" spans="2:7" ht="20.05" customHeight="1" x14ac:dyDescent="0.35">
      <c r="B463" s="17" t="s">
        <v>436</v>
      </c>
      <c r="C463" s="362" t="str">
        <f>sample_mgmt_nsxt_global_mgr_cluster_id</f>
        <v>ca3bd7dc-aa06-4f2d-a9e1-0c4999354c9b</v>
      </c>
      <c r="D463" s="343" t="str">
        <f>mgmt_nsxt_global_mgr_cluster_id</f>
        <v>Value Missing</v>
      </c>
      <c r="E463" s="66"/>
    </row>
    <row r="464" spans="2:7" ht="20.05" customHeight="1" x14ac:dyDescent="0.35">
      <c r="B464" s="17" t="s">
        <v>437</v>
      </c>
      <c r="C464" s="362" t="s">
        <v>431</v>
      </c>
      <c r="D464" s="94"/>
      <c r="E464" s="66"/>
      <c r="G464" s="27"/>
    </row>
    <row r="465" spans="2:7" ht="20.05" customHeight="1" x14ac:dyDescent="0.35">
      <c r="B465" s="17" t="s">
        <v>438</v>
      </c>
      <c r="C465" s="362" t="str">
        <f>sample_nsxt_gm_admin_password</f>
        <v>VMw@re1!VMw@re1!</v>
      </c>
      <c r="D465" s="343" t="str">
        <f>nsxt_gm_admin_password</f>
        <v>Value Missing</v>
      </c>
      <c r="E465" s="66"/>
    </row>
    <row r="466" spans="2:7" ht="20.05" customHeight="1" x14ac:dyDescent="0.35">
      <c r="B466" s="17" t="s">
        <v>439</v>
      </c>
      <c r="C466" s="362" t="str">
        <f>sample_mgmt_nsxt_global_mgr_vmca_signed_thumbprint</f>
        <v>c7a6264cd8f74033e851944a205110afdeb046386af42ce47240939c417acb93</v>
      </c>
      <c r="D466" s="343" t="str">
        <f>mgmt_nsxt_global_mgr_vmca_signed_thumbprint</f>
        <v>Value Missing</v>
      </c>
      <c r="E466" s="66"/>
    </row>
    <row r="467" spans="2:7" ht="20.05" customHeight="1" x14ac:dyDescent="0.35">
      <c r="B467" s="518" t="s">
        <v>440</v>
      </c>
      <c r="C467" s="519"/>
      <c r="D467" s="519"/>
      <c r="E467" s="520"/>
    </row>
    <row r="468" spans="2:7" ht="20.05" customHeight="1" x14ac:dyDescent="0.35">
      <c r="B468" s="4" t="s">
        <v>368</v>
      </c>
      <c r="C468" s="362" t="str">
        <f>sample_mgmt_vc_fqdn</f>
        <v>sfo-m01-vc01.sfo.rainpole.io</v>
      </c>
      <c r="D468" s="337" t="str">
        <f>mgmt_vc_fqdn</f>
        <v>Value Missing</v>
      </c>
      <c r="E468" s="4"/>
    </row>
    <row r="469" spans="2:7" ht="20.05" customHeight="1" x14ac:dyDescent="0.35">
      <c r="B469" s="4" t="s">
        <v>261</v>
      </c>
      <c r="C469" s="362" t="str">
        <f>CONCATENATE(sample_mgmt_sddc_domain,"-anti-affinity-rule-nsx-global-managers")</f>
        <v>sfo-m01-anti-affinity-rule-nsx-global-managers</v>
      </c>
      <c r="D469" s="347"/>
      <c r="E469" s="4"/>
    </row>
    <row r="470" spans="2:7" ht="20.05" customHeight="1" x14ac:dyDescent="0.35">
      <c r="B470" s="4" t="s">
        <v>441</v>
      </c>
      <c r="C470" s="362" t="str">
        <f>sample_mgmt_nsxt_global_mgra_hostname</f>
        <v>sfo-m01-nsx-gm01a</v>
      </c>
      <c r="D470" s="337" t="str">
        <f>mgmt_nsxt_global_mgra_hostname</f>
        <v>Value Missing</v>
      </c>
      <c r="E470" s="4"/>
    </row>
    <row r="471" spans="2:7" ht="20.05" customHeight="1" x14ac:dyDescent="0.35">
      <c r="B471" s="4" t="s">
        <v>442</v>
      </c>
      <c r="C471" s="362" t="str">
        <f>sample_mgmt_nsxt_global_mgrb_hostname</f>
        <v>sfo-m01-nsx-gm01b</v>
      </c>
      <c r="D471" s="337" t="str">
        <f>mgmt_nsxt_global_mgrb_hostname</f>
        <v>Value Missing</v>
      </c>
      <c r="E471" s="4"/>
      <c r="G471" s="27"/>
    </row>
    <row r="472" spans="2:7" ht="20.05" customHeight="1" x14ac:dyDescent="0.35">
      <c r="B472" s="4" t="s">
        <v>443</v>
      </c>
      <c r="C472" s="362" t="str">
        <f>sample_mgmt_nsxt_global_mgrc_hostname</f>
        <v>sfo-m01-nsx-gm01c</v>
      </c>
      <c r="D472" s="337" t="str">
        <f>mgmt_nsxt_global_mgrc_hostname</f>
        <v>Value Missing</v>
      </c>
      <c r="E472" s="4"/>
    </row>
    <row r="473" spans="2:7" ht="20.05" customHeight="1" x14ac:dyDescent="0.35">
      <c r="B473" s="518" t="s">
        <v>444</v>
      </c>
      <c r="C473" s="519"/>
      <c r="D473" s="519"/>
      <c r="E473" s="520"/>
    </row>
    <row r="474" spans="2:7" ht="20.05" customHeight="1" x14ac:dyDescent="0.35">
      <c r="B474" s="4" t="s">
        <v>445</v>
      </c>
      <c r="C474" s="362" t="str">
        <f>sample_mgmt_nsxt_global_mgra_fqdn</f>
        <v>sfo-m01-nsx-gm01a.sfo.rainpole.io</v>
      </c>
      <c r="D474" s="343" t="str">
        <f>mgmt_nsxt_global_mgra_fqdn</f>
        <v>Value Missing</v>
      </c>
      <c r="E474" s="4"/>
      <c r="G474" s="27"/>
    </row>
    <row r="475" spans="2:7" ht="20.05" customHeight="1" x14ac:dyDescent="0.35">
      <c r="B475" s="4" t="s">
        <v>446</v>
      </c>
      <c r="C475" s="89" t="str">
        <f>IF(mgmt_dpg_reuse_result="Included",CONCATENATE(prefix_mgmt_az1_cidr,"10.81"),CONCATENATE(prefix_mgmt_az1_cidr,"11.81"))</f>
        <v>10.11.10.81</v>
      </c>
      <c r="D475" s="129"/>
      <c r="E475" s="4"/>
    </row>
    <row r="476" spans="2:7" ht="20.05" customHeight="1" x14ac:dyDescent="0.35">
      <c r="B476" s="4" t="s">
        <v>447</v>
      </c>
      <c r="C476" s="362" t="str">
        <f>sample_mgmt_nsxt_gm_vip_fqdn</f>
        <v>sfo-m01-nsx-gm01.sfo.rainpole.io</v>
      </c>
      <c r="D476" s="343" t="str">
        <f>mgmt_nsxt_gm_vip_fqdn</f>
        <v>Value Missing</v>
      </c>
      <c r="E476" s="66"/>
    </row>
    <row r="477" spans="2:7" ht="20.05" customHeight="1" x14ac:dyDescent="0.35">
      <c r="B477" s="518" t="s">
        <v>448</v>
      </c>
      <c r="C477" s="519"/>
      <c r="D477" s="519"/>
      <c r="E477" s="520"/>
    </row>
    <row r="478" spans="2:7" ht="20.05" customHeight="1" x14ac:dyDescent="0.35">
      <c r="B478" s="4" t="s">
        <v>447</v>
      </c>
      <c r="C478" s="362" t="str">
        <f>sample_mgmt_nsxt_gm_vip_fqdn</f>
        <v>sfo-m01-nsx-gm01.sfo.rainpole.io</v>
      </c>
      <c r="D478" s="343" t="str">
        <f>mgmt_nsxt_gm_vip_fqdn</f>
        <v>Value Missing</v>
      </c>
      <c r="E478" s="66"/>
    </row>
    <row r="479" spans="2:7" ht="20.05" customHeight="1" x14ac:dyDescent="0.35">
      <c r="B479" s="518" t="s">
        <v>449</v>
      </c>
      <c r="C479" s="519"/>
      <c r="D479" s="519"/>
      <c r="E479" s="520"/>
    </row>
    <row r="480" spans="2:7" ht="20.05" customHeight="1" x14ac:dyDescent="0.35">
      <c r="B480" s="4" t="s">
        <v>447</v>
      </c>
      <c r="C480" s="362" t="str">
        <f>sample_mgmt_nsxt_gm_vip_fqdn</f>
        <v>sfo-m01-nsx-gm01.sfo.rainpole.io</v>
      </c>
      <c r="D480" s="343" t="str">
        <f>mgmt_nsxt_gm_vip_fqdn</f>
        <v>Value Missing</v>
      </c>
      <c r="E480" s="66"/>
    </row>
    <row r="481" spans="2:7" ht="20.05" customHeight="1" x14ac:dyDescent="0.35">
      <c r="B481" s="4" t="s">
        <v>450</v>
      </c>
      <c r="C481" s="362" t="s">
        <v>451</v>
      </c>
      <c r="D481" s="94"/>
      <c r="E481" s="66"/>
      <c r="G481" s="27"/>
    </row>
    <row r="482" spans="2:7" ht="20.05" customHeight="1" x14ac:dyDescent="0.35">
      <c r="B482" s="4" t="s">
        <v>445</v>
      </c>
      <c r="C482" s="362" t="str">
        <f>sample_mgmt_nsxt_global_mgra_fqdn</f>
        <v>sfo-m01-nsx-gm01a.sfo.rainpole.io</v>
      </c>
      <c r="D482" s="343" t="str">
        <f>mgmt_nsxt_global_mgra_fqdn</f>
        <v>Value Missing</v>
      </c>
      <c r="E482" s="4"/>
    </row>
    <row r="483" spans="2:7" ht="20.05" customHeight="1" x14ac:dyDescent="0.35">
      <c r="B483" s="4" t="s">
        <v>452</v>
      </c>
      <c r="C483" s="362" t="str">
        <f>sample_mgmt_nsxt_global_mgr_certificate_id</f>
        <v>a900065b-aeb5-457e-aca6-4612b17d06d9</v>
      </c>
      <c r="D483" s="343" t="str">
        <f>mgmt_nsxt_global_mgr_certificate_id</f>
        <v>Value Missing</v>
      </c>
      <c r="E483" s="66"/>
    </row>
    <row r="484" spans="2:7" ht="20.05" customHeight="1" x14ac:dyDescent="0.35">
      <c r="B484" s="518" t="s">
        <v>453</v>
      </c>
      <c r="C484" s="519"/>
      <c r="D484" s="519"/>
      <c r="E484" s="520"/>
    </row>
    <row r="485" spans="2:7" ht="20.05" customHeight="1" x14ac:dyDescent="0.35">
      <c r="B485" s="4" t="s">
        <v>447</v>
      </c>
      <c r="C485" s="362" t="str">
        <f>sample_mgmt_nsxt_gm_vip_fqdn</f>
        <v>sfo-m01-nsx-gm01.sfo.rainpole.io</v>
      </c>
      <c r="D485" s="343" t="str">
        <f>mgmt_nsxt_gm_vip_fqdn</f>
        <v>Value Missing</v>
      </c>
      <c r="E485" s="66"/>
    </row>
    <row r="486" spans="2:7" ht="20.05" customHeight="1" x14ac:dyDescent="0.35">
      <c r="B486" s="4" t="s">
        <v>454</v>
      </c>
      <c r="C486" s="362" t="str">
        <f>sample_mgmt_nsxt_global_mgrb_hostname</f>
        <v>sfo-m01-nsx-gm01b</v>
      </c>
      <c r="D486" s="343" t="str">
        <f>mgmt_nsxt_global_mgrb_fqdn</f>
        <v>Value Missing</v>
      </c>
      <c r="E486" s="4"/>
    </row>
    <row r="487" spans="2:7" ht="20.05" customHeight="1" x14ac:dyDescent="0.35">
      <c r="B487" s="4" t="s">
        <v>455</v>
      </c>
      <c r="C487" s="362" t="str">
        <f>sample_mgmt_nsxt_global_mgrc_hostname</f>
        <v>sfo-m01-nsx-gm01c</v>
      </c>
      <c r="D487" s="343" t="str">
        <f>mgmt_nsxt_global_mgrc_fqdn</f>
        <v>Value Missing</v>
      </c>
      <c r="E487" s="4"/>
    </row>
    <row r="488" spans="2:7" ht="20.05" customHeight="1" x14ac:dyDescent="0.35">
      <c r="B488" s="4" t="s">
        <v>452</v>
      </c>
      <c r="C488" s="362" t="str">
        <f>sample_mgmt_nsxt_global_mgr_certificate_id</f>
        <v>a900065b-aeb5-457e-aca6-4612b17d06d9</v>
      </c>
      <c r="D488" s="343" t="str">
        <f>mgmt_nsxt_global_mgr_certificate_id</f>
        <v>Value Missing</v>
      </c>
      <c r="E488" s="66"/>
    </row>
    <row r="489" spans="2:7" ht="20.05" customHeight="1" x14ac:dyDescent="0.35">
      <c r="B489" s="518" t="s">
        <v>456</v>
      </c>
      <c r="C489" s="519"/>
      <c r="D489" s="519"/>
      <c r="E489" s="520"/>
    </row>
    <row r="490" spans="2:7" ht="20.05" customHeight="1" x14ac:dyDescent="0.35">
      <c r="B490" s="4" t="s">
        <v>457</v>
      </c>
      <c r="C490" s="362" t="str">
        <f>sample_mgmt_nsxt_vip_fqdn</f>
        <v>sfo-m01-nsx01.sfo.rainpole.io</v>
      </c>
      <c r="D490" s="343" t="str">
        <f>mgmt_nsxt_vip_fqdn</f>
        <v>Value Missing</v>
      </c>
      <c r="E490" s="4"/>
    </row>
    <row r="491" spans="2:7" ht="20.05" customHeight="1" x14ac:dyDescent="0.35">
      <c r="B491" s="4" t="s">
        <v>261</v>
      </c>
      <c r="C491" s="80" t="str">
        <f>CONCATENATE(this_instance,"-m01-r01-ip-pool-rtep")</f>
        <v>sfo-m01-r01-ip-pool-rtep</v>
      </c>
      <c r="D491" s="94"/>
      <c r="E491" s="4"/>
    </row>
    <row r="492" spans="2:7" ht="20.05" customHeight="1" x14ac:dyDescent="0.35">
      <c r="B492" s="4" t="s">
        <v>458</v>
      </c>
      <c r="C492" s="80" t="str">
        <f>CONCATENATE(prefix_mgmt_az1_cidr,"20.101")</f>
        <v>10.11.20.101</v>
      </c>
      <c r="D492" s="347"/>
      <c r="E492" s="4"/>
      <c r="G492" s="27"/>
    </row>
    <row r="493" spans="2:7" ht="20.05" customHeight="1" x14ac:dyDescent="0.35">
      <c r="B493" s="4" t="s">
        <v>459</v>
      </c>
      <c r="C493" s="80" t="str">
        <f>IF(mgmt_stretched_cluster_result="Excluded",CONCATENATE(prefix_mgmt_az1_cidr,"20.116"),CONCATENATE(prefix_mgmt_az1_cidr,"20.132"))</f>
        <v>10.11.20.116</v>
      </c>
      <c r="D493" s="347"/>
      <c r="E493" s="4"/>
      <c r="G493" s="27"/>
    </row>
    <row r="494" spans="2:7" ht="20.05" customHeight="1" x14ac:dyDescent="0.35">
      <c r="B494" s="4" t="s">
        <v>460</v>
      </c>
      <c r="C494" s="80" t="str">
        <f>CONCATENATE(prefix_mgmt_az1_cidr,"20.0/24")</f>
        <v>10.11.20.0/24</v>
      </c>
      <c r="D494" s="347"/>
      <c r="E494" s="4"/>
    </row>
    <row r="495" spans="2:7" ht="20.05" customHeight="1" x14ac:dyDescent="0.35">
      <c r="B495" s="4" t="s">
        <v>461</v>
      </c>
      <c r="C495" s="80" t="str">
        <f>CONCATENATE(prefix_mgmt_az1_cidr,"20.1")</f>
        <v>10.11.20.1</v>
      </c>
      <c r="D495" s="347"/>
      <c r="E495" s="4"/>
    </row>
    <row r="496" spans="2:7" ht="20.05" customHeight="1" x14ac:dyDescent="0.35">
      <c r="B496" s="518" t="s">
        <v>462</v>
      </c>
      <c r="C496" s="519"/>
      <c r="D496" s="519"/>
      <c r="E496" s="520"/>
    </row>
    <row r="497" spans="2:7" ht="20.05" customHeight="1" x14ac:dyDescent="0.35">
      <c r="B497" s="4" t="s">
        <v>463</v>
      </c>
      <c r="C497" s="362" t="str">
        <f>sample_mgmt_nsxt_gm_vip_fqdn</f>
        <v>sfo-m01-nsx-gm01.sfo.rainpole.io</v>
      </c>
      <c r="D497" s="343" t="str">
        <f>mgmt_nsxt_gm_vip_fqdn</f>
        <v>Value Missing</v>
      </c>
      <c r="E497" s="66"/>
    </row>
    <row r="498" spans="2:7" ht="20.05" customHeight="1" x14ac:dyDescent="0.35">
      <c r="B498" s="4" t="s">
        <v>464</v>
      </c>
      <c r="C498" s="85" t="str">
        <f>CONCATENATE(this_instance,"-m01-nsx-gm01")</f>
        <v>sfo-m01-nsx-gm01</v>
      </c>
      <c r="D498" s="347"/>
      <c r="E498" s="66"/>
      <c r="G498" s="27"/>
    </row>
    <row r="499" spans="2:7" ht="20.05" customHeight="1" x14ac:dyDescent="0.35">
      <c r="B499" s="518" t="s">
        <v>465</v>
      </c>
      <c r="C499" s="519"/>
      <c r="D499" s="519"/>
      <c r="E499" s="520"/>
    </row>
    <row r="500" spans="2:7" ht="20.05" customHeight="1" x14ac:dyDescent="0.35">
      <c r="B500" s="4" t="s">
        <v>466</v>
      </c>
      <c r="C500" s="362" t="str">
        <f>sample_mgmt_nsxt_gm_vip_fqdn</f>
        <v>sfo-m01-nsx-gm01.sfo.rainpole.io</v>
      </c>
      <c r="D500" s="343" t="str">
        <f>mgmt_nsxt_gm_vip_fqdn</f>
        <v>Value Missing</v>
      </c>
      <c r="E500" s="66"/>
    </row>
    <row r="501" spans="2:7" ht="20.05" customHeight="1" x14ac:dyDescent="0.35">
      <c r="B501" s="4" t="s">
        <v>467</v>
      </c>
      <c r="C501" s="362" t="s">
        <v>468</v>
      </c>
      <c r="D501" s="347"/>
      <c r="E501" s="66"/>
    </row>
    <row r="502" spans="2:7" ht="20.05" customHeight="1" x14ac:dyDescent="0.35">
      <c r="B502" s="4" t="s">
        <v>469</v>
      </c>
      <c r="C502" s="362" t="str">
        <f t="array" ref="C502">IF(mgmt_domain_chosen="First Instance",sample_mgmt_nsxt_gm_vip_fqdn,sample_mgmt_existing_active_nsx_gm)</f>
        <v>sfo-m01-nsx-gm01.sfo.rainpole.io</v>
      </c>
      <c r="D502" s="343" t="str">
        <f t="array" ref="D502">IF(mgmt_domain_chosen="First Instance",mgmt_nsxt_gm_vip_fqdn,mgmt_existing_active_nsx_gm)</f>
        <v>Value Missing</v>
      </c>
      <c r="E502" s="66"/>
      <c r="G502" s="27"/>
    </row>
    <row r="503" spans="2:7" ht="20.05" customHeight="1" x14ac:dyDescent="0.35">
      <c r="B503" s="4" t="s">
        <v>470</v>
      </c>
      <c r="C503" s="362" t="str">
        <f>sample_mgmt_nsxt_federation_global_manager_name</f>
        <v>sfo-m01-nsx-gm01</v>
      </c>
      <c r="D503" s="343" t="str">
        <f>mgmt_nsxt_federation_global_manager_name</f>
        <v>Value Missing</v>
      </c>
      <c r="E503" s="66"/>
    </row>
    <row r="504" spans="2:7" ht="20.05" customHeight="1" x14ac:dyDescent="0.35">
      <c r="B504" s="4" t="s">
        <v>471</v>
      </c>
      <c r="C504" s="362" t="str">
        <f>sample_mgmt_nsxt_gm_vip_fqdn</f>
        <v>sfo-m01-nsx-gm01.sfo.rainpole.io</v>
      </c>
      <c r="D504" s="343" t="str">
        <f>mgmt_nsxt_gm_vip_fqdn</f>
        <v>Value Missing</v>
      </c>
      <c r="E504" s="66"/>
    </row>
    <row r="505" spans="2:7" ht="20.05" customHeight="1" x14ac:dyDescent="0.35">
      <c r="B505" s="4" t="s">
        <v>27</v>
      </c>
      <c r="C505" s="362" t="s">
        <v>431</v>
      </c>
      <c r="D505" s="343"/>
      <c r="E505" s="66"/>
    </row>
    <row r="506" spans="2:7" ht="20.05" customHeight="1" x14ac:dyDescent="0.35">
      <c r="B506" s="4" t="s">
        <v>29</v>
      </c>
      <c r="C506" s="362" t="str">
        <f>sample_nsxt_gm_admin_password</f>
        <v>VMw@re1!VMw@re1!</v>
      </c>
      <c r="D506" s="343" t="str">
        <f>nsxt_gm_admin_password</f>
        <v>Value Missing</v>
      </c>
      <c r="E506" s="66"/>
    </row>
    <row r="507" spans="2:7" ht="20.05" customHeight="1" x14ac:dyDescent="0.35">
      <c r="B507" s="4" t="s">
        <v>467</v>
      </c>
      <c r="C507" s="362" t="str">
        <f>sample_mgmt_nsxt_gm_fingerprint</f>
        <v>0d472de0d92da89f2b469d4d10ab23505ad4edb90cd7e68f84497008f6c89ff1</v>
      </c>
      <c r="D507" s="343" t="str">
        <f>mgmt_nsxt_gm_fingerprint</f>
        <v>Value Missing</v>
      </c>
      <c r="E507" s="66"/>
    </row>
    <row r="508" spans="2:7" ht="20.05" customHeight="1" x14ac:dyDescent="0.35">
      <c r="B508" s="518" t="s">
        <v>472</v>
      </c>
      <c r="C508" s="519"/>
      <c r="D508" s="519"/>
      <c r="E508" s="520"/>
    </row>
    <row r="509" spans="2:7" ht="20.05" customHeight="1" x14ac:dyDescent="0.35">
      <c r="B509" s="4" t="s">
        <v>457</v>
      </c>
      <c r="C509" s="362" t="str">
        <f>sample_mgmt_nsxt_vip_fqdn</f>
        <v>sfo-m01-nsx01.sfo.rainpole.io</v>
      </c>
      <c r="D509" s="343" t="str">
        <f>mgmt_nsxt_vip_fqdn</f>
        <v>Value Missing</v>
      </c>
      <c r="E509" s="4"/>
    </row>
    <row r="510" spans="2:7" ht="20.05" customHeight="1" x14ac:dyDescent="0.35">
      <c r="B510" s="4" t="s">
        <v>467</v>
      </c>
      <c r="C510" s="362" t="s">
        <v>473</v>
      </c>
      <c r="D510" s="347"/>
      <c r="E510" s="66"/>
    </row>
    <row r="511" spans="2:7" ht="20.05" customHeight="1" x14ac:dyDescent="0.35">
      <c r="B511" s="4" t="s">
        <v>469</v>
      </c>
      <c r="C511" s="362" t="str">
        <f t="array" ref="C511">IF(mgmt_domain_chosen="First Instance",sample_mgmt_nsxt_gm_vip_fqdn,sample_mgmt_existing_active_nsx_gm)</f>
        <v>sfo-m01-nsx-gm01.sfo.rainpole.io</v>
      </c>
      <c r="D511" s="343" t="str">
        <f t="array" ref="D511">IF(mgmt_domain_chosen="First Instance",mgmt_nsxt_gm_vip_fqdn,mgmt_existing_active_nsx_gm)</f>
        <v>Value Missing</v>
      </c>
      <c r="E511" s="66"/>
    </row>
    <row r="512" spans="2:7" ht="20.05" customHeight="1" x14ac:dyDescent="0.35">
      <c r="B512" s="4" t="s">
        <v>474</v>
      </c>
      <c r="C512" s="362" t="str">
        <f>CONCATENATE(this_instance,"-m01")</f>
        <v>sfo-m01</v>
      </c>
      <c r="D512" s="347"/>
      <c r="E512" s="66"/>
    </row>
    <row r="513" spans="2:5" ht="20.05" customHeight="1" x14ac:dyDescent="0.35">
      <c r="B513" s="4" t="s">
        <v>471</v>
      </c>
      <c r="C513" s="362" t="str">
        <f>sample_mgmt_nsxt_vip_fqdn</f>
        <v>sfo-m01-nsx01.sfo.rainpole.io</v>
      </c>
      <c r="D513" s="343" t="str">
        <f>mgmt_nsxt_vip_fqdn</f>
        <v>Value Missing</v>
      </c>
      <c r="E513" s="66"/>
    </row>
    <row r="514" spans="2:5" ht="20.05" customHeight="1" x14ac:dyDescent="0.35">
      <c r="B514" s="4" t="s">
        <v>27</v>
      </c>
      <c r="C514" s="362" t="s">
        <v>431</v>
      </c>
      <c r="D514" s="343"/>
      <c r="E514" s="66"/>
    </row>
    <row r="515" spans="2:5" ht="20.05" customHeight="1" x14ac:dyDescent="0.35">
      <c r="B515" s="4" t="s">
        <v>29</v>
      </c>
      <c r="C515" s="362" t="str">
        <f>sample_nsxt_lm_admin_password</f>
        <v>VMw@re1!VMw@re1!</v>
      </c>
      <c r="D515" s="343" t="str">
        <f>nsxt_lm_admin_password</f>
        <v>Value Missing</v>
      </c>
      <c r="E515" s="66"/>
    </row>
    <row r="516" spans="2:5" ht="20.05" customHeight="1" x14ac:dyDescent="0.35">
      <c r="B516" s="4" t="s">
        <v>467</v>
      </c>
      <c r="C516" s="362" t="str">
        <f>sample_mgmt_nsxt_lm_fingerprint</f>
        <v>676edbc9b8c639d9311aaea32a357c7c81226856ad4f8c73a68dd760652d6b5d</v>
      </c>
      <c r="D516" s="343" t="str">
        <f>mgmt_nsxt_lm_fingerprint</f>
        <v>Value Missing</v>
      </c>
      <c r="E516" s="66"/>
    </row>
    <row r="517" spans="2:5" ht="20.05" customHeight="1" x14ac:dyDescent="0.35">
      <c r="B517" s="4" t="s">
        <v>475</v>
      </c>
      <c r="C517" s="362" t="s">
        <v>476</v>
      </c>
      <c r="D517" s="343" t="s">
        <v>476</v>
      </c>
      <c r="E517" s="143"/>
    </row>
    <row r="518" spans="2:5" ht="20.05" customHeight="1" x14ac:dyDescent="0.35">
      <c r="B518" s="4" t="s">
        <v>477</v>
      </c>
      <c r="C518" s="362" t="str">
        <f>CONCATENATE(prefix_mgmt_az1_vlan,"20")</f>
        <v>1120</v>
      </c>
      <c r="D518" s="347"/>
      <c r="E518" s="66"/>
    </row>
    <row r="519" spans="2:5" ht="20.05" customHeight="1" x14ac:dyDescent="0.35">
      <c r="B519" s="4" t="s">
        <v>478</v>
      </c>
      <c r="C519" s="362" t="str">
        <f>sample_mgmt_az1_rtep_ip_pool_name</f>
        <v>sfo-m01-r01-ip-pool-rtep</v>
      </c>
      <c r="D519" s="343" t="str">
        <f>mgmt_az1_rtep_ip_pool_name</f>
        <v>Value Missing</v>
      </c>
      <c r="E519" s="66"/>
    </row>
    <row r="520" spans="2:5" ht="20.05" customHeight="1" x14ac:dyDescent="0.35">
      <c r="B520" s="518" t="s">
        <v>479</v>
      </c>
      <c r="C520" s="519"/>
      <c r="D520" s="519"/>
      <c r="E520" s="520"/>
    </row>
    <row r="521" spans="2:5" ht="20.05" customHeight="1" x14ac:dyDescent="0.35">
      <c r="B521" s="4" t="s">
        <v>447</v>
      </c>
      <c r="C521" s="362" t="str">
        <f>sample_mgmt_nsxt_gm_vip_fqdn</f>
        <v>sfo-m01-nsx-gm01.sfo.rainpole.io</v>
      </c>
      <c r="D521" s="343" t="str">
        <f>mgmt_nsxt_gm_vip_fqdn</f>
        <v>Value Missing</v>
      </c>
      <c r="E521" s="66"/>
    </row>
    <row r="522" spans="2:5" ht="20.05" customHeight="1" x14ac:dyDescent="0.35">
      <c r="B522" s="4" t="s">
        <v>480</v>
      </c>
      <c r="C522" s="85" t="str">
        <f>CONCATENATE(prefix_portable_component,"-m01-ec01-t1-gw01")</f>
        <v>flt-m01-ec01-t1-gw01</v>
      </c>
      <c r="D522" s="347"/>
      <c r="E522" s="66"/>
    </row>
    <row r="523" spans="2:5" ht="20.05" customHeight="1" x14ac:dyDescent="0.35">
      <c r="B523" s="4" t="s">
        <v>481</v>
      </c>
      <c r="C523" s="78" t="str">
        <f>CONCATENATE(this_instance,"-m01-ec01-t0-gw01")</f>
        <v>sfo-m01-ec01-t0-gw01</v>
      </c>
      <c r="D523" s="343"/>
      <c r="E523" s="66"/>
    </row>
    <row r="524" spans="2:5" ht="20.05" customHeight="1" x14ac:dyDescent="0.35">
      <c r="B524" s="300" t="s">
        <v>482</v>
      </c>
      <c r="C524" s="362" t="str">
        <f>sample_mgmt_nsxt_federation_location_name</f>
        <v>sfo-m01</v>
      </c>
      <c r="D524" s="337" t="str">
        <f>mgmt_nsxt_federation_location_name</f>
        <v>Value Missing</v>
      </c>
      <c r="E524" s="25"/>
    </row>
    <row r="525" spans="2:5" ht="20.05" customHeight="1" x14ac:dyDescent="0.35">
      <c r="B525" s="4" t="s">
        <v>88</v>
      </c>
      <c r="C525" s="362" t="str">
        <f>sample_mgmt_ec_name</f>
        <v>sfo-m01-ec01</v>
      </c>
      <c r="D525" s="343" t="str">
        <f>mgmt_ec_name</f>
        <v>Value Missing</v>
      </c>
      <c r="E525" s="66"/>
    </row>
    <row r="526" spans="2:5" ht="20.05" customHeight="1" x14ac:dyDescent="0.35">
      <c r="B526" s="518" t="s">
        <v>483</v>
      </c>
      <c r="C526" s="519"/>
      <c r="D526" s="519"/>
      <c r="E526" s="520"/>
    </row>
    <row r="527" spans="2:5" ht="20.05" customHeight="1" x14ac:dyDescent="0.35">
      <c r="B527" s="4" t="s">
        <v>447</v>
      </c>
      <c r="C527" s="362" t="str">
        <f>sample_mgmt_nsxt_gm_vip_fqdn</f>
        <v>sfo-m01-nsx-gm01.sfo.rainpole.io</v>
      </c>
      <c r="D527" s="343" t="str">
        <f>mgmt_nsxt_gm_vip_fqdn</f>
        <v>Value Missing</v>
      </c>
      <c r="E527" s="66"/>
    </row>
    <row r="528" spans="2:5" ht="20.05" customHeight="1" x14ac:dyDescent="0.35">
      <c r="B528" s="4" t="s">
        <v>484</v>
      </c>
      <c r="C528" s="362"/>
      <c r="D528" s="337"/>
      <c r="E528" s="66"/>
    </row>
    <row r="529" spans="2:7" ht="20.05" customHeight="1" x14ac:dyDescent="0.35">
      <c r="B529" s="4" t="s">
        <v>485</v>
      </c>
      <c r="C529" s="362" t="str">
        <f>sample_mgmt_nsxt_xreg_t1_name</f>
        <v>flt-m01-ec01-t1-gw01</v>
      </c>
      <c r="D529" s="343" t="str">
        <f>mgmt_nsxt_xreg_t1_name</f>
        <v>Value Missing</v>
      </c>
      <c r="E529" s="66"/>
    </row>
    <row r="530" spans="2:7" ht="20.05" customHeight="1" x14ac:dyDescent="0.35">
      <c r="B530" s="518" t="s">
        <v>486</v>
      </c>
      <c r="C530" s="519"/>
      <c r="D530" s="519"/>
      <c r="E530" s="520"/>
    </row>
    <row r="531" spans="2:7" ht="20.05" customHeight="1" x14ac:dyDescent="0.35">
      <c r="B531" s="4" t="s">
        <v>469</v>
      </c>
      <c r="C531" s="362" t="str">
        <f>IF(mgmt_domain_chosen="First Instance",CONCATENATE(this_instance,"-m01-nsx-gm01.",this_instance,".",sample_parent_dns_zone),CONCATENATE(other_instance,"-m01-nsx-gm01.",other_instance,".",sample_parent_dns_zone))</f>
        <v>sfo-m01-nsx-gm01.sfo.rainpole.io</v>
      </c>
      <c r="D531" s="343"/>
      <c r="E531" s="66"/>
    </row>
    <row r="532" spans="2:7" ht="20.05" customHeight="1" x14ac:dyDescent="0.35">
      <c r="B532" s="4" t="s">
        <v>487</v>
      </c>
      <c r="C532" s="78" t="str">
        <f>CONCATENATE(this_instance,"-m01-ec01-t0-gw01")</f>
        <v>sfo-m01-ec01-t0-gw01</v>
      </c>
      <c r="D532" s="94"/>
      <c r="E532" s="66"/>
    </row>
    <row r="533" spans="2:7" ht="20.05" customHeight="1" x14ac:dyDescent="0.35">
      <c r="B533" s="4" t="s">
        <v>482</v>
      </c>
      <c r="C533" s="78" t="str">
        <f>sample_mgmt_nsxt_federation_location_name</f>
        <v>sfo-m01</v>
      </c>
      <c r="D533" s="343" t="str">
        <f>mgmt_nsxt_federation_location_name</f>
        <v>Value Missing</v>
      </c>
      <c r="E533" s="25"/>
    </row>
    <row r="534" spans="2:7" ht="20.05" customHeight="1" x14ac:dyDescent="0.35">
      <c r="B534" s="4" t="s">
        <v>88</v>
      </c>
      <c r="C534" s="78" t="s">
        <v>488</v>
      </c>
      <c r="D534" s="343" t="str">
        <f>mgmt_ec_name</f>
        <v>Value Missing</v>
      </c>
      <c r="E534" s="66"/>
    </row>
    <row r="535" spans="2:7" ht="20.05" customHeight="1" x14ac:dyDescent="0.35">
      <c r="B535" s="4" t="s">
        <v>489</v>
      </c>
      <c r="C535" s="362" t="str">
        <f>CONCATENATE(sample_mgmt_az1_en1_hostname,"_VCF-edge_",sample_mgmt_ec_name,"_segment_",sample_mgmt_az1_uplink01_vlan,"_",sample_mgmt_az1_en1_uplink01_interface_cidr)</f>
        <v>sfo-m01-en1_VCF-edge_sfo-m01-ec01_segment_1117_10.11.17.2/24</v>
      </c>
      <c r="D535" s="343" t="str">
        <f>CONCATENATE(mgmt_az1_en1_hostname,"_VCF-edge_",mgmt_ec_name,"_segment_",mgmt_az1_uplink01_vlan,"_",mgmt_az1_en1_uplink01_interface_cidr)</f>
        <v>Value Missing_VCF-edge_Value Missing_segment_Value Missing_Value Missing</v>
      </c>
      <c r="E535" s="66"/>
    </row>
    <row r="536" spans="2:7" ht="20.05" customHeight="1" x14ac:dyDescent="0.35">
      <c r="B536" s="4" t="s">
        <v>490</v>
      </c>
      <c r="C536" s="362" t="str">
        <f>sample_mgmt_nsxt_federation_location_name</f>
        <v>sfo-m01</v>
      </c>
      <c r="D536" s="343" t="str">
        <f>mgmt_nsxt_federation_location_name</f>
        <v>Value Missing</v>
      </c>
      <c r="E536" s="66"/>
      <c r="G536" s="27"/>
    </row>
    <row r="537" spans="2:7" ht="20.05" customHeight="1" x14ac:dyDescent="0.35">
      <c r="B537" s="4" t="s">
        <v>491</v>
      </c>
      <c r="C537" s="362" t="str">
        <f>sample_mgmt_az1_en1_uplink01_interface_cidr</f>
        <v>10.11.17.2/24</v>
      </c>
      <c r="D537" s="343" t="str">
        <f>mgmt_az1_en1_uplink01_interface_cidr</f>
        <v>Value Missing</v>
      </c>
      <c r="E537" s="66"/>
    </row>
    <row r="538" spans="2:7" ht="20.05" customHeight="1" x14ac:dyDescent="0.35">
      <c r="B538" s="4" t="s">
        <v>492</v>
      </c>
      <c r="C538" s="362" t="str">
        <f>CONCATENATE("VCF-edge_",sample_mgmt_ec_name,"_segment_uplink1_",sample_mgmt_az1_uplink01_vlan)</f>
        <v>VCF-edge_sfo-m01-ec01_segment_uplink1_1117</v>
      </c>
      <c r="D538" s="343" t="str">
        <f>CONCATENATE("VCF-edge_",mgmt_ec_name,"_segment_uplink1_",mgmt_az1_uplink01_vlan)</f>
        <v>VCF-edge_Value Missing_segment_uplink1_Value Missing</v>
      </c>
      <c r="E538" s="66"/>
    </row>
    <row r="539" spans="2:7" ht="20.05" customHeight="1" x14ac:dyDescent="0.35">
      <c r="B539" s="4" t="s">
        <v>493</v>
      </c>
      <c r="C539" s="362" t="s">
        <v>494</v>
      </c>
      <c r="D539" s="343" t="str">
        <f>mgmt_az1_en1_hostname</f>
        <v>Value Missing</v>
      </c>
      <c r="E539" s="66"/>
    </row>
    <row r="540" spans="2:7" ht="20.05" customHeight="1" x14ac:dyDescent="0.35">
      <c r="B540" s="4" t="s">
        <v>495</v>
      </c>
      <c r="C540" s="362">
        <f>sample_mgmt_az1_uplink01_mtu</f>
        <v>9000</v>
      </c>
      <c r="D540" s="343" t="str">
        <f>mgmt_az1_uplink01_mtu</f>
        <v>Value Missing</v>
      </c>
      <c r="E540" s="66"/>
    </row>
    <row r="541" spans="2:7" ht="20.05" customHeight="1" x14ac:dyDescent="0.35">
      <c r="B541" s="4" t="s">
        <v>496</v>
      </c>
      <c r="C541" s="362" t="str">
        <f>CONCATENATE(sample_mgmt_az1_en1_hostname,"_VCF-edge_",sample_mgmt_ec_name,"_segment_",sample_mgmt_az1_uplink02_vlan,"_",sample_mgmt_az1_en1_uplink02_interface_cidr)</f>
        <v>sfo-m01-en1_VCF-edge_sfo-m01-ec01_segment_1118_10.11.18.2/24</v>
      </c>
      <c r="D541" s="343" t="str">
        <f>CONCATENATE(mgmt_az1_en1_hostname,"_VCF-edge_",mgmt_ec_name,"_segment_",mgmt_az1_uplink02_vlan,"_",mgmt_az1_en1_uplink02_interface_cidr)</f>
        <v>Value Missing_VCF-edge_Value Missing_segment_Value Missing_Value Missing</v>
      </c>
      <c r="E541" s="66"/>
    </row>
    <row r="542" spans="2:7" ht="20.05" customHeight="1" x14ac:dyDescent="0.35">
      <c r="B542" s="4" t="s">
        <v>497</v>
      </c>
      <c r="C542" s="78" t="str">
        <f>sample_mgmt_nsxt_federation_location_name</f>
        <v>sfo-m01</v>
      </c>
      <c r="D542" s="343" t="str">
        <f>mgmt_nsxt_federation_location_name</f>
        <v>Value Missing</v>
      </c>
      <c r="E542" s="66"/>
      <c r="G542" s="27"/>
    </row>
    <row r="543" spans="2:7" ht="20.05" customHeight="1" x14ac:dyDescent="0.35">
      <c r="B543" s="4" t="s">
        <v>498</v>
      </c>
      <c r="C543" s="362" t="str">
        <f>sample_mgmt_az1_en1_uplink02_interface_cidr</f>
        <v>10.11.18.2/24</v>
      </c>
      <c r="D543" s="343" t="str">
        <f>mgmt_az1_en1_uplink02_interface_cidr</f>
        <v>Value Missing</v>
      </c>
      <c r="E543" s="66"/>
    </row>
    <row r="544" spans="2:7" ht="20.05" customHeight="1" x14ac:dyDescent="0.35">
      <c r="B544" s="17" t="s">
        <v>499</v>
      </c>
      <c r="C544" s="362" t="str">
        <f>CONCATENATE("VCF-edge_",sample_mgmt_ec_name,"_segment_uplink2_",sample_mgmt_az1_uplink02_vlan)</f>
        <v>VCF-edge_sfo-m01-ec01_segment_uplink2_1118</v>
      </c>
      <c r="D544" s="343" t="str">
        <f>CONCATENATE("VCF-edge_",mgmt_ec_name,"_segment_uplink2_",mgmt_az1_uplink02_vlan)</f>
        <v>VCF-edge_Value Missing_segment_uplink2_Value Missing</v>
      </c>
      <c r="E544" s="66"/>
    </row>
    <row r="545" spans="2:5" ht="20.05" customHeight="1" x14ac:dyDescent="0.35">
      <c r="B545" s="4" t="s">
        <v>500</v>
      </c>
      <c r="C545" s="362" t="s">
        <v>501</v>
      </c>
      <c r="D545" s="343" t="str">
        <f>mgmt_az1_en1_hostname</f>
        <v>Value Missing</v>
      </c>
      <c r="E545" s="66"/>
    </row>
    <row r="546" spans="2:5" ht="20.05" customHeight="1" x14ac:dyDescent="0.35">
      <c r="B546" s="4" t="s">
        <v>502</v>
      </c>
      <c r="C546" s="362">
        <f>sample_mgmt_az1_uplink02_mtu</f>
        <v>9000</v>
      </c>
      <c r="D546" s="343" t="str">
        <f>mgmt_az1_uplink02_mtu</f>
        <v>Value Missing</v>
      </c>
      <c r="E546" s="66"/>
    </row>
    <row r="547" spans="2:5" ht="20.05" customHeight="1" x14ac:dyDescent="0.35">
      <c r="B547" s="4" t="s">
        <v>503</v>
      </c>
      <c r="C547" s="362" t="str">
        <f>CONCATENATE(sample_mgmt_az1_en2_hostname,"_VCF-edge_",sample_mgmt_ec_name,"_segment_",sample_mgmt_az1_uplink01_vlan,"_",sample_mgmt_az1_en2_uplink01_interface_cidr)</f>
        <v>sfo-m01-en2_VCF-edge_sfo-m01-ec01_segment_1117_10.11.17.3/24</v>
      </c>
      <c r="D547" s="343" t="str">
        <f>CONCATENATE(mgmt_az1_en2_hostname,"_VCF-edge_",mgmt_ec_name,"_segment_",mgmt_az1_uplink01_vlan,"_",mgmt_az1_en2_uplink01_interface_cidr)</f>
        <v>Value Missing_VCF-edge_Value Missing_segment_Value Missing_Value Missing</v>
      </c>
      <c r="E547" s="66"/>
    </row>
    <row r="548" spans="2:5" ht="20.05" customHeight="1" x14ac:dyDescent="0.35">
      <c r="B548" s="4" t="s">
        <v>504</v>
      </c>
      <c r="C548" s="362" t="str">
        <f>sample_mgmt_nsxt_federation_location_name</f>
        <v>sfo-m01</v>
      </c>
      <c r="D548" s="343" t="str">
        <f>mgmt_nsxt_federation_location_name</f>
        <v>Value Missing</v>
      </c>
      <c r="E548" s="66"/>
    </row>
    <row r="549" spans="2:5" ht="20.05" customHeight="1" x14ac:dyDescent="0.35">
      <c r="B549" s="4" t="s">
        <v>505</v>
      </c>
      <c r="C549" s="362" t="str">
        <f>sample_mgmt_az1_en2_uplink01_interface_cidr</f>
        <v>10.11.17.3/24</v>
      </c>
      <c r="D549" s="343" t="str">
        <f>mgmt_az1_en2_uplink01_interface_cidr</f>
        <v>Value Missing</v>
      </c>
      <c r="E549" s="66"/>
    </row>
    <row r="550" spans="2:5" ht="20.05" customHeight="1" x14ac:dyDescent="0.35">
      <c r="B550" s="17" t="s">
        <v>506</v>
      </c>
      <c r="C550" s="362" t="str">
        <f>CONCATENATE("VCF-edge_",sample_mgmt_ec_name,"_segment_uplink1_",sample_mgmt_az1_uplink01_vlan)</f>
        <v>VCF-edge_sfo-m01-ec01_segment_uplink1_1117</v>
      </c>
      <c r="D550" s="343" t="str">
        <f>CONCATENATE("VCF-edge_",mgmt_ec_name,"_segment_uplink1_",mgmt_az1_uplink01_vlan)</f>
        <v>VCF-edge_Value Missing_segment_uplink1_Value Missing</v>
      </c>
      <c r="E550" s="66"/>
    </row>
    <row r="551" spans="2:5" ht="20.05" customHeight="1" x14ac:dyDescent="0.35">
      <c r="B551" s="4" t="s">
        <v>507</v>
      </c>
      <c r="C551" s="362" t="str">
        <f>sample_mgmt_az1_en1_hostname</f>
        <v>sfo-m01-en1</v>
      </c>
      <c r="D551" s="343" t="str">
        <f>mgmt_az1_en2_hostname</f>
        <v>Value Missing</v>
      </c>
      <c r="E551" s="66"/>
    </row>
    <row r="552" spans="2:5" ht="20.05" customHeight="1" x14ac:dyDescent="0.35">
      <c r="B552" s="4" t="s">
        <v>508</v>
      </c>
      <c r="C552" s="362">
        <f>sample_mgmt_az1_uplink01_mtu</f>
        <v>9000</v>
      </c>
      <c r="D552" s="343" t="str">
        <f>mgmt_az1_uplink01_mtu</f>
        <v>Value Missing</v>
      </c>
      <c r="E552" s="66"/>
    </row>
    <row r="553" spans="2:5" ht="20.05" customHeight="1" x14ac:dyDescent="0.35">
      <c r="B553" s="4" t="s">
        <v>509</v>
      </c>
      <c r="C553" s="362" t="str">
        <f>CONCATENATE(sample_mgmt_az1_en2_hostname,"_VCF-edge_",sample_mgmt_ec_name,"_segment_",sample_mgmt_az1_uplink02_vlan,"_",sample_mgmt_az1_en2_uplink02_interface_cidr)</f>
        <v>sfo-m01-en2_VCF-edge_sfo-m01-ec01_segment_1118_10.11.18.3/24</v>
      </c>
      <c r="D553" s="343" t="str">
        <f>CONCATENATE(mgmt_az1_en2_hostname,"_VCF-edge_",mgmt_ec_name,"_segment_",mgmt_az1_uplink02_vlan,"_",mgmt_az1_en2_uplink02_interface_cidr)</f>
        <v>Value Missing_VCF-edge_Value Missing_segment_Value Missing_Value Missing</v>
      </c>
      <c r="E553" s="66"/>
    </row>
    <row r="554" spans="2:5" ht="20.05" customHeight="1" x14ac:dyDescent="0.35">
      <c r="B554" s="4" t="s">
        <v>510</v>
      </c>
      <c r="C554" s="362" t="str">
        <f>sample_mgmt_nsxt_federation_location_name</f>
        <v>sfo-m01</v>
      </c>
      <c r="D554" s="343" t="str">
        <f>mgmt_nsxt_federation_location_name</f>
        <v>Value Missing</v>
      </c>
      <c r="E554" s="66"/>
    </row>
    <row r="555" spans="2:5" ht="20.05" customHeight="1" x14ac:dyDescent="0.35">
      <c r="B555" s="4" t="s">
        <v>511</v>
      </c>
      <c r="C555" s="362" t="str">
        <f>sample_mgmt_az1_en2_uplink02_interface_cidr</f>
        <v>10.11.18.3/24</v>
      </c>
      <c r="D555" s="343" t="str">
        <f>mgmt_az1_en2_uplink02_interface_cidr</f>
        <v>Value Missing</v>
      </c>
      <c r="E555" s="66"/>
    </row>
    <row r="556" spans="2:5" ht="20.05" customHeight="1" x14ac:dyDescent="0.35">
      <c r="B556" s="17" t="s">
        <v>512</v>
      </c>
      <c r="C556" s="362" t="str">
        <f>CONCATENATE("VCF-edge_",sample_mgmt_ec_name,"_segment_uplink2_",sample_mgmt_az1_uplink02_vlan)</f>
        <v>VCF-edge_sfo-m01-ec01_segment_uplink2_1118</v>
      </c>
      <c r="D556" s="343" t="str">
        <f>CONCATENATE("VCF-edge_",mgmt_ec_name,"_segment_uplink2_",mgmt_az1_uplink02_vlan)</f>
        <v>VCF-edge_Value Missing_segment_uplink2_Value Missing</v>
      </c>
      <c r="E556" s="66"/>
    </row>
    <row r="557" spans="2:5" ht="20.05" customHeight="1" x14ac:dyDescent="0.35">
      <c r="B557" s="4" t="s">
        <v>513</v>
      </c>
      <c r="C557" s="362" t="str">
        <f t="array" ref="C557">sample_mgmt_az1_en2_hostname</f>
        <v>sfo-m01-en2</v>
      </c>
      <c r="D557" s="343" t="str">
        <f>mgmt_az1_en2_hostname</f>
        <v>Value Missing</v>
      </c>
      <c r="E557" s="66"/>
    </row>
    <row r="558" spans="2:5" ht="20.05" customHeight="1" x14ac:dyDescent="0.35">
      <c r="B558" s="4" t="s">
        <v>514</v>
      </c>
      <c r="C558" s="362">
        <f>sample_mgmt_az1_uplink02_mtu</f>
        <v>9000</v>
      </c>
      <c r="D558" s="343" t="str">
        <f>mgmt_az1_uplink02_mtu</f>
        <v>Value Missing</v>
      </c>
      <c r="E558" s="66"/>
    </row>
    <row r="559" spans="2:5" ht="20.05" customHeight="1" x14ac:dyDescent="0.35">
      <c r="B559" s="4" t="s">
        <v>515</v>
      </c>
      <c r="C559" s="362" t="str">
        <f>sample_mgmt_az1_tor1_peer_ip</f>
        <v>10.11.17.10</v>
      </c>
      <c r="D559" s="343" t="str">
        <f>mgmt_az1_tor1_peer_ip</f>
        <v>Value Missing</v>
      </c>
      <c r="E559" s="66"/>
    </row>
    <row r="560" spans="2:5" ht="20.05" customHeight="1" x14ac:dyDescent="0.35">
      <c r="B560" s="4" t="s">
        <v>516</v>
      </c>
      <c r="C560" s="362" t="str">
        <f>sample_mgmt_nsxt_federation_location_name</f>
        <v>sfo-m01</v>
      </c>
      <c r="D560" s="343" t="str">
        <f>mgmt_nsxt_federation_location_name</f>
        <v>Value Missing</v>
      </c>
      <c r="E560" s="66"/>
    </row>
    <row r="561" spans="2:5" ht="20.05" customHeight="1" x14ac:dyDescent="0.35">
      <c r="B561" s="4" t="s">
        <v>517</v>
      </c>
      <c r="C561" s="362" t="str">
        <f>sample_mgmt_az1_tor1_peer_asn</f>
        <v>65111</v>
      </c>
      <c r="D561" s="343" t="str">
        <f>mgmt_az1_tor1_peer_asn</f>
        <v>Value Missing</v>
      </c>
      <c r="E561" s="66"/>
    </row>
    <row r="562" spans="2:5" ht="20.05" customHeight="1" x14ac:dyDescent="0.35">
      <c r="B562" s="4" t="s">
        <v>518</v>
      </c>
      <c r="C562" s="362" t="str">
        <f>sample_mgmt_az1_en1_uplink01_interface_cidr</f>
        <v>10.11.17.2/24</v>
      </c>
      <c r="D562" s="343" t="str">
        <f>mgmt_az1_en1_uplink01_interface_cidr</f>
        <v>Value Missing</v>
      </c>
      <c r="E562" s="66"/>
    </row>
    <row r="563" spans="2:5" ht="20.05" customHeight="1" x14ac:dyDescent="0.35">
      <c r="B563" s="4" t="s">
        <v>519</v>
      </c>
      <c r="C563" s="362" t="str">
        <f>sample_mgmt_az1_en2_uplink01_interface_cidr</f>
        <v>10.11.17.3/24</v>
      </c>
      <c r="D563" s="343" t="str">
        <f>mgmt_az1_en2_uplink01_interface_cidr</f>
        <v>Value Missing</v>
      </c>
      <c r="E563" s="66"/>
    </row>
    <row r="564" spans="2:5" ht="20.05" customHeight="1" x14ac:dyDescent="0.35">
      <c r="B564" s="4" t="s">
        <v>520</v>
      </c>
      <c r="C564" s="362" t="str">
        <f>sample_mgmt_az1_tor1_peer_bgp_password</f>
        <v>VMw@re1!</v>
      </c>
      <c r="D564" s="343" t="str">
        <f>mgmt_az1_tor1_peer_bgp_password</f>
        <v>Value Missing</v>
      </c>
      <c r="E564" s="66"/>
    </row>
    <row r="565" spans="2:5" ht="20.05" customHeight="1" x14ac:dyDescent="0.35">
      <c r="B565" s="4" t="s">
        <v>521</v>
      </c>
      <c r="C565" s="362" t="str">
        <f>sample_mgmt_az1_tor2_peer_ip</f>
        <v>10.11.18.10</v>
      </c>
      <c r="D565" s="343" t="str">
        <f>mgmt_az1_tor2_peer_ip</f>
        <v>Value Missing</v>
      </c>
      <c r="E565" s="66"/>
    </row>
    <row r="566" spans="2:5" ht="20.05" customHeight="1" x14ac:dyDescent="0.35">
      <c r="B566" s="4" t="s">
        <v>522</v>
      </c>
      <c r="C566" s="362" t="str">
        <f>sample_mgmt_nsxt_federation_location_name</f>
        <v>sfo-m01</v>
      </c>
      <c r="D566" s="343" t="str">
        <f>mgmt_nsxt_federation_location_name</f>
        <v>Value Missing</v>
      </c>
      <c r="E566" s="66"/>
    </row>
    <row r="567" spans="2:5" ht="20.05" customHeight="1" x14ac:dyDescent="0.35">
      <c r="B567" s="4" t="s">
        <v>523</v>
      </c>
      <c r="C567" s="362" t="str">
        <f>sample_mgmt_az1_tor1_peer_asn</f>
        <v>65111</v>
      </c>
      <c r="D567" s="343" t="str">
        <f>mgmt_az1_tor1_peer_asn</f>
        <v>Value Missing</v>
      </c>
      <c r="E567" s="66"/>
    </row>
    <row r="568" spans="2:5" ht="20.05" customHeight="1" x14ac:dyDescent="0.35">
      <c r="B568" s="4" t="s">
        <v>524</v>
      </c>
      <c r="C568" s="362" t="str">
        <f>sample_mgmt_az1_en1_uplink02_interface_cidr</f>
        <v>10.11.18.2/24</v>
      </c>
      <c r="D568" s="343" t="str">
        <f>mgmt_az1_en1_uplink02_interface_cidr</f>
        <v>Value Missing</v>
      </c>
      <c r="E568" s="66"/>
    </row>
    <row r="569" spans="2:5" ht="20.05" customHeight="1" x14ac:dyDescent="0.35">
      <c r="B569" s="4" t="s">
        <v>525</v>
      </c>
      <c r="C569" s="362" t="str">
        <f>sample_mgmt_az1_en2_uplink02_interface_cidr</f>
        <v>10.11.18.3/24</v>
      </c>
      <c r="D569" s="343" t="str">
        <f>mgmt_az1_en2_uplink02_interface_cidr</f>
        <v>Value Missing</v>
      </c>
      <c r="E569" s="66"/>
    </row>
    <row r="570" spans="2:5" ht="20.05" customHeight="1" x14ac:dyDescent="0.35">
      <c r="B570" s="4" t="s">
        <v>526</v>
      </c>
      <c r="C570" s="362" t="str">
        <f>sample_mgmt_az1_tor2_peer_bgp_password</f>
        <v>VMw@re1!</v>
      </c>
      <c r="D570" s="343" t="str">
        <f>mgmt_az1_tor2_peer_bgp_password</f>
        <v>Value Missing</v>
      </c>
      <c r="E570" s="66"/>
    </row>
    <row r="571" spans="2:5" ht="20.05" customHeight="1" x14ac:dyDescent="0.35">
      <c r="B571" s="518" t="s">
        <v>527</v>
      </c>
      <c r="C571" s="519"/>
      <c r="D571" s="519"/>
      <c r="E571" s="520"/>
    </row>
    <row r="572" spans="2:5" ht="20.05" customHeight="1" x14ac:dyDescent="0.35">
      <c r="B572" s="4" t="s">
        <v>469</v>
      </c>
      <c r="C572" s="362" t="str">
        <f t="array" ref="C572">IF(mgmt_domain_chosen="First Instance",sample_mgmt_nsxt_gm_vip_fqdn,sample_mgmt_existing_active_nsx_gm)</f>
        <v>sfo-m01-nsx-gm01.sfo.rainpole.io</v>
      </c>
      <c r="D572" s="343" t="str">
        <f>IF(mgmt_domain_chosen="First Instance",mgmt_nsxt_gm_vip_fqdn,mgmt_existing_active_nsx_gm)</f>
        <v>Value Missing</v>
      </c>
      <c r="E572" s="66"/>
    </row>
    <row r="573" spans="2:5" ht="20.05" customHeight="1" x14ac:dyDescent="0.35">
      <c r="B573" s="4" t="s">
        <v>485</v>
      </c>
      <c r="C573" s="362" t="str">
        <f>sample_mgmt_nsxt_xreg_t1_name</f>
        <v>flt-m01-ec01-t1-gw01</v>
      </c>
      <c r="D573" s="343" t="str">
        <f>mgmt_nsxt_xreg_t1_name</f>
        <v>Value Missing</v>
      </c>
      <c r="E573" s="66"/>
    </row>
    <row r="574" spans="2:5" ht="20.05" customHeight="1" x14ac:dyDescent="0.35">
      <c r="B574" s="4" t="s">
        <v>482</v>
      </c>
      <c r="C574" s="362" t="str">
        <f>sample_mgmt_nsxt_federation_location_name</f>
        <v>sfo-m01</v>
      </c>
      <c r="D574" s="343" t="str">
        <f>mgmt_nsxt_federation_location_name</f>
        <v>Value Missing</v>
      </c>
      <c r="E574" s="25"/>
    </row>
    <row r="575" spans="2:5" ht="20.05" customHeight="1" x14ac:dyDescent="0.35">
      <c r="B575" s="4" t="s">
        <v>88</v>
      </c>
      <c r="C575" s="362" t="str">
        <f>sample_mgmt_ec_name</f>
        <v>sfo-m01-ec01</v>
      </c>
      <c r="D575" s="343" t="str">
        <f>mgmt_ec_name</f>
        <v>Value Missing</v>
      </c>
      <c r="E575" s="66"/>
    </row>
  </sheetData>
  <sheetProtection algorithmName="SHA-512" hashValue="qxS9zMbqZG8q6gaKafUIftX2V+QKP+SGoQ68HPLUBSMhbP9eRLd7jv1V9nD8z0rIqPYM5rSxshT7xLmrkR/Hdw==" saltValue="9JIskFAc5g4+b/R2NmgZNA==" spinCount="100000" sheet="1" selectLockedCells="1"/>
  <mergeCells count="77">
    <mergeCell ref="B530:E530"/>
    <mergeCell ref="B571:E571"/>
    <mergeCell ref="B489:E489"/>
    <mergeCell ref="B526:E526"/>
    <mergeCell ref="B508:E508"/>
    <mergeCell ref="B499:E499"/>
    <mergeCell ref="B496:E496"/>
    <mergeCell ref="B520:E520"/>
    <mergeCell ref="B484:E484"/>
    <mergeCell ref="B473:E473"/>
    <mergeCell ref="B396:E396"/>
    <mergeCell ref="B477:E477"/>
    <mergeCell ref="B399:E399"/>
    <mergeCell ref="B451:E451"/>
    <mergeCell ref="B416:E416"/>
    <mergeCell ref="B433:E433"/>
    <mergeCell ref="B479:E479"/>
    <mergeCell ref="B467:E467"/>
    <mergeCell ref="B36:E36"/>
    <mergeCell ref="B18:E18"/>
    <mergeCell ref="B31:E31"/>
    <mergeCell ref="B151:E151"/>
    <mergeCell ref="B94:E94"/>
    <mergeCell ref="B86:E86"/>
    <mergeCell ref="B89:E89"/>
    <mergeCell ref="B136:E136"/>
    <mergeCell ref="B87:E87"/>
    <mergeCell ref="B98:E98"/>
    <mergeCell ref="B91:E91"/>
    <mergeCell ref="B110:E110"/>
    <mergeCell ref="B41:E41"/>
    <mergeCell ref="B74:E74"/>
    <mergeCell ref="B57:E57"/>
    <mergeCell ref="B2:E2"/>
    <mergeCell ref="B337:E337"/>
    <mergeCell ref="B19:E19"/>
    <mergeCell ref="B224:E224"/>
    <mergeCell ref="B251:E251"/>
    <mergeCell ref="B187:E187"/>
    <mergeCell ref="B259:E259"/>
    <mergeCell ref="B66:E66"/>
    <mergeCell ref="B46:E46"/>
    <mergeCell ref="B124:E124"/>
    <mergeCell ref="B3:E3"/>
    <mergeCell ref="B30:E30"/>
    <mergeCell ref="B157:E157"/>
    <mergeCell ref="B172:E172"/>
    <mergeCell ref="B190:E190"/>
    <mergeCell ref="B51:E51"/>
    <mergeCell ref="B309:E309"/>
    <mergeCell ref="B276:E276"/>
    <mergeCell ref="B303:E303"/>
    <mergeCell ref="B333:E333"/>
    <mergeCell ref="B377:E377"/>
    <mergeCell ref="B277:E277"/>
    <mergeCell ref="B302:E302"/>
    <mergeCell ref="B375:E375"/>
    <mergeCell ref="B376:E376"/>
    <mergeCell ref="B395:E395"/>
    <mergeCell ref="B379:E379"/>
    <mergeCell ref="B344:E344"/>
    <mergeCell ref="B328:E328"/>
    <mergeCell ref="B382:E382"/>
    <mergeCell ref="B342:E342"/>
    <mergeCell ref="B209:E209"/>
    <mergeCell ref="B192:E192"/>
    <mergeCell ref="B196:E196"/>
    <mergeCell ref="B200:E200"/>
    <mergeCell ref="B267:E267"/>
    <mergeCell ref="B207:E207"/>
    <mergeCell ref="B220:E220"/>
    <mergeCell ref="B204:E204"/>
    <mergeCell ref="B247:E247"/>
    <mergeCell ref="B222:E222"/>
    <mergeCell ref="B229:E229"/>
    <mergeCell ref="B211:E211"/>
    <mergeCell ref="B205:E205"/>
  </mergeCells>
  <conditionalFormatting sqref="B12">
    <cfRule type="expression" dxfId="2086" priority="918">
      <formula>(mgmt_signed_certs_result="Included")</formula>
    </cfRule>
    <cfRule type="expression" dxfId="2085" priority="917">
      <formula>(mgmt_signed_certs_result="Excluded")</formula>
    </cfRule>
  </conditionalFormatting>
  <conditionalFormatting sqref="B13 D13:E13">
    <cfRule type="expression" dxfId="2084" priority="239">
      <formula>AND((mgmt_vns_chosen&lt;&gt;"Exclude"),(mgmt_vns_result="Excluded"))</formula>
    </cfRule>
  </conditionalFormatting>
  <conditionalFormatting sqref="B13">
    <cfRule type="expression" dxfId="2083" priority="923">
      <formula>(mgmt_vns_chosen&lt;&gt;"Include")</formula>
    </cfRule>
    <cfRule type="expression" dxfId="2082" priority="922">
      <formula>(mgmt_vns_result="Excluded")</formula>
    </cfRule>
  </conditionalFormatting>
  <conditionalFormatting sqref="B14 D14:E14">
    <cfRule type="expression" dxfId="2081" priority="908">
      <formula>AND((mgmt_avi_loadbalancer_chosen="Include"),(mgmt_avi_loadbalancer_result="Excluded"))</formula>
    </cfRule>
    <cfRule type="expression" dxfId="2080" priority="907">
      <formula>AND((mgmt_avi_loadbalancer_chosen="Include"),(mgmt_avi_loadbalancer_result="Included"))</formula>
    </cfRule>
    <cfRule type="expression" dxfId="2079" priority="906">
      <formula>AND((mgmt_avi_loadbalancer_chosen ="Exclude"),(mgmt_avi_loadbalancer_result="Excluded"))</formula>
    </cfRule>
  </conditionalFormatting>
  <conditionalFormatting sqref="B15 D15:E15">
    <cfRule type="expression" dxfId="2078" priority="924">
      <formula>AND((mgmt_stretched_cluster_chosen="Include"),(mgmt_stretched_cluster_result="Excluded"))</formula>
    </cfRule>
  </conditionalFormatting>
  <conditionalFormatting sqref="B15">
    <cfRule type="expression" dxfId="2077" priority="928">
      <formula>AND((mgmt_stretched_cluster_chosen="Include"),(mgmt_stretched_cluster_result="Included"))</formula>
    </cfRule>
    <cfRule type="expression" dxfId="2076" priority="926">
      <formula>(mgmt_stretched_cluster_chosen="Exclude")</formula>
    </cfRule>
  </conditionalFormatting>
  <conditionalFormatting sqref="B16 D16:E16">
    <cfRule type="expression" dxfId="2075" priority="909" stopIfTrue="1">
      <formula>AND((mgmt_nsxt_federation_chosen&lt;&gt;"Exclude"),(mgmt_nsxt_federation_result="Included"))</formula>
    </cfRule>
    <cfRule type="expression" dxfId="2074" priority="904">
      <formula>AND((mgmt_nsxt_federation_chosen&lt;&gt;"Exclude"),(mgmt_nsxt_federation_result="Excluded"))</formula>
    </cfRule>
  </conditionalFormatting>
  <conditionalFormatting sqref="B16">
    <cfRule type="expression" dxfId="2073" priority="919">
      <formula>(mgmt_nsxt_federation_chosen="Exclude")</formula>
    </cfRule>
  </conditionalFormatting>
  <conditionalFormatting sqref="C207:D207 C209:D209 C211:D211">
    <cfRule type="expression" dxfId="2072" priority="939">
      <formula>mgmt_avi_loadbalancer_result="Excluded"</formula>
    </cfRule>
  </conditionalFormatting>
  <conditionalFormatting sqref="D21:D28">
    <cfRule type="containsBlanks" dxfId="2071" priority="652">
      <formula>LEN(TRIM(D21))=0</formula>
    </cfRule>
    <cfRule type="notContainsBlanks" dxfId="2070" priority="653">
      <formula>LEN(TRIM(D21))&gt;0</formula>
    </cfRule>
    <cfRule type="expression" dxfId="2068" priority="651">
      <formula>mgmt_domain_result="Excluded"</formula>
    </cfRule>
  </conditionalFormatting>
  <conditionalFormatting sqref="D33:D35 D37:D40 D42:D45 D47:D50 D52:D56 D58:D65 D67:D73 D75:D84 D90 D92:D93 D95:D97 D99:D109 D111:D123 D125:D135 D137:D150 D152:D156 D158:D171 D173:D186 D188:D189 D191 D193:D195 D197:D199 D201:D202 D208 D210 D212:D218 D225:D228 D230:D245 D249:D250 D252:D258 D260:D266 D268:D274 D279:D300 D305:D308 D310:D327 D329:D332 D334:D336 D338:D340 D345:D374 D378 D380:D381 D383:D393 D398 D400:D415 D417:D432 D434:D450 D452:D466 D468:D472 D474:D476 D478 D480:D483 D485:D488 D490:D495 D497:D498 D500:D507 D509:D519 D521:D525 D527:D529 D531:D570 D572:D575">
    <cfRule type="notContainsBlanks" dxfId="2067" priority="955">
      <formula>LEN(TRIM(D33))&gt;0</formula>
    </cfRule>
    <cfRule type="containsBlanks" dxfId="2066" priority="893">
      <formula>LEN(TRIM(D33))=0</formula>
    </cfRule>
  </conditionalFormatting>
  <conditionalFormatting sqref="D33:D35 D37:D40 D42:D45 D47:D50 D52:D56 D58:D65">
    <cfRule type="expression" dxfId="2065" priority="799" stopIfTrue="1">
      <formula>OR((mgmt_signed_certs_result="Excluded"),(mgmt_signed_certs_chosen&lt;&gt;"Microsoft CA"))</formula>
    </cfRule>
  </conditionalFormatting>
  <conditionalFormatting sqref="D45 D50 D58:D65">
    <cfRule type="expression" dxfId="2064" priority="875">
      <formula>mgmt_domain_result="Excluded"</formula>
    </cfRule>
  </conditionalFormatting>
  <conditionalFormatting sqref="D45 D58:D65 C30:D30">
    <cfRule type="expression" dxfId="2063" priority="883">
      <formula>mgmt_signed_certs_result="Excluded"</formula>
    </cfRule>
  </conditionalFormatting>
  <conditionalFormatting sqref="D56">
    <cfRule type="expression" dxfId="2062" priority="804">
      <formula>OR((mgmt_signed_certs_result="Excluded"),(mgmt_signed_certs_chosen&lt;&gt;"Microsoft CA"))</formula>
    </cfRule>
  </conditionalFormatting>
  <conditionalFormatting sqref="D67:D73 D75:D84">
    <cfRule type="expression" dxfId="2061" priority="483">
      <formula>OR((mgmt_signed_certs_result="Excluded"),(mgmt_signed_certs_chosen&lt;&gt;"OpenSSL CA"))</formula>
    </cfRule>
  </conditionalFormatting>
  <conditionalFormatting sqref="D90 D92:D93 D95:D97 D99:D109 D111:D123 D125:D135 D137:D150 D152:D156 D158:D171 D173:D186 D188:D189 D191">
    <cfRule type="expression" dxfId="2060" priority="2">
      <formula>mgmt_vns_result="Excluded"</formula>
    </cfRule>
  </conditionalFormatting>
  <conditionalFormatting sqref="D92:D93">
    <cfRule type="expression" dxfId="2059" priority="234">
      <formula>mgmt_vns_chosen="Centralized Connectivity"</formula>
    </cfRule>
  </conditionalFormatting>
  <conditionalFormatting sqref="D103 D129">
    <cfRule type="expression" dxfId="2058" priority="472">
      <formula>mgmt_ec01_host_group_affinity_rule_chosen="No"</formula>
    </cfRule>
  </conditionalFormatting>
  <conditionalFormatting sqref="D107:D108 D133:D134">
    <cfRule type="expression" dxfId="2057" priority="473">
      <formula>mgmt_az1_en1_ip_allocation_chosen="DHCP"</formula>
    </cfRule>
  </conditionalFormatting>
  <conditionalFormatting sqref="D115:D123 D141:D147">
    <cfRule type="expression" dxfId="2056" priority="409">
      <formula>mgmt_ec01_use_host_overlay_chosen="Selected"</formula>
    </cfRule>
  </conditionalFormatting>
  <conditionalFormatting sqref="D117:D119">
    <cfRule type="expression" dxfId="2055" priority="474">
      <formula>mgmt_az1_en1_edge_overlay_network_ip_allocation_chosen&lt;&gt;"IP Pool"</formula>
    </cfRule>
  </conditionalFormatting>
  <conditionalFormatting sqref="D120:D121 D123">
    <cfRule type="expression" dxfId="2054" priority="471">
      <formula>mgmt_az1_en1_edge_overlay_network_ip_allocation_chosen&lt;&gt;"Static IP List"</formula>
    </cfRule>
  </conditionalFormatting>
  <conditionalFormatting sqref="D122">
    <cfRule type="expression" dxfId="2053" priority="233">
      <formula>input_mgmt_az1_edge_overlay_gateway_ip="DHCP"</formula>
    </cfRule>
  </conditionalFormatting>
  <conditionalFormatting sqref="D125:D135 D95:D97 D99:D109 D111:D123 D137:D150 D152:D156 D158:D171 D173:D186">
    <cfRule type="expression" dxfId="2052" priority="199">
      <formula>mgmt_vns_chosen="Distributed Connectivity"</formula>
    </cfRule>
  </conditionalFormatting>
  <conditionalFormatting sqref="D127">
    <cfRule type="expression" dxfId="2051" priority="3">
      <formula>$D$127="Value Missing"</formula>
    </cfRule>
  </conditionalFormatting>
  <conditionalFormatting sqref="D129">
    <cfRule type="expression" dxfId="2050" priority="479">
      <formula>input_mgmt_ec01_host_group_affinity_rule_chosen="No"</formula>
    </cfRule>
  </conditionalFormatting>
  <conditionalFormatting sqref="D131:D133 D120:D121 D144:D145 D174 D181 D99 D105:D106 D125 D166">
    <cfRule type="expression" dxfId="2049" priority="797">
      <formula>mgmt_vns_result="Excluded"</formula>
    </cfRule>
  </conditionalFormatting>
  <conditionalFormatting sqref="D143">
    <cfRule type="expression" dxfId="2048" priority="478">
      <formula>mgmt_az1_en1_edge_overlay_network_ip_allocation_chosen&lt;&gt;"IP Pool"</formula>
    </cfRule>
  </conditionalFormatting>
  <conditionalFormatting sqref="D144:D147">
    <cfRule type="expression" dxfId="2047" priority="445">
      <formula>mgmt_az1_en1_edge_overlay_network_ip_allocation_chosen&lt;&gt;"Static IP List"</formula>
    </cfRule>
  </conditionalFormatting>
  <conditionalFormatting sqref="D149:D150">
    <cfRule type="expression" dxfId="2046" priority="411">
      <formula>mgmt_az1_ec01_password_creation_chosen="Selected"</formula>
    </cfRule>
  </conditionalFormatting>
  <conditionalFormatting sqref="D153:D156">
    <cfRule type="expression" dxfId="2045" priority="36">
      <formula>OR((mgmt_nsxt_federation_chosen="Standby Global Manager"),(mgmt_nsxt_federation_chosen="Connect Instance"))</formula>
    </cfRule>
    <cfRule type="expression" dxfId="2044" priority="7">
      <formula>mgmt_tier0_skip_chosen="Selected"</formula>
    </cfRule>
  </conditionalFormatting>
  <conditionalFormatting sqref="D156 D160:D164 D167:D171 D175:D180 D183:D186">
    <cfRule type="expression" dxfId="2043" priority="235">
      <formula>mgmt_gateway_routing_type_chosen="STATIC"</formula>
    </cfRule>
  </conditionalFormatting>
  <conditionalFormatting sqref="D158:D171 D173:D186 D188:D189">
    <cfRule type="expression" dxfId="2042" priority="187">
      <formula>AND((mgmt_tier0_skip_chosen="Selected"),(mgmt_nsxt_federation_chosen="Exclude"))</formula>
    </cfRule>
  </conditionalFormatting>
  <conditionalFormatting sqref="D173:D186">
    <cfRule type="expression" dxfId="2041" priority="245">
      <formula>OR((mgmt_domain_result="Excluded"),(mgmt_vns_result="Excluded"))</formula>
    </cfRule>
  </conditionalFormatting>
  <conditionalFormatting sqref="D191 D193 D197">
    <cfRule type="expression" dxfId="2040" priority="4">
      <formula>mgmt_ec_api_chosen="Exclude"</formula>
    </cfRule>
  </conditionalFormatting>
  <conditionalFormatting sqref="D191">
    <cfRule type="expression" dxfId="2039" priority="6">
      <formula>mgmt_ec_api_chosen="Include"</formula>
    </cfRule>
  </conditionalFormatting>
  <conditionalFormatting sqref="D193:D195">
    <cfRule type="expression" dxfId="2038" priority="27">
      <formula>mgmt_vns_result="Excluded"</formula>
    </cfRule>
    <cfRule type="expression" dxfId="2037" priority="35">
      <formula>OR((mgmt_domain_result="Excluded"),(mgmt_vns_result="Excluded"))</formula>
    </cfRule>
    <cfRule type="expression" dxfId="2036" priority="34">
      <formula>mgmt_gateway_routing_type_chosen="STATIC"</formula>
    </cfRule>
    <cfRule type="expression" dxfId="2035" priority="28">
      <formula>AND((mgmt_tier0_skip_chosen="Selected"),OR((gmt_nsxt_federation_chosen="Standby Global Manager"),(mgmt_nsxt_federation_chosen="Connect Instance")))</formula>
    </cfRule>
    <cfRule type="expression" dxfId="2034" priority="29">
      <formula>mgmt_vns_chosen="Distributed Connectivity"</formula>
    </cfRule>
  </conditionalFormatting>
  <conditionalFormatting sqref="D197:D199">
    <cfRule type="expression" dxfId="2033" priority="26">
      <formula>OR((mgmt_domain_result="Excluded"),(mgmt_vns_result="Excluded"))</formula>
    </cfRule>
    <cfRule type="expression" dxfId="2032" priority="25">
      <formula>mgmt_gateway_routing_type_chosen="STATIC"</formula>
    </cfRule>
    <cfRule type="expression" dxfId="2031" priority="20">
      <formula>mgmt_vns_chosen="Distributed Connectivity"</formula>
    </cfRule>
    <cfRule type="expression" dxfId="2030" priority="19">
      <formula>AND((mgmt_tier0_skip_chosen="Selected"),OR((gmt_nsxt_federation_chosen="Standby Global Manager"),(mgmt_nsxt_federation_chosen="Connect Instance")))</formula>
    </cfRule>
    <cfRule type="expression" dxfId="2029" priority="18">
      <formula>mgmt_vns_result="Excluded"</formula>
    </cfRule>
  </conditionalFormatting>
  <conditionalFormatting sqref="D200">
    <cfRule type="expression" dxfId="2028" priority="217">
      <formula>mgmt_domain_existing_vcenter_chosen="Selected"</formula>
    </cfRule>
    <cfRule type="notContainsBlanks" dxfId="2026" priority="219">
      <formula>LEN(TRIM(D200))&gt;0</formula>
    </cfRule>
    <cfRule type="containsBlanks" dxfId="2025" priority="220">
      <formula>LEN(TRIM(D200))=0</formula>
    </cfRule>
    <cfRule type="expression" dxfId="2024" priority="216">
      <formula>input_mgmt_principal_storage_chosen="VMFS on Fibre Channel (FC)"</formula>
    </cfRule>
  </conditionalFormatting>
  <conditionalFormatting sqref="D201:D202">
    <cfRule type="expression" dxfId="2023" priority="16">
      <formula>mgmt_gateway_routing_type_chosen="STATIC"</formula>
    </cfRule>
    <cfRule type="expression" dxfId="2022" priority="17">
      <formula>OR((mgmt_domain_result="Excluded"),(mgmt_vns_result="Excluded"))</formula>
    </cfRule>
    <cfRule type="expression" dxfId="2021" priority="15">
      <formula>mgmt_vns_chosen="Distributed Connectivity"</formula>
    </cfRule>
    <cfRule type="expression" dxfId="2020" priority="14">
      <formula>AND((mgmt_tier0_skip_chosen="Selected"),OR((gmt_nsxt_federation_chosen="Standby Global Manager"),(mgmt_nsxt_federation_chosen="Connect Instance")))</formula>
    </cfRule>
    <cfRule type="expression" dxfId="2019" priority="8">
      <formula>mgmt_vns_result="Excluded"</formula>
    </cfRule>
  </conditionalFormatting>
  <conditionalFormatting sqref="D208">
    <cfRule type="expression" dxfId="2018" priority="707">
      <formula>mgmt_avi_loadbalancer_result="Excluded"</formula>
    </cfRule>
    <cfRule type="expression" dxfId="2017" priority="710">
      <formula>mgmt_domain_result="Excluded"</formula>
    </cfRule>
  </conditionalFormatting>
  <conditionalFormatting sqref="D210">
    <cfRule type="expression" dxfId="2016" priority="482">
      <formula>mgmt_avi_loadbalancer_result="Excluded"</formula>
    </cfRule>
  </conditionalFormatting>
  <conditionalFormatting sqref="D212:D218">
    <cfRule type="expression" dxfId="2015" priority="711">
      <formula>mgmt_avi_loadbalancer_result="Excluded"</formula>
    </cfRule>
  </conditionalFormatting>
  <conditionalFormatting sqref="D225:D228">
    <cfRule type="expression" dxfId="2014" priority="321">
      <formula>mgmt_stretched_cluster_result="Excluded"</formula>
    </cfRule>
  </conditionalFormatting>
  <conditionalFormatting sqref="D230:D245">
    <cfRule type="expression" dxfId="2013" priority="320">
      <formula>mgmt_stretched_cluster_result="Excluded"</formula>
    </cfRule>
  </conditionalFormatting>
  <conditionalFormatting sqref="D249">
    <cfRule type="expression" dxfId="2012" priority="63">
      <formula>OR((mgmt_domain_result="Excluded"),(mgmt_stretched_cluster_result="Excluded"))</formula>
    </cfRule>
  </conditionalFormatting>
  <conditionalFormatting sqref="D250">
    <cfRule type="expression" dxfId="2011" priority="360">
      <formula>OR((mgmt_domain_result="Excluded"),(mgmt_stretched_cluster_result="Excluded"))</formula>
    </cfRule>
  </conditionalFormatting>
  <conditionalFormatting sqref="D252:D258 D260:D266 D268:D274">
    <cfRule type="expression" dxfId="2010" priority="60">
      <formula>mgmt_az2_reuse_vcf_networkpool_chosen="Re-use an existing VCF Network Pool"</formula>
    </cfRule>
  </conditionalFormatting>
  <conditionalFormatting sqref="D259">
    <cfRule type="expression" dxfId="2009" priority="464">
      <formula>mgmt_domain_existing_vcenter_chosen="Selected"</formula>
    </cfRule>
    <cfRule type="containsBlanks" dxfId="2008" priority="466">
      <formula>LEN(TRIM(D259))=0</formula>
    </cfRule>
    <cfRule type="notContainsBlanks" dxfId="2006" priority="467">
      <formula>LEN(TRIM(D259))&gt;0</formula>
    </cfRule>
    <cfRule type="expression" dxfId="2005" priority="463">
      <formula>input_mgmt_principal_storage_chosen="VMFS on Fibre Channel (FC)"</formula>
    </cfRule>
  </conditionalFormatting>
  <conditionalFormatting sqref="D268:D274 D252:D258 D260:D266">
    <cfRule type="expression" dxfId="2004" priority="246">
      <formula>mgmt_stretched_cluster_result="Excluded"</formula>
    </cfRule>
  </conditionalFormatting>
  <conditionalFormatting sqref="D268:D274">
    <cfRule type="expression" dxfId="2003" priority="186">
      <formula>mgmt_principal_storage_chosen&lt;&gt;"NFSv3"</formula>
    </cfRule>
  </conditionalFormatting>
  <conditionalFormatting sqref="D272">
    <cfRule type="expression" dxfId="2002" priority="401">
      <formula>AND((wld_host_overlay_addressing_result="Included"),(ISBLANK(input_wld_az1_host_overlay_gateway_ip)))</formula>
    </cfRule>
  </conditionalFormatting>
  <conditionalFormatting sqref="D279:D300">
    <cfRule type="expression" dxfId="2001" priority="373">
      <formula>mgmt_stretched_cluster_result="Excluded"</formula>
    </cfRule>
  </conditionalFormatting>
  <conditionalFormatting sqref="D303">
    <cfRule type="expression" dxfId="2000" priority="366">
      <formula>mgmt_domain_existing_vcenter_chosen="Selected"</formula>
    </cfRule>
  </conditionalFormatting>
  <conditionalFormatting sqref="D305:D308">
    <cfRule type="expression" dxfId="1999" priority="309">
      <formula>mgmt_stretched_cluster_result="Excluded"</formula>
    </cfRule>
  </conditionalFormatting>
  <conditionalFormatting sqref="D310:D327 D345:D374">
    <cfRule type="expression" dxfId="1998" priority="64" stopIfTrue="1">
      <formula>mgmt_stretched_cluster_result="Excluded"</formula>
    </cfRule>
  </conditionalFormatting>
  <conditionalFormatting sqref="D327">
    <cfRule type="expression" dxfId="1997" priority="480">
      <formula>AND((mgmt_stretched_cluster_result="Excluded"),(wld_stretched_cluster_result="Excluded"))</formula>
    </cfRule>
  </conditionalFormatting>
  <conditionalFormatting sqref="D329:D332 D334:D336 D338:D340 D378 D380:D381 D383:D393">
    <cfRule type="expression" dxfId="1996" priority="247" stopIfTrue="1">
      <formula>mgmt_stretched_cluster_result="Excluded"</formula>
    </cfRule>
  </conditionalFormatting>
  <conditionalFormatting sqref="D378 D380:D381 D383:D393">
    <cfRule type="expression" dxfId="1995" priority="394">
      <formula>OR((mgmt_stretched_cluster_result="Excluded"),(mgmt_vns_chosen&lt;&gt;"Centralized Connectivity"))</formula>
    </cfRule>
  </conditionalFormatting>
  <conditionalFormatting sqref="D398 D400:D415 D417:D432 D434:D450 D452:D466 D474:D476">
    <cfRule type="expression" dxfId="1994" priority="37">
      <formula>OR((mgmt_nsxt_federation_result="Excluded"),(mgmt_nsxt_federation_chosen="Connect Instance"))</formula>
    </cfRule>
  </conditionalFormatting>
  <conditionalFormatting sqref="D453:D454">
    <cfRule type="expression" dxfId="1993" priority="705">
      <formula>OR((mgmt_domain_result="Excluded"),(mgmt_nsxt_federation_result="Excluded"))</formula>
    </cfRule>
    <cfRule type="expression" dxfId="1992" priority="706">
      <formula>mgmt_domain_result="Excluded"</formula>
    </cfRule>
  </conditionalFormatting>
  <conditionalFormatting sqref="D468:D472">
    <cfRule type="expression" dxfId="1991" priority="702">
      <formula>OR((mgmt_nsxt_federation_result="Excluded"),(mgmt_nsxt_federation_chosen="Connect Instance"))</formula>
    </cfRule>
  </conditionalFormatting>
  <conditionalFormatting sqref="D469">
    <cfRule type="expression" dxfId="1990" priority="701">
      <formula>mgmt_domain_result="Excluded"</formula>
    </cfRule>
  </conditionalFormatting>
  <conditionalFormatting sqref="D475">
    <cfRule type="expression" dxfId="1989" priority="692">
      <formula>mgmt_nsxt_federation_result="Excluded"</formula>
    </cfRule>
  </conditionalFormatting>
  <conditionalFormatting sqref="D478">
    <cfRule type="expression" dxfId="1988" priority="59">
      <formula>OR((mgmt_nsxt_federation_result="Excluded"),(mgmt_nsxt_federation_chosen="Connect Instance"),(mgmt_signed_certs_result="Excluded"))</formula>
    </cfRule>
  </conditionalFormatting>
  <conditionalFormatting sqref="D480:D483">
    <cfRule type="expression" dxfId="1987" priority="58">
      <formula>OR((mgmt_nsxt_federation_result="Excluded"),(mgmt_nsxt_federation_chosen="Connect Instance"),(mgmt_signed_certs_result="Excluded"))</formula>
    </cfRule>
  </conditionalFormatting>
  <conditionalFormatting sqref="D481">
    <cfRule type="expression" dxfId="1986" priority="676">
      <formula>mgmt_domain_result="Excluded"</formula>
    </cfRule>
    <cfRule type="expression" dxfId="1985" priority="683">
      <formula>OR((mgmt_nsxt_federation_result="Excluded"),(mgmt_nsxt_federation_chosen="Connect Instance"))</formula>
    </cfRule>
  </conditionalFormatting>
  <conditionalFormatting sqref="D485:D488">
    <cfRule type="expression" dxfId="1984" priority="46">
      <formula>OR((mgmt_nsxt_federation_result="Excluded"),(mgmt_nsxt_federation_chosen="Connect Instance"),(mgmt_signed_certs_result="Excluded"))</formula>
    </cfRule>
  </conditionalFormatting>
  <conditionalFormatting sqref="D486">
    <cfRule type="expression" dxfId="1983" priority="54">
      <formula>mgmt_domain_result="Excluded"</formula>
    </cfRule>
    <cfRule type="expression" dxfId="1982" priority="57">
      <formula>OR((mgmt_nsxt_federation_result="Excluded"),(mgmt_nsxt_federation_chosen="Connect Instance"))</formula>
    </cfRule>
  </conditionalFormatting>
  <conditionalFormatting sqref="D490:D491 D509:D519">
    <cfRule type="expression" dxfId="1981" priority="507">
      <formula>mgmt_nsxt_federation_result="Excluded"</formula>
    </cfRule>
  </conditionalFormatting>
  <conditionalFormatting sqref="D492:D493">
    <cfRule type="expression" dxfId="1980" priority="672">
      <formula>mgmt_nsxt_federation_result="Excluded"</formula>
    </cfRule>
  </conditionalFormatting>
  <conditionalFormatting sqref="D494:D495">
    <cfRule type="expression" dxfId="1979" priority="675" stopIfTrue="1">
      <formula>mgmt_nsxt_federation_result="Excluded"</formula>
    </cfRule>
  </conditionalFormatting>
  <conditionalFormatting sqref="D497:D498">
    <cfRule type="expression" dxfId="1978" priority="45">
      <formula>OR((mgmt_nsxt_federation_result="Excluded"),(mgmt_nsxt_federation_chosen&lt;&gt;"Active Global Manager"))</formula>
    </cfRule>
  </conditionalFormatting>
  <conditionalFormatting sqref="D500 D502:D507">
    <cfRule type="expression" dxfId="1977" priority="885">
      <formula>OR((mgmt_nsxt_federation_result="Excluded"),(mgmt_nsxt_federation_chosen&lt;&gt;"Standby Global Manager"))</formula>
    </cfRule>
  </conditionalFormatting>
  <conditionalFormatting sqref="D501">
    <cfRule type="expression" dxfId="1975" priority="671">
      <formula>mgmt_domain_result="Excluded"</formula>
    </cfRule>
    <cfRule type="expression" dxfId="1974" priority="661">
      <formula>OR((mgmt_nsxt_federation_result="Excluded"),(mgmt_nsxt_federation_chosen="Active Global Manager"),(mgmt_nsxt_federation_chosen="Connect Instance"))</formula>
    </cfRule>
  </conditionalFormatting>
  <conditionalFormatting sqref="D510">
    <cfRule type="expression" dxfId="1973" priority="534">
      <formula>OR((mgmt_domain_result="Excluded"),(mgmt_nsxt_federation_result="Excluded"))</formula>
    </cfRule>
    <cfRule type="expression" dxfId="1972" priority="656">
      <formula>mgmt_domain_result="Excluded"</formula>
    </cfRule>
  </conditionalFormatting>
  <conditionalFormatting sqref="D521:D525">
    <cfRule type="expression" dxfId="1971" priority="43">
      <formula>OR((mgmt_nsxt_federation_result="Excluded"),(mgmt_nsxt_federation_chosen&lt;&gt;"Active Global Manager"))</formula>
    </cfRule>
  </conditionalFormatting>
  <conditionalFormatting sqref="D523 D531:D570 D572:D575">
    <cfRule type="expression" dxfId="1970" priority="370">
      <formula>OR((mgmt_nsxt_federation_result="Excluded"),(mgmt_nsxt_federation_chosen="Active Global Manager"))</formula>
    </cfRule>
  </conditionalFormatting>
  <conditionalFormatting sqref="D527:D529">
    <cfRule type="expression" dxfId="1969" priority="38">
      <formula>OR((mgmt_nsxt_federation_result="Excluded"),(mgmt_nsxt_federation_chosen&lt;&gt;"Active Global Manager"))</formula>
    </cfRule>
  </conditionalFormatting>
  <conditionalFormatting sqref="D12:E12 B12">
    <cfRule type="expression" dxfId="1968" priority="238">
      <formula>AND((mgmt_signed_certs_chosen&lt;&gt;"Exclude"),(mgmt_signed_certs_result="Excluded"))</formula>
    </cfRule>
  </conditionalFormatting>
  <conditionalFormatting sqref="D12:E12">
    <cfRule type="expression" dxfId="1967" priority="912">
      <formula>(mgmt_signed_certs_result="Excluded")</formula>
    </cfRule>
    <cfRule type="expression" dxfId="1966" priority="913">
      <formula>(mgmt_signed_certs_chosen&lt;&gt;"Exclude")</formula>
    </cfRule>
  </conditionalFormatting>
  <conditionalFormatting sqref="D13:E13">
    <cfRule type="expression" dxfId="1965" priority="914">
      <formula>(mgmt_vns_result="Excluded")</formula>
    </cfRule>
    <cfRule type="expression" dxfId="1964" priority="915">
      <formula>(mgmt_vns_result="Included")</formula>
    </cfRule>
  </conditionalFormatting>
  <conditionalFormatting sqref="D15:E15">
    <cfRule type="expression" dxfId="1963" priority="925">
      <formula>(mgmt_stretched_cluster_result="Excluded")</formula>
    </cfRule>
    <cfRule type="expression" dxfId="1962" priority="927">
      <formula>AND((mgmt_stretched_cluster_chosen="Include"),(mgmt_stretched_cluster_result="Included"))</formula>
    </cfRule>
  </conditionalFormatting>
  <conditionalFormatting sqref="D16:E16">
    <cfRule type="expression" dxfId="1961" priority="910">
      <formula>AND((vcf_granular_option_chosen&lt;&gt;"Deploy a VCF Instance in an existing VCF fleet"),(vcf_granular_option_chosen&lt;&gt;"Deploy a new VCF fleet"),(vcf_granular_option_chosen&lt;&gt;"Cluster"),(vcf_granular_option_chosen&lt;&gt;"One or More VVDs"))</formula>
    </cfRule>
    <cfRule type="expression" dxfId="1960" priority="911">
      <formula>(mgmt_nsxt_federation_chosen="Exclude")</formula>
    </cfRule>
    <cfRule type="expression" dxfId="1959" priority="921">
      <formula>AND((mgmt_nsxt_federation_chosen&lt;&gt;"Exclude"),(mgmt_nsxt_federation_result="Excluded"))</formula>
    </cfRule>
  </conditionalFormatting>
  <conditionalFormatting sqref="E15">
    <cfRule type="containsText" dxfId="1957" priority="916" operator="containsText" text="Note:">
      <formula>NOT(ISERROR(SEARCH("Note:",E15)))</formula>
    </cfRule>
  </conditionalFormatting>
  <conditionalFormatting sqref="E279:E294">
    <cfRule type="expression" dxfId="1956" priority="470">
      <formula>OR((wld_vlcm_model_result="Excluded"),(wld_vlcm_model_chosen="Baselines"))</formula>
    </cfRule>
  </conditionalFormatting>
  <dataValidations count="17">
    <dataValidation type="list" allowBlank="1" showInputMessage="1" showErrorMessage="1" sqref="B16" xr:uid="{4C87AA03-6454-D94F-9467-431FFA208D54}">
      <formula1>"Exclude, Active Global Manager, Standby Global Manager, Connect Instance"</formula1>
    </dataValidation>
    <dataValidation type="list" allowBlank="1" showInputMessage="1" showErrorMessage="1" sqref="B12" xr:uid="{9C44D66D-A6AE-BB4C-A959-2695BEEC9467}">
      <formula1>"Exclude,Microsoft CA,OpenSSL CA"</formula1>
    </dataValidation>
    <dataValidation type="list" allowBlank="1" showInputMessage="1" showErrorMessage="1" sqref="B13" xr:uid="{2D9695D8-0E1C-EF44-AAB1-95F146F1964E}">
      <formula1>"Exclude,Centralized Connectivity,Distributed Connectivity"</formula1>
    </dataValidation>
    <dataValidation type="list" allowBlank="1" showInputMessage="1" showErrorMessage="1" sqref="D210" xr:uid="{8510D5E3-76F3-4F48-A320-4202661526C0}">
      <formula1>"Small,Medium,Large"</formula1>
    </dataValidation>
    <dataValidation type="list" allowBlank="1" showInputMessage="1" showErrorMessage="1" sqref="B14:B15 D191" xr:uid="{C69FA742-5038-9D45-BD6D-BB0D8DB6294F}">
      <formula1>"Include,Exclude"</formula1>
    </dataValidation>
    <dataValidation type="list" allowBlank="1" showInputMessage="1" showErrorMessage="1" sqref="D105" xr:uid="{E838950C-5824-1048-9170-FDEAC523C764}">
      <formula1>"DHCP,Static"</formula1>
    </dataValidation>
    <dataValidation type="list" allowBlank="1" showInputMessage="1" showErrorMessage="1" sqref="D102" xr:uid="{0F03A693-4659-0642-B5C1-56827D3A287D}">
      <formula1>"Yes,No"</formula1>
    </dataValidation>
    <dataValidation type="list" allowBlank="1" showInputMessage="1" showErrorMessage="1" sqref="D148 D109" xr:uid="{EB1D5431-E355-8349-92B7-98699093D262}">
      <formula1>"Selected,Unselected"</formula1>
    </dataValidation>
    <dataValidation type="list" allowBlank="1" showInputMessage="1" showErrorMessage="1" sqref="D155" xr:uid="{B5F4A4EE-17C2-E74F-8366-A5915E1CDDA9}">
      <formula1>"BGP,STATIC"</formula1>
    </dataValidation>
    <dataValidation type="list" allowBlank="1" showInputMessage="1" showErrorMessage="1" sqref="D161 D152 D176" xr:uid="{445EF43D-0D75-3D4A-A2ED-D8E3CC33620C}">
      <formula1>"Unselected,Selected"</formula1>
    </dataValidation>
    <dataValidation type="list" allowBlank="1" showInputMessage="1" showErrorMessage="1" sqref="D154" xr:uid="{B7DAA969-9775-E54D-8FB3-20D65C5FE37E}">
      <formula1>"Active Active,Active Standby"</formula1>
    </dataValidation>
    <dataValidation type="list" allowBlank="1" showInputMessage="1" showErrorMessage="1" sqref="D97" xr:uid="{FD3C196B-0CE6-C940-BEFC-D531A62BD32C}">
      <formula1>sizing_nsxt_edge_sizing_list</formula1>
    </dataValidation>
    <dataValidation type="list" allowBlank="1" showInputMessage="1" showErrorMessage="1" sqref="D249" xr:uid="{3A8139DA-5760-284F-92B4-C643E6BDFED4}">
      <formula1>"Re-use an existing VCF Network Pool,Create a new VCF Network Pool"</formula1>
    </dataValidation>
    <dataValidation type="list" allowBlank="1" showInputMessage="1" showErrorMessage="1" sqref="D362" xr:uid="{87787DC0-6963-C243-9CE6-A77E9D967B7A}">
      <formula1>"Re-use an existing Pool,Create New Static IP Pool"</formula1>
    </dataValidation>
    <dataValidation type="list" allowBlank="1" showInputMessage="1" showErrorMessage="1" sqref="D123 D255 D263 D271" xr:uid="{951D9857-4EE1-9C47-88BC-3A61688F0E59}">
      <formula1>table_masks</formula1>
    </dataValidation>
    <dataValidation type="list" allowBlank="1" showInputMessage="1" showErrorMessage="1" sqref="D403" xr:uid="{7E60ABCF-9E78-D341-A124-AF768C695917}">
      <formula1>"Small,Medium,Large,X-Large"</formula1>
    </dataValidation>
    <dataValidation type="list" allowBlank="1" showInputMessage="1" showErrorMessage="1" sqref="D116" xr:uid="{E9886013-30A8-D142-BF14-FD432DB2FF83}">
      <formula1>"Static IP List,DHCP,IP Pool"</formula1>
    </dataValidation>
  </dataValidations>
  <hyperlinks>
    <hyperlink ref="B5" location="'Configure Management Domain'!navigation_configure_sftp_mgmt_domain" display="Configure SFTP Backups for SDDC Manager and NSX" xr:uid="{00000000-0004-0000-0400-000000000000}"/>
    <hyperlink ref="C5" location="'Configure Management Domain'!navigation_apply_signed_certs_mgmt_domain" display="Apply Signed Certificates" xr:uid="{00000000-0004-0000-0400-000001000000}"/>
    <hyperlink ref="D5" location="'Configure Management Domain'!navigation_nsx_routing_mgmt_domain" display="NSX Network Connectivity for the MGMT Workload Domain" xr:uid="{00000000-0004-0000-0400-000002000000}"/>
    <hyperlink ref="E5" location="'Configure Management Domain'!navigation_avi_lb_mgmt_domain" display="Deploy AVI Loadbalancer " xr:uid="{00000000-0004-0000-0400-000003000000}"/>
    <hyperlink ref="B7" location="'Configure Management Domain'!navigation_stretched_cluster_mgmt_domain" display="Stretched Cluster" xr:uid="{00000000-0004-0000-0400-000004000000}"/>
    <hyperlink ref="C7" location="'Configure Management Domain'!navigation_nsx_federation_for_management_domain" display="NSX Federation for Management Domain" xr:uid="{00000000-0004-0000-0400-000005000000}"/>
    <hyperlink ref="E100" location="'Deploy Management Domain'!L94" display="Values are set based on vSphere Cluster configuration in the Deploy Management Domain Tab" xr:uid="{00000000-0004-0000-0400-000006000000}"/>
    <hyperlink ref="E104" location="'Deploy Management Domain'!L115" display="Values are set based on Datastoreconfiguration in the Deploy Management Domain Tab" xr:uid="{00000000-0004-0000-0400-000007000000}"/>
    <hyperlink ref="E106" location="'Deploy Management Domain'!L199" display="Values are set based on VM Management Network configuration in the Deploy Management Domain Tab" xr:uid="{00000000-0004-0000-0400-000008000000}"/>
    <hyperlink ref="E108" location="'Deploy Management Domain'!L155" display="'Deploy Management Domain'!L155" xr:uid="{00000000-0004-0000-0400-000009000000}"/>
    <hyperlink ref="E126" location="'Deploy Management Domain'!L94" display="Values are set based on vSphere Cluster configuration in the Deploy Management Domain Tab" xr:uid="{00000000-0004-0000-0400-00000A000000}"/>
    <hyperlink ref="E130" location="'Deploy Management Domain'!L115" display="Values are set based on Datastoreconfiguration in the Deploy Management Domain Tab" xr:uid="{00000000-0004-0000-0400-00000B000000}"/>
    <hyperlink ref="E132" location="'Deploy Management Domain'!L199" display="Values are set based on VM Management Network configuration in the Deploy Management Domain Tab" xr:uid="{00000000-0004-0000-0400-00000C000000}"/>
    <hyperlink ref="E134" location="'Deploy Management Domain'!L155" display="'Deploy Management Domain'!L155" xr:uid="{00000000-0004-0000-0400-00000D000000}"/>
  </hyperlinks>
  <pageMargins left="0.7" right="0.7" top="0.75" bottom="0.75" header="0.3" footer="0.3"/>
  <pageSetup paperSize="9" orientation="portrait" horizontalDpi="0" verticalDpi="0"/>
  <ignoredErrors>
    <ignoredError sqref="C119"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654" operator="containsText" id="{584294CF-2D97-274B-9221-49162D0606ED}">
            <xm:f>NOT(ISERROR(SEARCH("Missing Value",D21)))</xm:f>
            <xm:f>"Missing Value"</xm:f>
            <x14:dxf>
              <font>
                <color theme="1"/>
              </font>
              <fill>
                <patternFill>
                  <bgColor rgb="FFFFBE29"/>
                </patternFill>
              </fill>
            </x14:dxf>
          </x14:cfRule>
          <xm:sqref>D21:D28</xm:sqref>
        </x14:conditionalFormatting>
        <x14:conditionalFormatting xmlns:xm="http://schemas.microsoft.com/office/excel/2006/main">
          <x14:cfRule type="containsText" priority="218" stopIfTrue="1" operator="containsText" id="{3C06E0A5-FDD6-DE41-81F7-DD786C1C7398}">
            <xm:f>NOT(ISERROR(SEARCH("Value Missing",D200)))</xm:f>
            <xm:f>"Value Missing"</xm:f>
            <x14:dxf>
              <font>
                <color rgb="FF0E223A"/>
              </font>
              <fill>
                <patternFill>
                  <bgColor rgb="FFFFBE29"/>
                </patternFill>
              </fill>
            </x14:dxf>
          </x14:cfRule>
          <xm:sqref>D200</xm:sqref>
        </x14:conditionalFormatting>
        <x14:conditionalFormatting xmlns:xm="http://schemas.microsoft.com/office/excel/2006/main">
          <x14:cfRule type="containsText" priority="465" stopIfTrue="1" operator="containsText" id="{A05D282B-402D-8641-81EE-7253E8565A90}">
            <xm:f>NOT(ISERROR(SEARCH("Value Missing",D259)))</xm:f>
            <xm:f>"Value Missing"</xm:f>
            <x14:dxf>
              <font>
                <color rgb="FF0E223A"/>
              </font>
              <fill>
                <patternFill>
                  <bgColor rgb="FFFFBE29"/>
                </patternFill>
              </fill>
            </x14:dxf>
          </x14:cfRule>
          <xm:sqref>D259</xm:sqref>
        </x14:conditionalFormatting>
        <x14:conditionalFormatting xmlns:xm="http://schemas.microsoft.com/office/excel/2006/main">
          <x14:cfRule type="containsText" priority="887" operator="containsText" id="{F97B184A-B8B2-B345-9B5B-582787CFAD3C}">
            <xm:f>NOT(ISERROR(SEARCH("Value Missing",D33)))</xm:f>
            <xm:f>"Value Missing"</xm:f>
            <x14:dxf>
              <font>
                <color rgb="FF0E223A"/>
              </font>
              <fill>
                <patternFill>
                  <bgColor rgb="FFFFBE29"/>
                </patternFill>
              </fill>
            </x14:dxf>
          </x14:cfRule>
          <xm:sqref>D500:D507 D42:D45 D58:D65 D47:D50 D52:D56 D33:D35 D37:D40 D99:D109 D111:D123 D125:D135 D137:D150 D158:D171 D173:D186 D212:D218 D208 D452:D466 D468:D472 D474:D476 D480:D483 D490:D495 D509:D519 D67:D73 D75:D84 D210 D310:D327 D268:D274 D378 D380:D381 D383:D393 D279:D300 D521:D525 D531:D570 D572:D575 D249:D250 D225:D228 D230:D245 D305:D308 D329:D332 D334:D336 D338:D340 D252:D258 D260:D266 D152:D156 D92:D93 D95:D97 D188:D189 D345:D374 D478 D485:D488 D497:D498 D527:D529 D398 D400:D415 D417:D432 D434:D450 D193:D195 D197:D199 D201:D202 D191 D90</xm:sqref>
        </x14:conditionalFormatting>
        <x14:conditionalFormatting xmlns:xm="http://schemas.microsoft.com/office/excel/2006/main">
          <x14:cfRule type="containsText" priority="1" operator="containsText" id="{4C7EF2D2-C058-AE40-A8AF-A9CB5DCD3F64}">
            <xm:f>NOT(ISERROR(SEARCH("Deploy a new VCF fleet or Deploy a VCF Instance in an existing VCF fleet not selected on VCF &amp; VVF Planning Tab",E12)))</xm:f>
            <xm:f>"Deploy a new VCF fleet or Deploy a VCF Instance in an existing VCF fleet not selected on VCF &amp; VVF Planning Tab"</xm:f>
            <x14:dxf>
              <font>
                <color theme="1"/>
              </font>
              <fill>
                <patternFill>
                  <bgColor rgb="FFFFBE29"/>
                </patternFill>
              </fill>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14CB1-6354-3945-8DA1-87C118349E58}">
  <sheetPr codeName="Sheet3">
    <tabColor theme="9" tint="0.39997558519241921"/>
  </sheetPr>
  <dimension ref="A1:G360"/>
  <sheetViews>
    <sheetView showGridLines="0" workbookViewId="0">
      <pane ySplit="4" topLeftCell="A5" activePane="bottomLeft" state="frozen"/>
      <selection pane="bottomLeft"/>
    </sheetView>
  </sheetViews>
  <sheetFormatPr defaultColWidth="11" defaultRowHeight="15.9" x14ac:dyDescent="0.45"/>
  <cols>
    <col min="1" max="1" width="2.85546875" customWidth="1"/>
    <col min="2" max="3" width="75.85546875" customWidth="1"/>
    <col min="4" max="4" width="75.85546875" style="303" customWidth="1"/>
    <col min="5" max="5" width="128.640625" style="303" customWidth="1"/>
  </cols>
  <sheetData>
    <row r="1" spans="1:7" s="8" customFormat="1" ht="15" x14ac:dyDescent="0.35">
      <c r="A1" s="118"/>
      <c r="D1" s="2"/>
      <c r="E1" s="2"/>
    </row>
    <row r="2" spans="1:7" s="8" customFormat="1" ht="54" customHeight="1" x14ac:dyDescent="0.35">
      <c r="A2" s="121"/>
      <c r="B2" s="525" t="s">
        <v>528</v>
      </c>
      <c r="C2" s="525"/>
      <c r="D2" s="525"/>
      <c r="E2" s="525"/>
    </row>
    <row r="3" spans="1:7" s="19" customFormat="1" ht="20.05" customHeight="1" x14ac:dyDescent="0.35">
      <c r="A3" s="42"/>
      <c r="B3" s="526" t="s">
        <v>1</v>
      </c>
      <c r="C3" s="526"/>
      <c r="D3" s="526"/>
      <c r="E3" s="526"/>
    </row>
    <row r="4" spans="1:7" s="8" customFormat="1" ht="15" x14ac:dyDescent="0.35">
      <c r="D4" s="2"/>
      <c r="E4" s="2"/>
    </row>
    <row r="5" spans="1:7" s="8" customFormat="1" ht="34" customHeight="1" x14ac:dyDescent="0.35">
      <c r="B5" s="340" t="s">
        <v>529</v>
      </c>
      <c r="C5" s="341"/>
      <c r="D5" s="341"/>
      <c r="E5" s="309"/>
    </row>
    <row r="6" spans="1:7" s="8" customFormat="1" ht="20.05" customHeight="1" x14ac:dyDescent="0.35">
      <c r="B6" s="346" t="s">
        <v>9</v>
      </c>
      <c r="C6" s="346" t="s">
        <v>10</v>
      </c>
      <c r="D6" s="346" t="s">
        <v>11</v>
      </c>
      <c r="E6" s="310" t="s">
        <v>12</v>
      </c>
    </row>
    <row r="7" spans="1:7" s="8" customFormat="1" ht="20.05" customHeight="1" x14ac:dyDescent="0.35">
      <c r="A7" s="120"/>
      <c r="B7" s="281" t="s">
        <v>530</v>
      </c>
      <c r="C7" s="255" t="s">
        <v>531</v>
      </c>
      <c r="D7" s="282" t="str">
        <f>IF(flt_custom_network_chosen="Exclude","Excluded",
IF(AND(flt_custom_network_chosen="NSX Overlay Segment",mgmt_vns_chosen&lt;&gt;"Centralized Connectivity"),"Excluded","Included"))</f>
        <v>Included</v>
      </c>
      <c r="E7" s="282" t="str">
        <f>IF(flt_custom_network_chosen="Shared Management Network","Components will be deployed using the VM Management Network",
IF(AND(flt_custom_network_chosen="NSX Overlay Segment",mgmt_vns_chosen&lt;&gt;"Centralized Connectivity"),"NSX Centralized Connectivity is required to configure the Fleet appliance on NSX Overlay Segment",
IF(flt_custom_network_chosen="NSX Overlay Segment","Components will be deployed on NSX Overlay which will need to be created manually in advanced of deployment",
IF(flt_custom_network_chosen="Dedicated Management Network","Components will be deployed on a new Distrubted Port Group which will need to be created manually in advanced of deployment","Components will be deployed on a NSX VLAN Segment which will need to be created manually in advanced of deployment"))))</f>
        <v>Components will be deployed using the VM Management Network</v>
      </c>
      <c r="F7" s="120"/>
      <c r="G7" s="120"/>
    </row>
    <row r="8" spans="1:7" s="8" customFormat="1" ht="20.05" customHeight="1" x14ac:dyDescent="0.35">
      <c r="A8" s="120"/>
      <c r="B8" s="281" t="s">
        <v>13</v>
      </c>
      <c r="C8" s="255" t="s">
        <v>532</v>
      </c>
      <c r="D8" s="282" t="str">
        <f>IF(AND(mgmt_domain_ops_automation_later_chosen="Selected",flt_custom_network_vcf_ops_automation_chosen="Deploy VCF Operations and Automation"),"Included",
IF(AND(mgmt_domain_ops_automation_later_chosen="Selected",flt_custom_network_vcf_ops_automation_chosen="Deploy VCF Automation"),"Excluded",
IF(AND(mgmt_domain_vcf_automation_later_chosen="Selected",flt_custom_network_vcf_ops_automation_chosen="Deploy VCF Automation"),"Included","Excluded")))</f>
        <v>Excluded</v>
      </c>
      <c r="E8" s="282" t="str">
        <f>IF(vcf_granular_option_chosen="None Chosen","No Deployment Type Chosen",
IF(mgmt_domain_deployment_type_chosen="VMware vSphere Foundation","Cannot be performed on a VMware vSphere Foundation deployment",
IF(AND(mgmt_domain_ops_automation_later_chosen="Selected",flt_custom_network_vcf_ops_automation_chosen="Deploy VCF Automation"),"Cause: VCF Operations is required to Deploy VCF Automation. Deploy VCF Operations during MGMT Domain Deploy or Day-N",
IF(AND(mgmt_domain_ops_automation_later_chosen="Selected",flt_custom_network_vcf_ops_automation_chosen="Deploy VCF Operations and Automation"),"VCF Operations and Automation will be deployed using SDDC manager API",
IF(AND(mgmt_domain_vcf_automation_later_chosen="Selected",flt_custom_network_vcf_ops_automation_chosen="Deploy VCF Automation"),"VCF Automation will be deployed using VCF Operations",
IF(AND(mgmt_domain_vcf_automation_later_chosen="Unselected",flt_custom_network_vcf_ops_automation_chosen="Deploy VCF Automation"),"Cause: I want to connect a VCF Automation instance later option not selected in Deploy Management Domain Tab",
IF(mgmt_domain_ops_automation_later_chosen="Selected","VCF Ops and Automation will be skipped during MGMT Domain deployment. Ensure they are planned as part of fleet Management Day-N",
IF(AND(mgmt_domain_ops_automation_later_chosen&lt;&gt;"Selected",flt_custom_network_vcf_ops_automation_chosen="Deploy VCF Operations and Automation"),"Cause: Custom networking for VCF Operations and VCF Automation not selected in Deploy Management Domain Tab",
IF(flt_custom_network_vcf_ops_automation_chosen="Exclude","Cause: Not Selected. VCF Operations and Automation will not be configured as part of Day-2 Fleet management",
"Cause: VCF Operations and Automation will be deployed during Managment Domain Deployment")))))))))</f>
        <v>Cause: Not Selected. VCF Operations and Automation will not be configured as part of Day-2 Fleet management</v>
      </c>
      <c r="F8" s="120"/>
      <c r="G8" s="120"/>
    </row>
    <row r="9" spans="1:7" s="8" customFormat="1" ht="20.05" customHeight="1" x14ac:dyDescent="0.35">
      <c r="B9" s="355" t="s">
        <v>13</v>
      </c>
      <c r="C9" s="362" t="s">
        <v>533</v>
      </c>
      <c r="D9" s="112" t="str">
        <f>IF(mgmt_domain_deployment_type_chosen="VMware vSphere Foundation","Excluded",IF(flt_vidb_chosen&lt;&gt;"Exclude","Included","Excluded"))</f>
        <v>Excluded</v>
      </c>
      <c r="E9" s="112" t="str">
        <f>IF(vcf_granular_option_chosen="None Chosen","No Deployment Type Chosen",
IF(mgmt_domain_deployment_type_chosen="VMware vSphere Foundation","Cannot be performed on a VMware vSphere Foundation deployment",IF(flt_vidb_chosen="Exclude","Cause: Not Selected. VCF Authentication will not be configured",IF(flt_vidb_chosen="Identity Broker Appliance","A Clustered VIDB model will be deployed. 3 additional VMSP appliances are required as part of this configuration ",IF(flt_vidb_chosen="Identity Broker (Embedded)","A Non-clustered VIDB model will be deployed. No additional appliance will be deployed as part of this configuration ")))))</f>
        <v>Cause: Not Selected. VCF Authentication will not be configured</v>
      </c>
    </row>
    <row r="10" spans="1:7" s="8" customFormat="1" ht="20.05" customHeight="1" x14ac:dyDescent="0.35">
      <c r="A10" s="120"/>
      <c r="B10" s="281" t="s">
        <v>13</v>
      </c>
      <c r="C10" s="84" t="s">
        <v>534</v>
      </c>
      <c r="D10" s="282" t="str">
        <f>IF(mgmt_domain_deployment_type_chosen="VMware vSphere Foundation","Excluded",IF(flt_logs_chosen&lt;&gt;"Exclude","Included","Excluded"))</f>
        <v>Excluded</v>
      </c>
      <c r="E10" s="282" t="str">
        <f>IF(vcf_granular_option_chosen="None Chosen","No Deployment Type Chosen",
IF(mgmt_domain_deployment_type_chosen="VMware vSphere Foundation","Cannot be performed on a VMware vSphere Foundation deployment",IF(flt_logs_chosen="Exclude","Cause: Not Selected. VCF Operations for Logs will not be deployed","VCF Operations for Logs will be deployed")))</f>
        <v>Cause: Not Selected. VCF Operations for Logs will not be deployed</v>
      </c>
      <c r="F10" s="120"/>
      <c r="G10" s="120"/>
    </row>
    <row r="11" spans="1:7" s="8" customFormat="1" ht="20.05" customHeight="1" x14ac:dyDescent="0.35">
      <c r="A11" s="120"/>
      <c r="B11" s="281" t="s">
        <v>13</v>
      </c>
      <c r="C11" s="84" t="s">
        <v>535</v>
      </c>
      <c r="D11" s="282" t="str">
        <f>IF(mgmt_domain_deployment_type_chosen="VMware vSphere Foundation","Excluded",IF(flt_net_chosen&lt;&gt;"Exclude","Included","Excluded"))</f>
        <v>Excluded</v>
      </c>
      <c r="E11" s="282" t="str">
        <f>IF(vcf_granular_option_chosen="None Chosen","No Deployment Type Chosen",
IF(mgmt_domain_deployment_type_chosen="VMware vSphere Foundation","Cannot be performed on a VMware vSphere Foundation deployment",
IF(flt_net_chosen="Exclude","Cause: Not Selected. Configure VCF Operations for Networks will not be deployed","VCF Operations for Networks will be deployed")))</f>
        <v>Cause: Not Selected. Configure VCF Operations for Networks will not be deployed</v>
      </c>
      <c r="F11" s="120"/>
      <c r="G11" s="120"/>
    </row>
    <row r="13" spans="1:7" s="8" customFormat="1" ht="34" customHeight="1" x14ac:dyDescent="0.35">
      <c r="B13" s="509" t="s">
        <v>536</v>
      </c>
      <c r="C13" s="510"/>
      <c r="D13" s="510"/>
      <c r="E13" s="511"/>
    </row>
    <row r="14" spans="1:7" s="8" customFormat="1" ht="20.05" customHeight="1" x14ac:dyDescent="0.35">
      <c r="A14" s="120"/>
      <c r="B14" s="346" t="s">
        <v>17</v>
      </c>
      <c r="C14" s="346" t="s">
        <v>18</v>
      </c>
      <c r="D14" s="346" t="s">
        <v>19</v>
      </c>
      <c r="E14" s="310" t="s">
        <v>20</v>
      </c>
      <c r="F14" s="120"/>
      <c r="G14" s="120"/>
    </row>
    <row r="15" spans="1:7" s="8" customFormat="1" ht="20.05" customHeight="1" x14ac:dyDescent="0.35">
      <c r="B15" s="4" t="s">
        <v>537</v>
      </c>
      <c r="C15" s="362" t="s">
        <v>538</v>
      </c>
      <c r="D15" s="347" t="s">
        <v>538</v>
      </c>
      <c r="E15" s="337" t="s">
        <v>539</v>
      </c>
    </row>
    <row r="16" spans="1:7" s="8" customFormat="1" ht="20.05" customHeight="1" x14ac:dyDescent="0.35">
      <c r="B16" s="462" t="s">
        <v>540</v>
      </c>
      <c r="C16" s="463"/>
      <c r="D16" s="463"/>
      <c r="E16" s="464"/>
    </row>
    <row r="17" spans="2:5" s="8" customFormat="1" ht="20.05" customHeight="1" x14ac:dyDescent="0.35">
      <c r="B17" s="4" t="s">
        <v>541</v>
      </c>
      <c r="C17" s="362" t="str">
        <f>CONCATENATE(this_instance,"-m01-cl01-vds01-pg-vm-mgmt")</f>
        <v>sfo-m01-cl01-vds01-pg-vm-mgmt</v>
      </c>
      <c r="D17" s="287"/>
      <c r="E17" s="337"/>
    </row>
    <row r="18" spans="2:5" s="8" customFormat="1" ht="20.05" customHeight="1" x14ac:dyDescent="0.35">
      <c r="B18" s="4" t="s">
        <v>542</v>
      </c>
      <c r="C18" s="362" t="s">
        <v>128</v>
      </c>
      <c r="D18" s="347"/>
      <c r="E18" s="337"/>
    </row>
    <row r="19" spans="2:5" s="8" customFormat="1" ht="20.05" customHeight="1" x14ac:dyDescent="0.35">
      <c r="B19" s="4" t="s">
        <v>543</v>
      </c>
      <c r="C19" s="362" t="str">
        <f>IF(AND( LEFT(vcf_version_chosen,3)&lt;&gt;"9.0",mgmt_domain_ops_automation_later_chosen="Selected",flt_custom_network_chosen="Dedicated Management Network"),
IF(
mgmt_dpg_reuse_result="Included",
CONCATENATE(prefix_flt_shared_cidr,".1"),
CONCATENATE(prefix_flt_shared_cidr,".1")
),
IF(AND( LEFT(vcf_version_chosen,3)&lt;&gt;"9.0",mgmt_domain_ops_automation_later_chosen="Selected",flt_custom_network_chosen="Shared Management Network"),
IF(
mgmt_dpg_reuse_result="Included",
CONCATENATE(prefix_mgmt_az1_cidr,"10.1"),
CONCATENATE(prefix_mgmt_az1_cidr,"11.1")
),
IF(AND( LEFT(vcf_version_chosen,3)&lt;&gt;"9.0",mgmt_domain_ops_automation_later_chosen="Selected",flt_custom_network_chosen="NSX Overlay Segment"),
CONCATENATE(prefix_xreg_cidr,".1"),
IF(AND( LEFT(vcf_version_chosen,3)&lt;&gt;"9.0",mgmt_domain_ops_automation_later_chosen="Selected",flt_custom_network_chosen="NSX VLAN Segment"),
CONCATENATE(prefix_flt_shared_cidr,".1"),
IF(mgmt_dpg_reuse_result="Included",
CONCATENATE(prefix_mgmt_az1_cidr,"10.11"),
CONCATENATE(prefix_mgmt_az1_cidr,"11.11")
)
))))</f>
        <v>10.11.10.11</v>
      </c>
      <c r="D19" s="287"/>
      <c r="E19" s="337"/>
    </row>
    <row r="20" spans="2:5" s="8" customFormat="1" ht="20.05" customHeight="1" x14ac:dyDescent="0.35">
      <c r="B20" s="462" t="s">
        <v>544</v>
      </c>
      <c r="C20" s="463"/>
      <c r="D20" s="463"/>
      <c r="E20" s="464"/>
    </row>
    <row r="21" spans="2:5" s="8" customFormat="1" ht="20.05" customHeight="1" x14ac:dyDescent="0.35">
      <c r="B21" s="4" t="s">
        <v>541</v>
      </c>
      <c r="C21" s="362"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21" s="287"/>
      <c r="E21" s="337" t="s">
        <v>545</v>
      </c>
    </row>
    <row r="22" spans="2:5" s="8" customFormat="1" ht="20.05" customHeight="1" x14ac:dyDescent="0.35">
      <c r="B22" s="4" t="s">
        <v>542</v>
      </c>
      <c r="C22" s="362" t="s">
        <v>128</v>
      </c>
      <c r="D22" s="347"/>
      <c r="E22" s="337"/>
    </row>
    <row r="23" spans="2:5" s="8" customFormat="1" ht="20.05" customHeight="1" x14ac:dyDescent="0.35">
      <c r="B23" s="4" t="s">
        <v>543</v>
      </c>
      <c r="C23"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23" s="287"/>
      <c r="E23" s="337"/>
    </row>
    <row r="24" spans="2:5" s="8" customFormat="1" ht="20.05" customHeight="1" x14ac:dyDescent="0.35">
      <c r="B24" s="462" t="s">
        <v>546</v>
      </c>
      <c r="C24" s="463"/>
      <c r="D24" s="463"/>
      <c r="E24" s="464"/>
    </row>
    <row r="25" spans="2:5" s="8" customFormat="1" ht="20.05" customHeight="1" x14ac:dyDescent="0.35">
      <c r="B25" s="4" t="s">
        <v>547</v>
      </c>
      <c r="C25" s="362" t="b">
        <v>0</v>
      </c>
      <c r="D25" s="347"/>
      <c r="E25" s="337"/>
    </row>
    <row r="26" spans="2:5" s="8" customFormat="1" ht="20.05" customHeight="1" x14ac:dyDescent="0.35">
      <c r="B26" s="4" t="s">
        <v>38</v>
      </c>
      <c r="C26" s="362" t="str">
        <f>CONCATENATE(prefix_portable_component,"-fm01.",sample_parent_dns_zone)</f>
        <v>flt-fm01.rainpole.io</v>
      </c>
      <c r="D26" s="347"/>
      <c r="E26" s="337"/>
    </row>
    <row r="27" spans="2:5" s="8" customFormat="1" ht="20.05" customHeight="1" x14ac:dyDescent="0.35">
      <c r="B27" s="4" t="s">
        <v>548</v>
      </c>
      <c r="C27" s="362" t="str">
        <f>IF(flt_custom_network_chosen="Shared Management Network",IF(mgmt_dpg_reuse_result="Included",CONCATENATE(prefix_mgmt_az1_cidr,"10.28"),CONCATENATE(prefix_mgmt_az1_cidr,"11.28")),IF(flt_custom_network_chosen="NSX Overlay Segment",CONCATENATE(prefix_xreg_cidr,".28"),CONCATENATE(prefix_flt_shared_cidr,".28")))</f>
        <v>10.11.10.28</v>
      </c>
      <c r="D27" s="347"/>
      <c r="E27" s="337"/>
    </row>
    <row r="28" spans="2:5" s="8" customFormat="1" ht="20.05" customHeight="1" x14ac:dyDescent="0.35">
      <c r="B28" s="4" t="s">
        <v>549</v>
      </c>
      <c r="C28" s="362" t="s">
        <v>141</v>
      </c>
      <c r="D28" s="347"/>
      <c r="E28" s="337"/>
    </row>
    <row r="29" spans="2:5" s="8" customFormat="1" ht="20.05" customHeight="1" x14ac:dyDescent="0.35">
      <c r="B29" s="4" t="s">
        <v>550</v>
      </c>
      <c r="C29" s="362" t="s">
        <v>141</v>
      </c>
      <c r="D29" s="347"/>
      <c r="E29" s="337"/>
    </row>
    <row r="30" spans="2:5" s="8" customFormat="1" ht="20.05" customHeight="1" x14ac:dyDescent="0.35">
      <c r="B30" s="462" t="s">
        <v>551</v>
      </c>
      <c r="C30" s="463"/>
      <c r="D30" s="463"/>
      <c r="E30" s="464"/>
    </row>
    <row r="31" spans="2:5" s="8" customFormat="1" ht="20.05" customHeight="1" x14ac:dyDescent="0.35">
      <c r="B31" s="4" t="s">
        <v>547</v>
      </c>
      <c r="C31" s="362" t="b">
        <v>0</v>
      </c>
      <c r="D31" s="347"/>
      <c r="E31" s="337"/>
    </row>
    <row r="32" spans="2:5" s="8" customFormat="1" ht="20.05" customHeight="1" x14ac:dyDescent="0.35">
      <c r="B32" s="4" t="s">
        <v>552</v>
      </c>
      <c r="C32" s="362" t="str">
        <f>CONCATENATE(prefix_portable_component,"-ops01.",sample_parent_dns_zone)</f>
        <v>flt-ops01.rainpole.io</v>
      </c>
      <c r="D32" s="347"/>
      <c r="E32" s="337"/>
    </row>
    <row r="33" spans="2:5" s="8" customFormat="1" ht="20.05" customHeight="1" x14ac:dyDescent="0.35">
      <c r="B33" s="4" t="s">
        <v>553</v>
      </c>
      <c r="C33" s="80" t="str">
        <f>CONCATENATE(prefix_portable_component,"-ops01a.",sample_parent_dns_zone)</f>
        <v>flt-ops01a.rainpole.io</v>
      </c>
      <c r="D33" s="347"/>
      <c r="E33" s="337"/>
    </row>
    <row r="34" spans="2:5" s="8" customFormat="1" ht="20.05" customHeight="1" x14ac:dyDescent="0.35">
      <c r="B34" s="4" t="s">
        <v>554</v>
      </c>
      <c r="C34" s="80" t="str">
        <f>CONCATENATE(prefix_portable_component,"-ops01b.",sample_parent_dns_zone)</f>
        <v>flt-ops01b.rainpole.io</v>
      </c>
      <c r="D34" s="347"/>
      <c r="E34" s="337"/>
    </row>
    <row r="35" spans="2:5" s="8" customFormat="1" ht="20.05" customHeight="1" x14ac:dyDescent="0.35">
      <c r="B35" s="4" t="s">
        <v>555</v>
      </c>
      <c r="C35" s="80" t="str">
        <f>CONCATENATE(prefix_portable_component,"-ops01c.",sample_parent_dns_zone)</f>
        <v>flt-ops01c.rainpole.io</v>
      </c>
      <c r="D35" s="347"/>
      <c r="E35" s="337"/>
    </row>
    <row r="36" spans="2:5" s="8" customFormat="1" ht="20.05" customHeight="1" x14ac:dyDescent="0.35">
      <c r="B36" s="4" t="s">
        <v>556</v>
      </c>
      <c r="C36" s="80" t="str">
        <f>IF(flt_custom_network_chosen="Shared Management Network",IF(mgmt_dpg_reuse_result="Included",CONCATENATE(prefix_mgmt_az1_cidr,"10.21"),CONCATENATE(prefix_mgmt_az1_cidr,"11.21")),IF(flt_custom_network_chosen="NSX Overlay Segment",CONCATENATE(prefix_xreg_cidr,".21"),CONCATENATE(prefix_flt_shared_cidr,".21")))</f>
        <v>10.11.10.21</v>
      </c>
      <c r="D36" s="347"/>
      <c r="E36" s="337" t="s">
        <v>557</v>
      </c>
    </row>
    <row r="37" spans="2:5" s="8" customFormat="1" ht="20.05" customHeight="1" x14ac:dyDescent="0.35">
      <c r="B37" s="4" t="s">
        <v>558</v>
      </c>
      <c r="C37" s="80" t="str">
        <f>IF(flt_custom_network_chosen="Shared Management Network",IF(mgmt_dpg_reuse_result="Included",CONCATENATE(prefix_mgmt_az1_cidr,"10.52"),CONCATENATE(prefix_mgmt_az1_cidr,"11.52")),IF(flt_custom_network_chosen="NSX Overlay Segment",CONCATENATE(prefix_xreg_cidr,".52"),CONCATENATE(prefix_flt_shared_cidr,".52")))</f>
        <v>10.11.10.52</v>
      </c>
      <c r="D37" s="347"/>
      <c r="E37" s="337"/>
    </row>
    <row r="38" spans="2:5" s="8" customFormat="1" ht="20.05" customHeight="1" x14ac:dyDescent="0.35">
      <c r="B38" s="4" t="s">
        <v>559</v>
      </c>
      <c r="C38" s="80" t="str">
        <f>IF(flt_custom_network_chosen="Shared Management Network",IF(mgmt_dpg_reuse_result="Included",CONCATENATE(prefix_mgmt_az1_cidr,"10.53"),CONCATENATE(prefix_mgmt_az1_cidr,"11.53")),IF(flt_custom_network_chosen="NSX Overlay Segment",CONCATENATE(prefix_xreg_cidr,".53"),CONCATENATE(prefix_flt_shared_cidr,".53")))</f>
        <v>10.11.10.53</v>
      </c>
      <c r="D38" s="347"/>
      <c r="E38" s="337"/>
    </row>
    <row r="39" spans="2:5" s="8" customFormat="1" ht="20.05" customHeight="1" x14ac:dyDescent="0.35">
      <c r="B39" s="4" t="s">
        <v>560</v>
      </c>
      <c r="C39" s="80" t="str">
        <f>IF(flt_custom_network_chosen="Shared Management Network",IF(mgmt_dpg_reuse_result="Included",CONCATENATE(prefix_mgmt_az1_cidr,"10.54"),CONCATENATE(prefix_mgmt_az1_cidr,"11.54")),IF(flt_custom_network_chosen="NSX Overlay Segment",CONCATENATE(prefix_xreg_cidr,".54"),CONCATENATE(prefix_flt_shared_cidr,".54")))</f>
        <v>10.11.10.54</v>
      </c>
      <c r="D39" s="347"/>
      <c r="E39" s="337"/>
    </row>
    <row r="40" spans="2:5" s="8" customFormat="1" ht="20.05" customHeight="1" x14ac:dyDescent="0.35">
      <c r="B40" s="4" t="s">
        <v>561</v>
      </c>
      <c r="C40" s="362" t="s">
        <v>93</v>
      </c>
      <c r="D40" s="347" t="s">
        <v>93</v>
      </c>
      <c r="E40" s="337"/>
    </row>
    <row r="41" spans="2:5" s="8" customFormat="1" ht="20.05" customHeight="1" x14ac:dyDescent="0.35">
      <c r="B41" s="4" t="s">
        <v>562</v>
      </c>
      <c r="C41" s="362" t="s">
        <v>141</v>
      </c>
      <c r="D41" s="347"/>
      <c r="E41" s="337"/>
    </row>
    <row r="42" spans="2:5" s="8" customFormat="1" ht="20.05" customHeight="1" x14ac:dyDescent="0.35">
      <c r="B42" s="4" t="s">
        <v>199</v>
      </c>
      <c r="C42" s="362" t="s">
        <v>141</v>
      </c>
      <c r="D42" s="347"/>
      <c r="E42" s="337"/>
    </row>
    <row r="43" spans="2:5" s="8" customFormat="1" ht="20.05" customHeight="1" x14ac:dyDescent="0.35">
      <c r="B43" s="462" t="s">
        <v>563</v>
      </c>
      <c r="C43" s="463"/>
      <c r="D43" s="463"/>
      <c r="E43" s="464"/>
    </row>
    <row r="44" spans="2:5" s="8" customFormat="1" ht="20.05" customHeight="1" x14ac:dyDescent="0.35">
      <c r="B44" s="4" t="s">
        <v>38</v>
      </c>
      <c r="C44" s="362" t="str">
        <f>CONCATENATE(this_instance,"-cp01.",sample_child_dns_zone)</f>
        <v>sfo-cp01.sfo.rainpole.io</v>
      </c>
      <c r="D44" s="347"/>
      <c r="E44" s="337"/>
    </row>
    <row r="45" spans="2:5" s="8" customFormat="1" ht="20.05" customHeight="1" x14ac:dyDescent="0.35">
      <c r="B45" s="4" t="s">
        <v>283</v>
      </c>
      <c r="C45" s="362" t="str">
        <f>IF(AND( LEFT(vcf_version_chosen,3)&lt;&gt;"9.0",mgmt_domain_ops_automation_later_chosen="Selected",flt_custom_network_chosen="Dedicated Management Network"),
IF(
mgmt_dpg_reuse_result="Included",
CONCATENATE(prefix_flt_shared_cidr,".12"),
CONCATENATE(prefix_flt_shared_cidr,".12")
),
IF(AND( LEFT(vcf_version_chosen,3)&lt;&gt;"9.0",mgmt_domain_ops_automation_later_chosen="Selected",flt_custom_network_chosen="Shared Management Network"),
IF(
mgmt_dpg_reuse_result="Included",
CONCATENATE(prefix_mgmt_az1_cidr,"10.12"),
CONCATENATE(prefix_mgmt_az1_cidr,"11.12")
),
IF(AND( LEFT(vcf_version_chosen,3)&lt;&gt;"9.0",mgmt_domain_ops_automation_later_chosen="Selected",flt_custom_network_chosen="NSX Overlay Segment"),
CONCATENATE(prefix_xreg_cidr,".12"),
IF(AND( LEFT(vcf_version_chosen,3)&lt;&gt;"9.0",mgmt_domain_ops_automation_later_chosen="Selected",flt_custom_network_chosen="NSX VLAN Segment"),
CONCATENATE(prefix_flt_shared_cidr,".12"
),
IF(mgmt_dpg_reuse_result="Included",
CONCATENATE(prefix_mgmt_az1_cidr,"10.12"),
CONCATENATE(prefix_mgmt_az1_cidr,"11.12")
)
))))</f>
        <v>10.11.10.12</v>
      </c>
      <c r="D45" s="347"/>
      <c r="E45" s="337"/>
    </row>
    <row r="46" spans="2:5" s="8" customFormat="1" ht="20.05" customHeight="1" x14ac:dyDescent="0.35">
      <c r="B46" s="4" t="s">
        <v>195</v>
      </c>
      <c r="C46" s="362" t="s">
        <v>564</v>
      </c>
      <c r="D46" s="347"/>
      <c r="E46" s="337"/>
    </row>
    <row r="47" spans="2:5" s="8" customFormat="1" ht="20.05" customHeight="1" x14ac:dyDescent="0.35">
      <c r="B47" s="4" t="s">
        <v>561</v>
      </c>
      <c r="C47" s="362" t="s">
        <v>538</v>
      </c>
      <c r="D47" s="347" t="s">
        <v>538</v>
      </c>
      <c r="E47" s="337"/>
    </row>
    <row r="48" spans="2:5" s="8" customFormat="1" ht="20.05" customHeight="1" x14ac:dyDescent="0.35">
      <c r="B48" s="4" t="s">
        <v>562</v>
      </c>
      <c r="C48" s="362" t="s">
        <v>141</v>
      </c>
      <c r="D48" s="347"/>
      <c r="E48" s="337"/>
    </row>
    <row r="49" spans="2:5" s="8" customFormat="1" ht="20.05" customHeight="1" x14ac:dyDescent="0.35">
      <c r="B49" s="462" t="s">
        <v>565</v>
      </c>
      <c r="C49" s="463"/>
      <c r="D49" s="463"/>
      <c r="E49" s="464"/>
    </row>
    <row r="50" spans="2:5" s="8" customFormat="1" ht="20.05" customHeight="1" x14ac:dyDescent="0.35">
      <c r="B50" s="4" t="s">
        <v>38</v>
      </c>
      <c r="C50" s="362" t="str">
        <f>CONCATENATE(prefix_portable_component,"-auto01.",sample_parent_dns_zone)</f>
        <v>flt-auto01.rainpole.io</v>
      </c>
      <c r="D50" s="347"/>
      <c r="E50" s="337"/>
    </row>
    <row r="51" spans="2:5" s="8" customFormat="1" ht="20.05" customHeight="1" x14ac:dyDescent="0.35">
      <c r="B51" s="4" t="s">
        <v>566</v>
      </c>
      <c r="C51" s="362" t="str">
        <f>CONCATENATE(prefix_portable_component,"-auto")</f>
        <v>flt-auto</v>
      </c>
      <c r="D51" s="347"/>
      <c r="E51" s="337" t="s">
        <v>567</v>
      </c>
    </row>
    <row r="52" spans="2:5" s="8" customFormat="1" ht="20.05" customHeight="1" x14ac:dyDescent="0.35">
      <c r="B52" s="4" t="s">
        <v>283</v>
      </c>
      <c r="C52" s="362" t="str">
        <f>IF(flt_custom_network_chosen="Shared Management Network",IF(mgmt_dpg_reuse_result="Included",CONCATENATE(prefix_mgmt_az1_cidr,"10.25"),CONCATENATE(prefix_mgmt_az1_cidr,"11.25")),IF(flt_custom_network_chosen="NSX Overlay Segment",CONCATENATE(prefix_xreg_cidr,".25"),CONCATENATE(prefix_flt_shared_cidr,".25")))</f>
        <v>10.11.10.25</v>
      </c>
      <c r="D52" s="347"/>
      <c r="E52" s="337"/>
    </row>
    <row r="53" spans="2:5" s="8" customFormat="1" ht="20.05" customHeight="1" x14ac:dyDescent="0.35">
      <c r="B53" s="4" t="s">
        <v>568</v>
      </c>
      <c r="C53" s="362" t="str">
        <f>IF(flt_custom_network_chosen="Shared Management Network",IF(mgmt_dpg_reuse_result="Included",CONCATENATE(prefix_mgmt_az1_cidr,"10.46"),CONCATENATE(prefix_mgmt_az1_cidr,"11.46")),IF(flt_custom_network_chosen="NSX Overlay Segment",CONCATENATE(prefix_xreg_cidr,".46"),CONCATENATE(prefix_flt_shared_cidr,".46")))</f>
        <v>10.11.10.46</v>
      </c>
      <c r="D53" s="347"/>
      <c r="E53" s="337" t="s">
        <v>569</v>
      </c>
    </row>
    <row r="54" spans="2:5" s="8" customFormat="1" ht="20.05" customHeight="1" x14ac:dyDescent="0.35">
      <c r="B54" s="4" t="s">
        <v>570</v>
      </c>
      <c r="C54" s="362" t="str">
        <f>IF(flt_custom_network_chosen="Shared Management Network",IF(mgmt_dpg_reuse_result="Included",CONCATENATE(prefix_mgmt_az1_cidr,"10.47"),CONCATENATE(prefix_mgmt_az1_cidr,"11.47")),IF(flt_custom_network_chosen="NSX Overlay Segment",CONCATENATE(prefix_xreg_cidr,".47"),CONCATENATE(prefix_flt_shared_cidr,".47")))</f>
        <v>10.11.10.47</v>
      </c>
      <c r="D54" s="347"/>
      <c r="E54" s="337"/>
    </row>
    <row r="55" spans="2:5" s="8" customFormat="1" ht="20.05" customHeight="1" x14ac:dyDescent="0.35">
      <c r="B55" s="4" t="s">
        <v>571</v>
      </c>
      <c r="C55" s="362" t="str">
        <f>IF(flt_custom_network_chosen="Shared Management Network",IF(mgmt_dpg_reuse_result="Included",CONCATENATE(prefix_mgmt_az1_cidr,"10.48"),CONCATENATE(prefix_mgmt_az1_cidr,"11.48")),IF(flt_custom_network_chosen="NSX Overlay Segment",CONCATENATE(prefix_xreg_cidr,".48"),CONCATENATE(prefix_flt_shared_cidr,".48")))</f>
        <v>10.11.10.48</v>
      </c>
      <c r="D55" s="347"/>
      <c r="E55" s="337"/>
    </row>
    <row r="56" spans="2:5" s="8" customFormat="1" ht="20.05" customHeight="1" x14ac:dyDescent="0.35">
      <c r="B56" s="4" t="s">
        <v>572</v>
      </c>
      <c r="C56" s="362" t="str">
        <f>IF(flt_custom_network_chosen="Shared Management Network",IF(mgmt_dpg_reuse_result="Included",CONCATENATE(prefix_mgmt_az1_cidr,"10.49"),CONCATENATE(prefix_mgmt_az1_cidr,"11.49")),IF(flt_custom_network_chosen="NSX Overlay Segment",CONCATENATE(prefix_xreg_cidr,".49"),CONCATENATE(prefix_flt_shared_cidr,".49")))</f>
        <v>10.11.10.49</v>
      </c>
      <c r="D56" s="347"/>
      <c r="E56" s="337"/>
    </row>
    <row r="57" spans="2:5" s="8" customFormat="1" ht="20.05" customHeight="1" x14ac:dyDescent="0.35">
      <c r="B57" s="4" t="s">
        <v>573</v>
      </c>
      <c r="C57" s="362" t="s">
        <v>574</v>
      </c>
      <c r="D57" s="347" t="s">
        <v>574</v>
      </c>
      <c r="E57" s="337" t="s">
        <v>575</v>
      </c>
    </row>
    <row r="58" spans="2:5" ht="20.05" customHeight="1" x14ac:dyDescent="0.45">
      <c r="B58" s="4" t="s">
        <v>550</v>
      </c>
      <c r="C58" s="362" t="s">
        <v>141</v>
      </c>
      <c r="D58" s="347"/>
      <c r="E58" s="337"/>
    </row>
    <row r="59" spans="2:5" s="8" customFormat="1" ht="16" customHeight="1" x14ac:dyDescent="0.35">
      <c r="D59" s="303"/>
      <c r="E59" s="303"/>
    </row>
    <row r="60" spans="2:5" ht="34" customHeight="1" x14ac:dyDescent="0.45">
      <c r="B60" s="538" t="s">
        <v>576</v>
      </c>
      <c r="C60" s="539"/>
      <c r="D60" s="539"/>
      <c r="E60" s="540"/>
    </row>
    <row r="61" spans="2:5" ht="20.05" customHeight="1" x14ac:dyDescent="0.45">
      <c r="B61" s="541" t="s">
        <v>577</v>
      </c>
      <c r="C61" s="542"/>
      <c r="D61" s="542"/>
      <c r="E61" s="543"/>
    </row>
    <row r="62" spans="2:5" ht="20.05" customHeight="1" x14ac:dyDescent="0.45">
      <c r="B62" s="346" t="s">
        <v>17</v>
      </c>
      <c r="C62" s="346" t="s">
        <v>18</v>
      </c>
      <c r="D62" s="346" t="s">
        <v>19</v>
      </c>
      <c r="E62" s="310" t="s">
        <v>20</v>
      </c>
    </row>
    <row r="63" spans="2:5" ht="20.05" customHeight="1" x14ac:dyDescent="0.45">
      <c r="B63" s="4" t="s">
        <v>578</v>
      </c>
      <c r="C63" s="362" t="s">
        <v>579</v>
      </c>
      <c r="D63" s="347" t="s">
        <v>579</v>
      </c>
      <c r="E63" s="337" t="s">
        <v>580</v>
      </c>
    </row>
    <row r="64" spans="2:5" ht="20.05" customHeight="1" x14ac:dyDescent="0.45">
      <c r="B64" s="4" t="s">
        <v>195</v>
      </c>
      <c r="C64" s="362" t="s">
        <v>564</v>
      </c>
      <c r="D64" s="347"/>
      <c r="E64" s="337"/>
    </row>
    <row r="65" spans="2:5" ht="20.05" customHeight="1" x14ac:dyDescent="0.45">
      <c r="B65" s="4" t="s">
        <v>537</v>
      </c>
      <c r="C65" s="362" t="s">
        <v>581</v>
      </c>
      <c r="D65" s="347" t="s">
        <v>581</v>
      </c>
      <c r="E65" s="337"/>
    </row>
    <row r="66" spans="2:5" ht="20.05" customHeight="1" x14ac:dyDescent="0.45">
      <c r="B66" s="462" t="s">
        <v>582</v>
      </c>
      <c r="C66" s="463"/>
      <c r="D66" s="463"/>
      <c r="E66" s="464"/>
    </row>
    <row r="67" spans="2:5" ht="20.05" customHeight="1" x14ac:dyDescent="0.45">
      <c r="B67" s="4" t="s">
        <v>583</v>
      </c>
      <c r="C67" s="101" t="s">
        <v>584</v>
      </c>
      <c r="D67" s="347" t="s">
        <v>584</v>
      </c>
      <c r="E67" s="337" t="str">
        <f>IF(vcf_automation_cert_type_chosen="Generate Certificate","Create a self signed cert in VMware Cloud Foundation Operations",IF(vcf_automation_cert_type_chosen="Import Certificate","Import a signed cert from your CA",""))</f>
        <v>Create a self signed cert in VMware Cloud Foundation Operations</v>
      </c>
    </row>
    <row r="68" spans="2:5" ht="20.05" customHeight="1" x14ac:dyDescent="0.45">
      <c r="B68" s="4" t="s">
        <v>585</v>
      </c>
      <c r="C68" s="101" t="str">
        <f>CONCATENATE(prefix_portable_component,"-auto01","-cert")</f>
        <v>flt-auto01-cert</v>
      </c>
      <c r="D68" s="347"/>
      <c r="E68" s="337"/>
    </row>
    <row r="69" spans="2:5" ht="20.05" customHeight="1" x14ac:dyDescent="0.45">
      <c r="B69" s="4" t="s">
        <v>586</v>
      </c>
      <c r="C69" s="101" t="str">
        <f>CONCATENATE(prefix_portable_component,"-auto01","-cert.pem")</f>
        <v>flt-auto01-cert.pem</v>
      </c>
      <c r="D69" s="347"/>
      <c r="E69" s="337"/>
    </row>
    <row r="70" spans="2:5" ht="20.05" customHeight="1" x14ac:dyDescent="0.45">
      <c r="B70" s="4" t="s">
        <v>587</v>
      </c>
      <c r="C70" s="101" t="str">
        <f>CONCATENATE(prefix_portable_component,"-auto01.",sample_parent_dns_zone)</f>
        <v>flt-auto01.rainpole.io</v>
      </c>
      <c r="D70" s="347"/>
      <c r="E70" s="337"/>
    </row>
    <row r="71" spans="2:5" ht="20.05" customHeight="1" x14ac:dyDescent="0.45">
      <c r="B71" s="4" t="s">
        <v>588</v>
      </c>
      <c r="C71" s="101" t="s">
        <v>59</v>
      </c>
      <c r="D71" s="347"/>
      <c r="E71" s="337"/>
    </row>
    <row r="72" spans="2:5" ht="20.05" customHeight="1" x14ac:dyDescent="0.45">
      <c r="B72" s="4" t="s">
        <v>589</v>
      </c>
      <c r="C72" s="101" t="s">
        <v>61</v>
      </c>
      <c r="D72" s="347"/>
      <c r="E72" s="337"/>
    </row>
    <row r="73" spans="2:5" ht="20.05" customHeight="1" x14ac:dyDescent="0.45">
      <c r="B73" s="4" t="s">
        <v>590</v>
      </c>
      <c r="C73" s="101" t="s">
        <v>63</v>
      </c>
      <c r="D73" s="347"/>
      <c r="E73" s="337"/>
    </row>
    <row r="74" spans="2:5" ht="20.05" customHeight="1" x14ac:dyDescent="0.45">
      <c r="B74" s="4" t="s">
        <v>591</v>
      </c>
      <c r="C74" s="101" t="s">
        <v>67</v>
      </c>
      <c r="D74" s="347"/>
      <c r="E74" s="337"/>
    </row>
    <row r="75" spans="2:5" ht="20.05" customHeight="1" x14ac:dyDescent="0.45">
      <c r="B75" s="4" t="s">
        <v>592</v>
      </c>
      <c r="C75" s="101" t="s">
        <v>65</v>
      </c>
      <c r="D75" s="347"/>
      <c r="E75" s="337"/>
    </row>
    <row r="76" spans="2:5" ht="20.05" customHeight="1" x14ac:dyDescent="0.45">
      <c r="B76" s="4" t="s">
        <v>593</v>
      </c>
      <c r="C76" s="101">
        <v>4096</v>
      </c>
      <c r="D76" s="347" t="s">
        <v>594</v>
      </c>
      <c r="E76" s="337"/>
    </row>
    <row r="77" spans="2:5" ht="20.05" customHeight="1" x14ac:dyDescent="0.45">
      <c r="B77" s="4" t="s">
        <v>595</v>
      </c>
      <c r="C77" s="101" t="str">
        <f>CONCATENATE(prefix_portable_component,"-auto01.",sample_parent_dns_zone)</f>
        <v>flt-auto01.rainpole.io</v>
      </c>
      <c r="D77" s="347"/>
      <c r="E77" s="337" t="s">
        <v>596</v>
      </c>
    </row>
    <row r="78" spans="2:5" ht="20.05" customHeight="1" x14ac:dyDescent="0.45">
      <c r="B78" s="17" t="s">
        <v>283</v>
      </c>
      <c r="C78" s="362" t="str">
        <f>IF(flt_custom_network_chosen="Shared Management Network",IF(mgmt_dpg_reuse_result="Included",CONCATENATE(prefix_mgmt_az1_cidr,"10.25"),CONCATENATE(prefix_mgmt_az1_cidr,"11.25")),IF(flt_custom_network_chosen="NSX Overlay Segment",CONCATENATE(prefix_xreg_cidr,".25"),CONCATENATE(prefix_flt_shared_cidr,".25")))</f>
        <v>10.11.10.25</v>
      </c>
      <c r="D78" s="347"/>
      <c r="E78" s="337"/>
    </row>
    <row r="79" spans="2:5" ht="20.05" customHeight="1" x14ac:dyDescent="0.45">
      <c r="B79" s="4" t="s">
        <v>597</v>
      </c>
      <c r="C79" s="362" t="str">
        <f>sample_vcf_automation_cert_alias</f>
        <v>flt-auto01-cert</v>
      </c>
      <c r="D79" s="347"/>
      <c r="E79" s="337"/>
    </row>
    <row r="80" spans="2:5" ht="20.05" customHeight="1" x14ac:dyDescent="0.45">
      <c r="B80" s="462" t="s">
        <v>598</v>
      </c>
      <c r="C80" s="463"/>
      <c r="D80" s="463"/>
      <c r="E80" s="464"/>
    </row>
    <row r="81" spans="2:5" ht="20.05" customHeight="1" x14ac:dyDescent="0.45">
      <c r="B81" s="4" t="s">
        <v>599</v>
      </c>
      <c r="C81" s="362" t="str">
        <f>sample_mgmt_vc_fqdn</f>
        <v>sfo-m01-vc01.sfo.rainpole.io</v>
      </c>
      <c r="D81" s="337" t="str">
        <f>mgmt_vc_fqdn</f>
        <v>Value Missing</v>
      </c>
      <c r="E81" s="337"/>
    </row>
    <row r="82" spans="2:5" ht="20.05" customHeight="1" x14ac:dyDescent="0.45">
      <c r="B82" s="4" t="s">
        <v>600</v>
      </c>
      <c r="C82" s="362" t="str">
        <f>CONCATENATE(sample_mgmt_datacenter,"#",sample_mgmt_cl01_cluster)</f>
        <v>sfo-m01-dc01#sfo-m01-cl01</v>
      </c>
      <c r="D82" s="347"/>
      <c r="E82" s="337"/>
    </row>
    <row r="83" spans="2:5" ht="20.05" customHeight="1" x14ac:dyDescent="0.45">
      <c r="B83" s="4" t="s">
        <v>601</v>
      </c>
      <c r="C83" s="362" t="str">
        <f>CONCATENATE(this_instance,"-m01-cl01-fd-vcfauto01")</f>
        <v>sfo-m01-cl01-fd-vcfauto01</v>
      </c>
      <c r="D83" s="347"/>
      <c r="E83" s="337" t="s">
        <v>602</v>
      </c>
    </row>
    <row r="84" spans="2:5" ht="20.05" customHeight="1" x14ac:dyDescent="0.45">
      <c r="B84" s="4" t="s">
        <v>603</v>
      </c>
      <c r="C84" s="362" t="str">
        <f>CONCATENATE(this_instance,"-m01-cl01-rp-vcfauto01")</f>
        <v>sfo-m01-cl01-rp-vcfauto01</v>
      </c>
      <c r="D84" s="347"/>
      <c r="E84" s="337" t="s">
        <v>602</v>
      </c>
    </row>
    <row r="85" spans="2:5" ht="20.05" customHeight="1" x14ac:dyDescent="0.45">
      <c r="B85" s="4" t="s">
        <v>604</v>
      </c>
      <c r="C85" s="362"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85" s="347"/>
      <c r="E85" s="337" t="s">
        <v>602</v>
      </c>
    </row>
    <row r="86" spans="2:5" ht="20.05" customHeight="1" x14ac:dyDescent="0.45">
      <c r="B86" s="4" t="s">
        <v>605</v>
      </c>
      <c r="C86" s="362" t="str">
        <f>sample_mgmt_cl01_vsan_datastore</f>
        <v>sfo-m01-cl01-ds-vsan01</v>
      </c>
      <c r="D86" s="337"/>
      <c r="E86" s="337"/>
    </row>
    <row r="87" spans="2:5" ht="20.05" customHeight="1" x14ac:dyDescent="0.45">
      <c r="B87" s="462" t="s">
        <v>252</v>
      </c>
      <c r="C87" s="463"/>
      <c r="D87" s="463"/>
      <c r="E87" s="464"/>
    </row>
    <row r="88" spans="2:5" ht="20.05" customHeight="1" x14ac:dyDescent="0.45">
      <c r="B88" s="4" t="s">
        <v>606</v>
      </c>
      <c r="C88" s="362" t="str">
        <f>sample_parent_dns_zone</f>
        <v>rainpole.io</v>
      </c>
      <c r="D88" s="337" t="str">
        <f>parent_dns_zone</f>
        <v>Value Missing</v>
      </c>
      <c r="E88" s="337"/>
    </row>
    <row r="89" spans="2:5" ht="20.05" customHeight="1" x14ac:dyDescent="0.45">
      <c r="B89" s="4" t="s">
        <v>607</v>
      </c>
      <c r="C89" s="362" t="str">
        <f>sample_parent_dns_zone</f>
        <v>rainpole.io</v>
      </c>
      <c r="D89" s="337" t="str">
        <f>parent_dns_zone</f>
        <v>Value Missing</v>
      </c>
      <c r="E89" s="337"/>
    </row>
    <row r="90" spans="2:5" ht="20.05" customHeight="1" x14ac:dyDescent="0.45">
      <c r="B90" s="4" t="s">
        <v>608</v>
      </c>
      <c r="C90" s="126" t="str">
        <f>CONCATENATE(sample_region_dns1_ip,",",sample_region_dns2_ip)</f>
        <v>10.11.10.4,10.11.10.5</v>
      </c>
      <c r="D90" s="337" t="str">
        <f>CONCATENATE(region_dns1_ip,",",region_dns2_ip)</f>
        <v>Value Missing,Value Missing</v>
      </c>
      <c r="E90" s="337"/>
    </row>
    <row r="91" spans="2:5" ht="20.05" customHeight="1" x14ac:dyDescent="0.45">
      <c r="B91" s="4" t="s">
        <v>609</v>
      </c>
      <c r="C91" s="126" t="s">
        <v>610</v>
      </c>
      <c r="D91" s="347" t="s">
        <v>610</v>
      </c>
      <c r="E91" s="337"/>
    </row>
    <row r="92" spans="2:5" ht="20.05" customHeight="1" x14ac:dyDescent="0.45">
      <c r="B92" s="4" t="s">
        <v>299</v>
      </c>
      <c r="C92" s="362" t="str">
        <f>CONCATENATE(sample_region_ntp1_server,",",sample_region_ntp2_server)</f>
        <v>ntp0.sfo.rainpole.io,ntp1.sfo.rainpole.io</v>
      </c>
      <c r="D92" s="337" t="str">
        <f>CONCATENATE(region_ntp1_server,",",region_ntp2_server)</f>
        <v>Value Missing,Value Missing</v>
      </c>
      <c r="E92" s="337"/>
    </row>
    <row r="93" spans="2:5" ht="20.05" customHeight="1" x14ac:dyDescent="0.45">
      <c r="B93" s="4" t="s">
        <v>611</v>
      </c>
      <c r="C93"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93" s="337"/>
      <c r="E93" s="337"/>
    </row>
    <row r="94" spans="2:5" ht="20.05" customHeight="1" x14ac:dyDescent="0.45">
      <c r="B94" s="4" t="s">
        <v>612</v>
      </c>
      <c r="C94" s="362" t="s">
        <v>128</v>
      </c>
      <c r="D94" s="337"/>
      <c r="E94" s="337"/>
    </row>
    <row r="95" spans="2:5" ht="20.05" customHeight="1" x14ac:dyDescent="0.45">
      <c r="B95" s="462" t="s">
        <v>613</v>
      </c>
      <c r="C95" s="463"/>
      <c r="D95" s="463"/>
      <c r="E95" s="464"/>
    </row>
    <row r="96" spans="2:5" ht="20.05" customHeight="1" x14ac:dyDescent="0.45">
      <c r="B96" s="17" t="s">
        <v>614</v>
      </c>
      <c r="C96" s="283" t="s">
        <v>615</v>
      </c>
      <c r="D96" s="284"/>
      <c r="E96" s="337"/>
    </row>
    <row r="97" spans="2:5" ht="20.05" customHeight="1" x14ac:dyDescent="0.45">
      <c r="B97" s="22" t="s">
        <v>616</v>
      </c>
      <c r="C97" s="285" t="s">
        <v>141</v>
      </c>
      <c r="D97" s="284"/>
      <c r="E97" s="337"/>
    </row>
    <row r="98" spans="2:5" ht="20.05" customHeight="1" x14ac:dyDescent="0.45">
      <c r="B98" s="22" t="s">
        <v>617</v>
      </c>
      <c r="C98" s="285" t="s">
        <v>618</v>
      </c>
      <c r="D98" s="284"/>
      <c r="E98" s="337"/>
    </row>
    <row r="99" spans="2:5" ht="20.05" customHeight="1" x14ac:dyDescent="0.45">
      <c r="B99" s="22" t="s">
        <v>619</v>
      </c>
      <c r="C99" s="285" t="s">
        <v>431</v>
      </c>
      <c r="D99" s="284"/>
      <c r="E99" s="337"/>
    </row>
    <row r="100" spans="2:5" ht="20.05" customHeight="1" x14ac:dyDescent="0.45">
      <c r="B100" s="4" t="s">
        <v>620</v>
      </c>
      <c r="C100" s="101" t="str">
        <f>CONCATENATE(prefix_portable_component,"-auto01","-password")</f>
        <v>flt-auto01-password</v>
      </c>
      <c r="D100" s="347"/>
      <c r="E100" s="337"/>
    </row>
    <row r="101" spans="2:5" ht="20.05" customHeight="1" x14ac:dyDescent="0.45">
      <c r="B101" s="4" t="s">
        <v>562</v>
      </c>
      <c r="C101" s="101" t="s">
        <v>141</v>
      </c>
      <c r="D101" s="347"/>
      <c r="E101" s="337"/>
    </row>
    <row r="102" spans="2:5" ht="20.05" customHeight="1" x14ac:dyDescent="0.45">
      <c r="B102" s="4" t="s">
        <v>621</v>
      </c>
      <c r="C102" s="101" t="s">
        <v>622</v>
      </c>
      <c r="D102" s="347"/>
      <c r="E102" s="337"/>
    </row>
    <row r="103" spans="2:5" ht="20.05" customHeight="1" x14ac:dyDescent="0.45">
      <c r="B103" s="4" t="s">
        <v>623</v>
      </c>
      <c r="C103" s="87" t="s">
        <v>269</v>
      </c>
      <c r="D103" s="86"/>
      <c r="E103" s="337"/>
    </row>
    <row r="104" spans="2:5" ht="20.05" customHeight="1" x14ac:dyDescent="0.45">
      <c r="B104" s="4" t="s">
        <v>624</v>
      </c>
      <c r="C104" s="101" t="str">
        <f>sample_mgmt_vc_fqdn</f>
        <v>sfo-m01-vc01.sfo.rainpole.io</v>
      </c>
      <c r="D104" s="86"/>
      <c r="E104" s="337"/>
    </row>
    <row r="105" spans="2:5" ht="20.05" customHeight="1" x14ac:dyDescent="0.45">
      <c r="B105" s="22" t="s">
        <v>38</v>
      </c>
      <c r="C105" s="87" t="str">
        <f>sample_vcf_automation_vip_fqdn</f>
        <v>flt-auto01.rainpole.io</v>
      </c>
      <c r="D105" s="337" t="str">
        <f t="array" ref="D105">vcf_automation_vip_fqdn</f>
        <v>Value Missing</v>
      </c>
      <c r="E105" s="337"/>
    </row>
    <row r="106" spans="2:5" ht="20.05" customHeight="1" x14ac:dyDescent="0.45">
      <c r="B106" s="22" t="s">
        <v>582</v>
      </c>
      <c r="C106" s="87" t="str">
        <f>sample_vcf_automation_cert_alias</f>
        <v>flt-auto01-cert</v>
      </c>
      <c r="D106" s="337" t="str">
        <f t="array" ref="D106">vcf_automation_cert_alias</f>
        <v>Value Missing</v>
      </c>
      <c r="E106" s="337"/>
    </row>
    <row r="107" spans="2:5" ht="20.05" customHeight="1" x14ac:dyDescent="0.45">
      <c r="B107" s="22" t="s">
        <v>38</v>
      </c>
      <c r="C107" s="87" t="str">
        <f>sample_vcf_automation_vip_fqdn</f>
        <v>flt-auto01.rainpole.io</v>
      </c>
      <c r="D107" s="337" t="str">
        <f t="array" ref="D107">vcf_automation_vip_fqdn</f>
        <v>Value Missing</v>
      </c>
      <c r="E107" s="337"/>
    </row>
    <row r="108" spans="2:5" ht="20.05" customHeight="1" x14ac:dyDescent="0.45">
      <c r="B108" s="22" t="s">
        <v>625</v>
      </c>
      <c r="C108" s="87" t="s">
        <v>626</v>
      </c>
      <c r="D108" s="347" t="s">
        <v>626</v>
      </c>
      <c r="E108" s="337"/>
    </row>
    <row r="109" spans="2:5" ht="20.05" customHeight="1" x14ac:dyDescent="0.45">
      <c r="B109" s="22" t="s">
        <v>566</v>
      </c>
      <c r="C109" s="87" t="str">
        <f>CONCATENATE(prefix_portable_component,"-auto")</f>
        <v>flt-auto</v>
      </c>
      <c r="D109" s="347" t="s">
        <v>627</v>
      </c>
      <c r="E109" s="337" t="s">
        <v>567</v>
      </c>
    </row>
    <row r="110" spans="2:5" ht="20.05" customHeight="1" x14ac:dyDescent="0.45">
      <c r="B110" s="22" t="s">
        <v>628</v>
      </c>
      <c r="C110" s="362" t="str">
        <f>sample_vcf_automation_vip_ip</f>
        <v>10.11.10.25</v>
      </c>
      <c r="D110" s="337" t="str">
        <f t="array" ref="D110">vcf_automation_vip_ip</f>
        <v>Value Missing</v>
      </c>
      <c r="E110" s="337"/>
    </row>
    <row r="111" spans="2:5" ht="20.05" customHeight="1" x14ac:dyDescent="0.45">
      <c r="B111" s="22" t="s">
        <v>629</v>
      </c>
      <c r="C111" s="87" t="s">
        <v>630</v>
      </c>
      <c r="D111" s="347" t="s">
        <v>630</v>
      </c>
      <c r="E111" s="337" t="s">
        <v>575</v>
      </c>
    </row>
    <row r="112" spans="2:5" ht="20.05" customHeight="1" x14ac:dyDescent="0.45">
      <c r="B112" s="22" t="s">
        <v>631</v>
      </c>
      <c r="C112" s="87" t="s">
        <v>632</v>
      </c>
      <c r="D112" s="347"/>
      <c r="E112" s="337"/>
    </row>
    <row r="113" spans="2:5" ht="20.05" customHeight="1" x14ac:dyDescent="0.45">
      <c r="B113" s="22" t="s">
        <v>633</v>
      </c>
      <c r="C113" s="362" t="str">
        <f>IF(flt_custom_network_chosen="Shared Management Network",IF(mgmt_dpg_reuse_result="Included",CONCATENATE(prefix_mgmt_az1_cidr,"10.46"),CONCATENATE(prefix_mgmt_az1_cidr,"11.46")),IF(flt_custom_network_chosen="NSX Overlay Segment",CONCATENATE(prefix_xreg_cidr,".46"),CONCATENATE(prefix_flt_shared_cidr,".46")))</f>
        <v>10.11.10.46</v>
      </c>
      <c r="D113" s="347"/>
      <c r="E113" s="337"/>
    </row>
    <row r="114" spans="2:5" ht="20.05" customHeight="1" x14ac:dyDescent="0.45">
      <c r="B114" s="22" t="s">
        <v>634</v>
      </c>
      <c r="C114" s="362" t="str">
        <f>IF(flt_custom_network_chosen="Shared Management Network",IF(mgmt_dpg_reuse_result="Included",CONCATENATE(prefix_mgmt_az1_cidr,"10.47"),CONCATENATE(prefix_mgmt_az1_cidr,"11.47")),IF(flt_custom_network_chosen="NSX Overlay Segment",CONCATENATE(prefix_xreg_cidr,".47"),CONCATENATE(prefix_flt_shared_cidr,".47")))</f>
        <v>10.11.10.47</v>
      </c>
      <c r="D114" s="347"/>
      <c r="E114" s="337"/>
    </row>
    <row r="115" spans="2:5" ht="20.05" customHeight="1" x14ac:dyDescent="0.45">
      <c r="B115" s="22" t="s">
        <v>635</v>
      </c>
      <c r="C115" s="362" t="str">
        <f>IF(flt_custom_network_chosen="Shared Management Network",IF(mgmt_dpg_reuse_result="Included",CONCATENATE(prefix_mgmt_az1_cidr,"10.48"),CONCATENATE(prefix_mgmt_az1_cidr,"11.48")),IF(flt_custom_network_chosen="NSX Overlay Segment",CONCATENATE(prefix_xreg_cidr,".48"),CONCATENATE(prefix_flt_shared_cidr,".48")))</f>
        <v>10.11.10.48</v>
      </c>
      <c r="D115" s="347"/>
      <c r="E115" s="337"/>
    </row>
    <row r="116" spans="2:5" ht="20.05" customHeight="1" x14ac:dyDescent="0.45">
      <c r="B116" s="22" t="s">
        <v>636</v>
      </c>
      <c r="C116" s="362" t="str">
        <f>IF(flt_custom_network_chosen="Shared Management Network",IF(mgmt_dpg_reuse_result="Included",CONCATENATE(prefix_mgmt_az1_cidr,"10.49"),CONCATENATE(prefix_mgmt_az1_cidr,"11.49")),IF(flt_custom_network_chosen="NSX Overlay Segment",CONCATENATE(prefix_xreg_cidr,".49"),CONCATENATE(prefix_flt_shared_cidr,".49")))</f>
        <v>10.11.10.49</v>
      </c>
      <c r="D116" s="347"/>
      <c r="E116" s="337"/>
    </row>
    <row r="117" spans="2:5" s="8" customFormat="1" ht="16" customHeight="1" x14ac:dyDescent="0.35">
      <c r="D117" s="2"/>
      <c r="E117" s="2"/>
    </row>
    <row r="118" spans="2:5" s="8" customFormat="1" ht="34" customHeight="1" x14ac:dyDescent="0.35">
      <c r="B118" s="544" t="s">
        <v>637</v>
      </c>
      <c r="C118" s="545"/>
      <c r="D118" s="545"/>
      <c r="E118" s="546"/>
    </row>
    <row r="119" spans="2:5" s="8" customFormat="1" ht="16" customHeight="1" x14ac:dyDescent="0.35">
      <c r="D119" s="2"/>
      <c r="E119" s="2"/>
    </row>
    <row r="120" spans="2:5" s="8" customFormat="1" ht="34" customHeight="1" x14ac:dyDescent="0.35">
      <c r="B120" s="538" t="s">
        <v>638</v>
      </c>
      <c r="C120" s="539"/>
      <c r="D120" s="539"/>
      <c r="E120" s="540"/>
    </row>
    <row r="121" spans="2:5" s="8" customFormat="1" ht="20.05" customHeight="1" x14ac:dyDescent="0.35">
      <c r="B121" s="541" t="s">
        <v>577</v>
      </c>
      <c r="C121" s="542"/>
      <c r="D121" s="542"/>
      <c r="E121" s="543"/>
    </row>
    <row r="122" spans="2:5" s="8" customFormat="1" ht="20.05" customHeight="1" x14ac:dyDescent="0.35">
      <c r="B122" s="346" t="s">
        <v>17</v>
      </c>
      <c r="C122" s="346" t="s">
        <v>18</v>
      </c>
      <c r="D122" s="346" t="s">
        <v>19</v>
      </c>
      <c r="E122" s="310" t="s">
        <v>20</v>
      </c>
    </row>
    <row r="123" spans="2:5" s="8" customFormat="1" ht="20.05" customHeight="1" x14ac:dyDescent="0.35">
      <c r="B123" s="4" t="s">
        <v>578</v>
      </c>
      <c r="C123" s="362" t="s">
        <v>579</v>
      </c>
      <c r="D123" s="347" t="s">
        <v>579</v>
      </c>
      <c r="E123" s="337"/>
    </row>
    <row r="124" spans="2:5" s="8" customFormat="1" ht="20.05" customHeight="1" x14ac:dyDescent="0.35">
      <c r="B124" s="4" t="s">
        <v>195</v>
      </c>
      <c r="C124" s="362" t="s">
        <v>564</v>
      </c>
      <c r="D124" s="347"/>
      <c r="E124" s="337"/>
    </row>
    <row r="125" spans="2:5" s="8" customFormat="1" ht="20.05" customHeight="1" x14ac:dyDescent="0.35">
      <c r="B125" s="4" t="s">
        <v>537</v>
      </c>
      <c r="C125" s="362" t="s">
        <v>581</v>
      </c>
      <c r="D125" s="347" t="s">
        <v>581</v>
      </c>
      <c r="E125" s="337"/>
    </row>
    <row r="126" spans="2:5" s="8" customFormat="1" ht="20.05" customHeight="1" x14ac:dyDescent="0.35">
      <c r="B126" s="462" t="s">
        <v>582</v>
      </c>
      <c r="C126" s="463"/>
      <c r="D126" s="463"/>
      <c r="E126" s="464"/>
    </row>
    <row r="127" spans="2:5" s="8" customFormat="1" ht="20.05" customHeight="1" x14ac:dyDescent="0.35">
      <c r="B127" s="4" t="s">
        <v>583</v>
      </c>
      <c r="C127" s="101" t="s">
        <v>584</v>
      </c>
      <c r="D127" s="347" t="s">
        <v>584</v>
      </c>
      <c r="E127" s="337" t="str">
        <f>IF(flt_vidb_cert_type_chosen="Generate Certificate","Create a self signed cert in VMware Cloud Foundation Operations",IF(flt_vidb_cert_type_chosen="Import Certificate","Import a signed cert from your CA",""))</f>
        <v>Create a self signed cert in VMware Cloud Foundation Operations</v>
      </c>
    </row>
    <row r="128" spans="2:5" s="8" customFormat="1" ht="20.05" customHeight="1" x14ac:dyDescent="0.35">
      <c r="B128" s="4" t="s">
        <v>585</v>
      </c>
      <c r="C128" s="101" t="str">
        <f>CONCATENATE(prefix_portable_component,"-idb01","-cert")</f>
        <v>flt-idb01-cert</v>
      </c>
      <c r="D128" s="347"/>
      <c r="E128" s="337"/>
    </row>
    <row r="129" spans="2:5" s="8" customFormat="1" ht="20.05" customHeight="1" x14ac:dyDescent="0.35">
      <c r="B129" s="4" t="s">
        <v>586</v>
      </c>
      <c r="C129" s="101" t="str">
        <f>CONCATENATE(prefix_portable_component,"-idb01","-cert.pem")</f>
        <v>flt-idb01-cert.pem</v>
      </c>
      <c r="D129" s="347"/>
      <c r="E129" s="337"/>
    </row>
    <row r="130" spans="2:5" s="8" customFormat="1" ht="20.05" customHeight="1" x14ac:dyDescent="0.35">
      <c r="B130" s="4" t="s">
        <v>587</v>
      </c>
      <c r="C130" s="101" t="str">
        <f>CONCATENATE(prefix_portable_component,"-idb01",".",sample_parent_dns_zone)</f>
        <v>flt-idb01.rainpole.io</v>
      </c>
      <c r="D130" s="347"/>
      <c r="E130" s="337"/>
    </row>
    <row r="131" spans="2:5" s="8" customFormat="1" ht="20.05" customHeight="1" x14ac:dyDescent="0.35">
      <c r="B131" s="4" t="s">
        <v>588</v>
      </c>
      <c r="C131" s="101" t="s">
        <v>59</v>
      </c>
      <c r="D131" s="347"/>
      <c r="E131" s="337"/>
    </row>
    <row r="132" spans="2:5" s="8" customFormat="1" ht="20.05" customHeight="1" x14ac:dyDescent="0.35">
      <c r="B132" s="4" t="s">
        <v>589</v>
      </c>
      <c r="C132" s="101" t="s">
        <v>61</v>
      </c>
      <c r="D132" s="347"/>
      <c r="E132" s="337"/>
    </row>
    <row r="133" spans="2:5" s="8" customFormat="1" ht="20.05" customHeight="1" x14ac:dyDescent="0.35">
      <c r="B133" s="4" t="s">
        <v>590</v>
      </c>
      <c r="C133" s="101" t="s">
        <v>63</v>
      </c>
      <c r="D133" s="347"/>
      <c r="E133" s="337"/>
    </row>
    <row r="134" spans="2:5" s="8" customFormat="1" ht="20.05" customHeight="1" x14ac:dyDescent="0.35">
      <c r="B134" s="4" t="s">
        <v>591</v>
      </c>
      <c r="C134" s="101" t="s">
        <v>67</v>
      </c>
      <c r="D134" s="347"/>
      <c r="E134" s="337"/>
    </row>
    <row r="135" spans="2:5" s="8" customFormat="1" ht="20.05" customHeight="1" x14ac:dyDescent="0.35">
      <c r="B135" s="4" t="s">
        <v>592</v>
      </c>
      <c r="C135" s="101" t="s">
        <v>65</v>
      </c>
      <c r="D135" s="347"/>
      <c r="E135" s="337"/>
    </row>
    <row r="136" spans="2:5" s="8" customFormat="1" ht="20.05" customHeight="1" x14ac:dyDescent="0.35">
      <c r="B136" s="4" t="s">
        <v>593</v>
      </c>
      <c r="C136" s="101">
        <v>4096</v>
      </c>
      <c r="D136" s="347" t="s">
        <v>594</v>
      </c>
      <c r="E136" s="337"/>
    </row>
    <row r="137" spans="2:5" s="8" customFormat="1" ht="20.05" customHeight="1" x14ac:dyDescent="0.35">
      <c r="B137" s="4" t="s">
        <v>639</v>
      </c>
      <c r="C137" s="101" t="str">
        <f>CONCATENATE(prefix_portable_component,"-idb01",".",sample_parent_dns_zone)</f>
        <v>flt-idb01.rainpole.io</v>
      </c>
      <c r="D137" s="347"/>
      <c r="E137" s="337"/>
    </row>
    <row r="138" spans="2:5" s="8" customFormat="1" ht="20.05" customHeight="1" x14ac:dyDescent="0.35">
      <c r="B138" s="4" t="s">
        <v>640</v>
      </c>
      <c r="C138" s="101" t="str">
        <f>IF(flt_custom_network_chosen="Shared Management Network",IF(mgmt_dpg_reuse_result="Included",CONCATENATE(prefix_mgmt_az1_cidr,"10.23"),CONCATENATE(prefix_mgmt_az1_cidr,"11.23")),
IF(flt_custom_network_chosen="NSX Overlay Segment",CONCATENATE(prefix_xreg_cidr,".60"),CONCATENATE(prefix_flt_shared_cidr,".16")))</f>
        <v>10.11.10.23</v>
      </c>
      <c r="D138" s="347"/>
      <c r="E138" s="337"/>
    </row>
    <row r="139" spans="2:5" s="8" customFormat="1" ht="20.05" customHeight="1" x14ac:dyDescent="0.35">
      <c r="B139" s="4" t="s">
        <v>597</v>
      </c>
      <c r="C139" s="362" t="str">
        <f>sample_flt_vidb_cert_alias</f>
        <v>flt-idb01-cert</v>
      </c>
      <c r="D139" s="337" t="str">
        <f>flt_vidb_cert_alias</f>
        <v>Value Missing</v>
      </c>
      <c r="E139" s="337"/>
    </row>
    <row r="140" spans="2:5" s="8" customFormat="1" ht="20.05" customHeight="1" x14ac:dyDescent="0.35">
      <c r="B140" s="462" t="s">
        <v>598</v>
      </c>
      <c r="C140" s="463"/>
      <c r="D140" s="463"/>
      <c r="E140" s="464"/>
    </row>
    <row r="141" spans="2:5" s="8" customFormat="1" ht="20.05" customHeight="1" x14ac:dyDescent="0.35">
      <c r="B141" s="4" t="s">
        <v>599</v>
      </c>
      <c r="C141" s="362" t="str">
        <f>CONCATENATE(this_instance,"-m01-vc01.",sample_child_dns_zone)</f>
        <v>sfo-m01-vc01.sfo.rainpole.io</v>
      </c>
      <c r="D141" s="347"/>
      <c r="E141" s="337"/>
    </row>
    <row r="142" spans="2:5" s="8" customFormat="1" ht="20.05" customHeight="1" x14ac:dyDescent="0.35">
      <c r="B142" s="4" t="s">
        <v>600</v>
      </c>
      <c r="C142" s="362" t="str">
        <f>CONCATENATE(sample_mgmt_datacenter,"#",sample_mgmt_cl01_cluster)</f>
        <v>sfo-m01-dc01#sfo-m01-cl01</v>
      </c>
      <c r="D142" s="347"/>
      <c r="E142" s="337"/>
    </row>
    <row r="143" spans="2:5" s="8" customFormat="1" ht="20.05" customHeight="1" x14ac:dyDescent="0.35">
      <c r="B143" s="4" t="s">
        <v>601</v>
      </c>
      <c r="C143" s="362" t="str">
        <f>CONCATENATE(this_instance,"-m01-cl01-fd-vcfauth01")</f>
        <v>sfo-m01-cl01-fd-vcfauth01</v>
      </c>
      <c r="D143" s="347"/>
      <c r="E143" s="337" t="s">
        <v>602</v>
      </c>
    </row>
    <row r="144" spans="2:5" s="8" customFormat="1" ht="20.05" customHeight="1" x14ac:dyDescent="0.35">
      <c r="B144" s="4" t="s">
        <v>603</v>
      </c>
      <c r="C144" s="362" t="str">
        <f>CONCATENATE(this_instance,"-m01-cl01-rp-vcfauth01")</f>
        <v>sfo-m01-cl01-rp-vcfauth01</v>
      </c>
      <c r="D144" s="347"/>
      <c r="E144" s="337" t="s">
        <v>602</v>
      </c>
    </row>
    <row r="145" spans="2:5" s="8" customFormat="1" ht="20.05" customHeight="1" x14ac:dyDescent="0.35">
      <c r="B145" s="4" t="s">
        <v>604</v>
      </c>
      <c r="C145" s="362"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145" s="347"/>
      <c r="E145" s="337" t="s">
        <v>602</v>
      </c>
    </row>
    <row r="146" spans="2:5" s="8" customFormat="1" ht="20.05" customHeight="1" x14ac:dyDescent="0.35">
      <c r="B146" s="4" t="s">
        <v>605</v>
      </c>
      <c r="C146" s="362" t="str">
        <f>IF(mgmt_principal_storage_chosen="VMFS on Fibre Channel (FC)",CONCATENATE(this_instance,"-m01-cl01-ds-vmfs01"),IF(mgmt_principal_storage_chosen="NFSv3",CONCATENATE(this_instance,"-m01-cl01-ds-nfs01"),CONCATENATE(this_instance,"-m01-cl01-ds-vsan01")))</f>
        <v>sfo-m01-cl01-ds-vsan01</v>
      </c>
      <c r="D146" s="347"/>
      <c r="E146" s="337"/>
    </row>
    <row r="147" spans="2:5" s="8" customFormat="1" ht="20.05" customHeight="1" x14ac:dyDescent="0.35">
      <c r="B147" s="462" t="s">
        <v>252</v>
      </c>
      <c r="C147" s="463"/>
      <c r="D147" s="463"/>
      <c r="E147" s="464"/>
    </row>
    <row r="148" spans="2:5" s="8" customFormat="1" ht="20.05" customHeight="1" x14ac:dyDescent="0.35">
      <c r="B148" s="4" t="s">
        <v>606</v>
      </c>
      <c r="C148" s="362" t="str">
        <f>sample_parent_dns_zone</f>
        <v>rainpole.io</v>
      </c>
      <c r="D148" s="347" t="str">
        <f>parent_dns_zone</f>
        <v>Value Missing</v>
      </c>
      <c r="E148" s="337"/>
    </row>
    <row r="149" spans="2:5" s="8" customFormat="1" ht="20.05" customHeight="1" x14ac:dyDescent="0.35">
      <c r="B149" s="4" t="s">
        <v>607</v>
      </c>
      <c r="C149" s="362" t="str">
        <f>sample_parent_dns_zone</f>
        <v>rainpole.io</v>
      </c>
      <c r="D149" s="347" t="str">
        <f>parent_dns_zone</f>
        <v>Value Missing</v>
      </c>
      <c r="E149" s="337"/>
    </row>
    <row r="150" spans="2:5" s="8" customFormat="1" ht="20.05" customHeight="1" x14ac:dyDescent="0.35">
      <c r="B150" s="4" t="s">
        <v>608</v>
      </c>
      <c r="C150" s="126" t="str">
        <f>CONCATENATE(sample_region_dns1_ip,",",sample_region_dns2_ip)</f>
        <v>10.11.10.4,10.11.10.5</v>
      </c>
      <c r="D150" s="347" t="str">
        <f>CONCATENATE(region_dns1_ip,",",region_dns2_ip)</f>
        <v>Value Missing,Value Missing</v>
      </c>
      <c r="E150" s="337"/>
    </row>
    <row r="151" spans="2:5" s="8" customFormat="1" ht="20.05" customHeight="1" x14ac:dyDescent="0.35">
      <c r="B151" s="4" t="s">
        <v>609</v>
      </c>
      <c r="C151" s="126" t="s">
        <v>610</v>
      </c>
      <c r="D151" s="347" t="s">
        <v>641</v>
      </c>
      <c r="E151" s="337"/>
    </row>
    <row r="152" spans="2:5" s="8" customFormat="1" ht="20.05" customHeight="1" x14ac:dyDescent="0.35">
      <c r="B152" s="4" t="s">
        <v>299</v>
      </c>
      <c r="C152" s="362" t="str">
        <f>CONCATENATE(sample_region_ntp1_server,",",sample_region_ntp2_server)</f>
        <v>ntp0.sfo.rainpole.io,ntp1.sfo.rainpole.io</v>
      </c>
      <c r="D152" s="347"/>
      <c r="E152" s="337"/>
    </row>
    <row r="153" spans="2:5" s="8" customFormat="1" ht="20.05" customHeight="1" x14ac:dyDescent="0.35">
      <c r="B153" s="4" t="s">
        <v>611</v>
      </c>
      <c r="C153"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153" s="347"/>
      <c r="E153" s="337"/>
    </row>
    <row r="154" spans="2:5" s="8" customFormat="1" ht="20.05" customHeight="1" x14ac:dyDescent="0.35">
      <c r="B154" s="4" t="s">
        <v>612</v>
      </c>
      <c r="C154" s="362" t="s">
        <v>128</v>
      </c>
      <c r="D154" s="347"/>
      <c r="E154" s="337"/>
    </row>
    <row r="155" spans="2:5" s="8" customFormat="1" ht="20.05" customHeight="1" x14ac:dyDescent="0.35">
      <c r="B155" s="462" t="s">
        <v>613</v>
      </c>
      <c r="C155" s="463"/>
      <c r="D155" s="463"/>
      <c r="E155" s="464"/>
    </row>
    <row r="156" spans="2:5" s="8" customFormat="1" ht="20.05" customHeight="1" x14ac:dyDescent="0.35">
      <c r="B156" s="17" t="s">
        <v>642</v>
      </c>
      <c r="C156" s="101" t="str">
        <f>CONCATENATE(prefix_portable_component,"-idb01","-admin-password")</f>
        <v>flt-idb01-admin-password</v>
      </c>
      <c r="D156" s="347"/>
      <c r="E156" s="337"/>
    </row>
    <row r="157" spans="2:5" s="8" customFormat="1" ht="20.05" customHeight="1" x14ac:dyDescent="0.35">
      <c r="B157" s="22" t="s">
        <v>616</v>
      </c>
      <c r="C157" s="101" t="s">
        <v>141</v>
      </c>
      <c r="D157" s="347"/>
      <c r="E157" s="337"/>
    </row>
    <row r="158" spans="2:5" s="8" customFormat="1" ht="20.05" customHeight="1" x14ac:dyDescent="0.35">
      <c r="B158" s="22" t="s">
        <v>617</v>
      </c>
      <c r="C158" s="101" t="s">
        <v>643</v>
      </c>
      <c r="D158" s="347"/>
      <c r="E158" s="337"/>
    </row>
    <row r="159" spans="2:5" s="8" customFormat="1" ht="20.05" customHeight="1" x14ac:dyDescent="0.35">
      <c r="B159" s="4" t="s">
        <v>620</v>
      </c>
      <c r="C159" s="101" t="str">
        <f>CONCATENATE(prefix_portable_component,"-idb01","-password")</f>
        <v>flt-idb01-password</v>
      </c>
      <c r="D159" s="347"/>
      <c r="E159" s="337"/>
    </row>
    <row r="160" spans="2:5" s="8" customFormat="1" ht="20.05" customHeight="1" x14ac:dyDescent="0.35">
      <c r="B160" s="4" t="s">
        <v>562</v>
      </c>
      <c r="C160" s="101" t="s">
        <v>141</v>
      </c>
      <c r="D160" s="347"/>
      <c r="E160" s="337"/>
    </row>
    <row r="161" spans="2:5" s="8" customFormat="1" ht="20.05" customHeight="1" x14ac:dyDescent="0.35">
      <c r="B161" s="4" t="s">
        <v>621</v>
      </c>
      <c r="C161" s="101" t="str">
        <f>CONCATENATE(prefix_portable_component,"-idb01","-password")</f>
        <v>flt-idb01-password</v>
      </c>
      <c r="D161" s="347"/>
      <c r="E161" s="337"/>
    </row>
    <row r="162" spans="2:5" s="8" customFormat="1" ht="20.05" customHeight="1" x14ac:dyDescent="0.35">
      <c r="B162" s="4" t="s">
        <v>27</v>
      </c>
      <c r="C162" s="101" t="s">
        <v>269</v>
      </c>
      <c r="D162" s="347"/>
      <c r="E162" s="337"/>
    </row>
    <row r="163" spans="2:5" s="8" customFormat="1" ht="20.05" customHeight="1" x14ac:dyDescent="0.35">
      <c r="B163" s="4" t="s">
        <v>624</v>
      </c>
      <c r="C163" s="101" t="str">
        <f>CONCATENATE(this_instance,"-m01-vc01.",sample_child_dns_zone)</f>
        <v>sfo-m01-vc01.sfo.rainpole.io</v>
      </c>
      <c r="D163" s="347"/>
      <c r="E163" s="337"/>
    </row>
    <row r="164" spans="2:5" s="8" customFormat="1" ht="20.05" customHeight="1" x14ac:dyDescent="0.35">
      <c r="B164" s="4" t="s">
        <v>38</v>
      </c>
      <c r="C164" s="101" t="str">
        <f>sample_flt_vidb_vip_fqdn</f>
        <v>flt-idb01.rainpole.io</v>
      </c>
      <c r="D164" s="337" t="str">
        <f>flt_vidb_vip_fqdn</f>
        <v>Value Missing</v>
      </c>
      <c r="E164" s="337"/>
    </row>
    <row r="165" spans="2:5" s="8" customFormat="1" ht="20.05" customHeight="1" x14ac:dyDescent="0.35">
      <c r="B165" s="4" t="s">
        <v>582</v>
      </c>
      <c r="C165" s="362" t="str">
        <f>sample_flt_vidb_cert_alias</f>
        <v>flt-idb01-cert</v>
      </c>
      <c r="D165" s="337" t="str">
        <f>flt_vidb_cert_alias</f>
        <v>Value Missing</v>
      </c>
      <c r="E165" s="337"/>
    </row>
    <row r="166" spans="2:5" s="8" customFormat="1" ht="20.05" customHeight="1" x14ac:dyDescent="0.35">
      <c r="B166" s="4" t="s">
        <v>566</v>
      </c>
      <c r="C166" s="101" t="str">
        <f>CONCATENATE(prefix_portable_component,"-idb")</f>
        <v>flt-idb</v>
      </c>
      <c r="D166" s="347"/>
      <c r="E166" s="337" t="s">
        <v>644</v>
      </c>
    </row>
    <row r="167" spans="2:5" s="8" customFormat="1" ht="20.05" customHeight="1" x14ac:dyDescent="0.35">
      <c r="B167" s="4" t="s">
        <v>629</v>
      </c>
      <c r="C167" s="101" t="s">
        <v>645</v>
      </c>
      <c r="D167" s="347" t="s">
        <v>645</v>
      </c>
      <c r="E167" s="337" t="s">
        <v>575</v>
      </c>
    </row>
    <row r="168" spans="2:5" s="8" customFormat="1" ht="20.05" customHeight="1" x14ac:dyDescent="0.35">
      <c r="B168" s="4" t="s">
        <v>628</v>
      </c>
      <c r="C168" s="101" t="str">
        <f>sample_flt_vidb_vip_ip</f>
        <v>10.11.10.23</v>
      </c>
      <c r="D168" s="337" t="str">
        <f t="array" ref="D168">flt_vidb_vip_ip</f>
        <v>Value Missing</v>
      </c>
      <c r="E168" s="337"/>
    </row>
    <row r="169" spans="2:5" s="8" customFormat="1" ht="20.05" customHeight="1" x14ac:dyDescent="0.35">
      <c r="B169" s="4" t="s">
        <v>631</v>
      </c>
      <c r="C169" s="101" t="s">
        <v>632</v>
      </c>
      <c r="D169" s="347"/>
      <c r="E169" s="337"/>
    </row>
    <row r="170" spans="2:5" s="8" customFormat="1" ht="20.05" customHeight="1" x14ac:dyDescent="0.35">
      <c r="B170" s="4" t="s">
        <v>633</v>
      </c>
      <c r="C170" s="101" t="str">
        <f>IF(flt_custom_network_chosen="Shared Management Network",IF(mgmt_dpg_reuse_result="Included",CONCATENATE(prefix_mgmt_az1_cidr,"10.55"),CONCATENATE(prefix_mgmt_az1_cidr,"11.55")),IF(flt_custom_network_chosen="NSX Overlay Segment",CONCATENATE(prefix_xreg_cidr,".55"),CONCATENATE(prefix_flt_shared_cidr,".55")))</f>
        <v>10.11.10.55</v>
      </c>
      <c r="D170" s="347"/>
      <c r="E170" s="337"/>
    </row>
    <row r="171" spans="2:5" s="8" customFormat="1" ht="20.05" customHeight="1" x14ac:dyDescent="0.35">
      <c r="B171" s="4" t="s">
        <v>634</v>
      </c>
      <c r="C171" s="101" t="str">
        <f>IF(flt_custom_network_chosen="Shared Management Network",IF(mgmt_dpg_reuse_result="Included",CONCATENATE(prefix_mgmt_az1_cidr,"10.56"),CONCATENATE(prefix_mgmt_az1_cidr,"11.56")),IF(flt_custom_network_chosen="NSX Overlay Segment",CONCATENATE(prefix_xreg_cidr,".56"),CONCATENATE(prefix_flt_shared_cidr,".56")))</f>
        <v>10.11.10.56</v>
      </c>
      <c r="D171" s="347"/>
      <c r="E171" s="337"/>
    </row>
    <row r="172" spans="2:5" s="8" customFormat="1" ht="20.05" customHeight="1" x14ac:dyDescent="0.35">
      <c r="B172" s="74" t="s">
        <v>635</v>
      </c>
      <c r="C172" s="101" t="str">
        <f>IF(flt_custom_network_chosen="Shared Management Network",IF(mgmt_dpg_reuse_result="Included",CONCATENATE(prefix_mgmt_az1_cidr,"10.57"),CONCATENATE(prefix_mgmt_az1_cidr,"11.57")),IF(flt_custom_network_chosen="NSX Overlay Segment",CONCATENATE(prefix_xreg_cidr,".57"),CONCATENATE(prefix_flt_shared_cidr,".57")))</f>
        <v>10.11.10.57</v>
      </c>
      <c r="D172" s="347"/>
      <c r="E172" s="186"/>
    </row>
    <row r="173" spans="2:5" s="8" customFormat="1" ht="20.05" customHeight="1" x14ac:dyDescent="0.35">
      <c r="B173" s="4" t="s">
        <v>636</v>
      </c>
      <c r="C173" s="98" t="str">
        <f>IF(flt_custom_network_chosen="Shared Management Network",IF(mgmt_dpg_reuse_result="Included",CONCATENATE(prefix_mgmt_az1_cidr,"10.58"),CONCATENATE(prefix_mgmt_az1_cidr,"11.58")),IF(flt_custom_network_chosen="NSX Overlay Segment",CONCATENATE(prefix_xreg_cidr,".58"),CONCATENATE(prefix_flt_shared_cidr,".58")))</f>
        <v>10.11.10.58</v>
      </c>
      <c r="D173" s="347"/>
      <c r="E173" s="337"/>
    </row>
    <row r="174" spans="2:5" s="8" customFormat="1" ht="20.05" customHeight="1" x14ac:dyDescent="0.35">
      <c r="B174" s="462" t="s">
        <v>646</v>
      </c>
      <c r="C174" s="463"/>
      <c r="D174" s="463"/>
      <c r="E174" s="464"/>
    </row>
    <row r="175" spans="2:5" s="8" customFormat="1" ht="20.05" customHeight="1" x14ac:dyDescent="0.35">
      <c r="B175" s="346" t="s">
        <v>17</v>
      </c>
      <c r="C175" s="346" t="s">
        <v>18</v>
      </c>
      <c r="D175" s="346" t="s">
        <v>19</v>
      </c>
      <c r="E175" s="310" t="s">
        <v>20</v>
      </c>
    </row>
    <row r="176" spans="2:5" s="8" customFormat="1" ht="20.05" customHeight="1" x14ac:dyDescent="0.35">
      <c r="B176" s="4" t="s">
        <v>647</v>
      </c>
      <c r="C176" s="362" t="str">
        <f>sample_vcf_instance_name</f>
        <v>San Francisco</v>
      </c>
      <c r="D176" s="337" t="str">
        <f>vcf_instance_name</f>
        <v>Value Missing</v>
      </c>
      <c r="E176" s="337"/>
    </row>
    <row r="177" spans="2:5" s="8" customFormat="1" ht="20.05" customHeight="1" x14ac:dyDescent="0.35">
      <c r="B177" s="4" t="s">
        <v>648</v>
      </c>
      <c r="C177" s="362" t="s">
        <v>649</v>
      </c>
      <c r="D177" s="337" t="str">
        <f>flt_vidb_chosen</f>
        <v>Exclude</v>
      </c>
      <c r="E177" s="337"/>
    </row>
    <row r="178" spans="2:5" s="8" customFormat="1" ht="20.05" customHeight="1" x14ac:dyDescent="0.35">
      <c r="B178" s="4" t="s">
        <v>650</v>
      </c>
      <c r="C178" s="362" t="s">
        <v>651</v>
      </c>
      <c r="D178" s="347" t="s">
        <v>651</v>
      </c>
      <c r="E178" s="337"/>
    </row>
    <row r="179" spans="2:5" s="8" customFormat="1" ht="20.05" customHeight="1" x14ac:dyDescent="0.35">
      <c r="B179" s="4" t="s">
        <v>652</v>
      </c>
      <c r="C179" s="362" t="s">
        <v>59</v>
      </c>
      <c r="D179" s="347"/>
      <c r="E179" s="337"/>
    </row>
    <row r="180" spans="2:5" s="8" customFormat="1" ht="20.05" customHeight="1" x14ac:dyDescent="0.35">
      <c r="B180" s="4" t="s">
        <v>653</v>
      </c>
      <c r="C180" s="362" t="s">
        <v>159</v>
      </c>
      <c r="D180" s="347" t="s">
        <v>159</v>
      </c>
      <c r="E180" s="337" t="s">
        <v>654</v>
      </c>
    </row>
    <row r="181" spans="2:5" s="8" customFormat="1" ht="20.05" customHeight="1" x14ac:dyDescent="0.35">
      <c r="B181" s="4" t="s">
        <v>655</v>
      </c>
      <c r="C181" s="362" t="s">
        <v>145</v>
      </c>
      <c r="D181" s="347" t="s">
        <v>145</v>
      </c>
      <c r="E181" s="337" t="s">
        <v>656</v>
      </c>
    </row>
    <row r="182" spans="2:5" s="8" customFormat="1" ht="20.05" customHeight="1" x14ac:dyDescent="0.35">
      <c r="B182" s="4" t="s">
        <v>657</v>
      </c>
      <c r="C182" s="362" t="s">
        <v>145</v>
      </c>
      <c r="D182" s="347" t="s">
        <v>145</v>
      </c>
      <c r="E182" s="337" t="s">
        <v>658</v>
      </c>
    </row>
    <row r="183" spans="2:5" s="8" customFormat="1" ht="20.05" customHeight="1" x14ac:dyDescent="0.35">
      <c r="B183" s="4" t="s">
        <v>659</v>
      </c>
      <c r="C183" s="362" t="s">
        <v>660</v>
      </c>
      <c r="D183" s="347"/>
      <c r="E183" s="337" t="s">
        <v>661</v>
      </c>
    </row>
    <row r="184" spans="2:5" s="8" customFormat="1" ht="20.05" customHeight="1" x14ac:dyDescent="0.35">
      <c r="B184" s="4" t="s">
        <v>662</v>
      </c>
      <c r="C184" s="362" t="s">
        <v>663</v>
      </c>
      <c r="D184" s="347"/>
      <c r="E184" s="337"/>
    </row>
    <row r="185" spans="2:5" s="8" customFormat="1" ht="20.05" customHeight="1" x14ac:dyDescent="0.35">
      <c r="B185" s="4" t="s">
        <v>664</v>
      </c>
      <c r="C185" s="362">
        <v>636</v>
      </c>
      <c r="D185" s="347"/>
      <c r="E185" s="337"/>
    </row>
    <row r="186" spans="2:5" s="8" customFormat="1" ht="20.05" customHeight="1" x14ac:dyDescent="0.35">
      <c r="B186" s="4" t="s">
        <v>665</v>
      </c>
      <c r="C186" s="362" t="str">
        <f>CONCATENATE(this_instance,"-m01-ad01.",sample_child_dns_zone)</f>
        <v>sfo-m01-ad01.sfo.rainpole.io</v>
      </c>
      <c r="D186" s="347"/>
      <c r="E186" s="337"/>
    </row>
    <row r="187" spans="2:5" s="8" customFormat="1" ht="20.05" customHeight="1" x14ac:dyDescent="0.35">
      <c r="B187" s="4" t="s">
        <v>666</v>
      </c>
      <c r="C187" s="362">
        <v>636</v>
      </c>
      <c r="D187" s="347"/>
      <c r="E187" s="337"/>
    </row>
    <row r="188" spans="2:5" s="8" customFormat="1" ht="20.05" customHeight="1" x14ac:dyDescent="0.35">
      <c r="B188" s="4" t="s">
        <v>667</v>
      </c>
      <c r="C188" s="362" t="s">
        <v>668</v>
      </c>
      <c r="D188" s="347" t="s">
        <v>668</v>
      </c>
      <c r="E188" s="337"/>
    </row>
    <row r="189" spans="2:5" s="8" customFormat="1" ht="20.05" customHeight="1" x14ac:dyDescent="0.35">
      <c r="B189" s="4" t="s">
        <v>669</v>
      </c>
      <c r="C189" s="362" t="s">
        <v>670</v>
      </c>
      <c r="D189" s="347"/>
      <c r="E189" s="337"/>
    </row>
    <row r="190" spans="2:5" s="8" customFormat="1" ht="20.05" customHeight="1" x14ac:dyDescent="0.35">
      <c r="B190" s="4" t="s">
        <v>671</v>
      </c>
      <c r="C190" s="362" t="s">
        <v>672</v>
      </c>
      <c r="D190" s="347"/>
      <c r="E190" s="337" t="s">
        <v>673</v>
      </c>
    </row>
    <row r="191" spans="2:5" s="8" customFormat="1" ht="20.05" customHeight="1" x14ac:dyDescent="0.35">
      <c r="B191" s="4" t="s">
        <v>674</v>
      </c>
      <c r="C191" s="362" t="s">
        <v>30</v>
      </c>
      <c r="D191" s="347"/>
      <c r="E191" s="337"/>
    </row>
    <row r="192" spans="2:5" s="8" customFormat="1" ht="20.05" customHeight="1" x14ac:dyDescent="0.35">
      <c r="B192" s="544" t="s">
        <v>675</v>
      </c>
      <c r="C192" s="545"/>
      <c r="D192" s="545"/>
      <c r="E192" s="546"/>
    </row>
    <row r="193" spans="2:5" s="8" customFormat="1" ht="20.05" customHeight="1" x14ac:dyDescent="0.35">
      <c r="B193" s="462" t="s">
        <v>676</v>
      </c>
      <c r="C193" s="463"/>
      <c r="D193" s="463"/>
      <c r="E193" s="464"/>
    </row>
    <row r="194" spans="2:5" s="8" customFormat="1" ht="20.05" customHeight="1" x14ac:dyDescent="0.35">
      <c r="B194" s="4" t="s">
        <v>677</v>
      </c>
      <c r="C194" s="362" t="s">
        <v>668</v>
      </c>
      <c r="D194" s="347"/>
      <c r="E194" s="337"/>
    </row>
    <row r="195" spans="2:5" s="8" customFormat="1" ht="20.05" customHeight="1" x14ac:dyDescent="0.35">
      <c r="B195" s="4" t="s">
        <v>678</v>
      </c>
      <c r="C195" s="362" t="s">
        <v>679</v>
      </c>
      <c r="D195" s="347"/>
      <c r="E195" s="337"/>
    </row>
    <row r="196" spans="2:5" s="8" customFormat="1" ht="20.05" customHeight="1" x14ac:dyDescent="0.35">
      <c r="B196" s="4" t="s">
        <v>680</v>
      </c>
      <c r="C196" s="362" t="s">
        <v>681</v>
      </c>
      <c r="D196" s="347"/>
      <c r="E196" s="337"/>
    </row>
    <row r="197" spans="2:5" s="8" customFormat="1" ht="20.05" customHeight="1" x14ac:dyDescent="0.35">
      <c r="B197" s="4" t="s">
        <v>682</v>
      </c>
      <c r="C197" s="362" t="s">
        <v>683</v>
      </c>
      <c r="D197" s="347"/>
      <c r="E197" s="337"/>
    </row>
    <row r="198" spans="2:5" s="8" customFormat="1" ht="20.05" customHeight="1" x14ac:dyDescent="0.35">
      <c r="B198" s="4" t="s">
        <v>684</v>
      </c>
      <c r="C198" s="362" t="s">
        <v>684</v>
      </c>
      <c r="D198" s="347"/>
      <c r="E198" s="337"/>
    </row>
    <row r="199" spans="2:5" s="8" customFormat="1" ht="20.05" customHeight="1" x14ac:dyDescent="0.35">
      <c r="B199" s="4" t="s">
        <v>685</v>
      </c>
      <c r="C199" s="362" t="s">
        <v>686</v>
      </c>
      <c r="D199" s="347"/>
      <c r="E199" s="337"/>
    </row>
    <row r="200" spans="2:5" s="8" customFormat="1" ht="20.05" customHeight="1" x14ac:dyDescent="0.35">
      <c r="B200" s="4" t="s">
        <v>687</v>
      </c>
      <c r="C200" s="362" t="s">
        <v>687</v>
      </c>
      <c r="D200" s="347"/>
      <c r="E200" s="337"/>
    </row>
    <row r="201" spans="2:5" s="8" customFormat="1" ht="20.05" customHeight="1" x14ac:dyDescent="0.35">
      <c r="B201" s="462" t="s">
        <v>688</v>
      </c>
      <c r="C201" s="463"/>
      <c r="D201" s="463"/>
      <c r="E201" s="464"/>
    </row>
    <row r="202" spans="2:5" s="8" customFormat="1" ht="20.05" customHeight="1" x14ac:dyDescent="0.35">
      <c r="B202" s="4" t="s">
        <v>689</v>
      </c>
      <c r="C202" s="362" t="s">
        <v>690</v>
      </c>
      <c r="D202" s="347"/>
      <c r="E202" s="337"/>
    </row>
    <row r="203" spans="2:5" s="8" customFormat="1" ht="20.05" customHeight="1" x14ac:dyDescent="0.35">
      <c r="B203" s="462" t="s">
        <v>691</v>
      </c>
      <c r="C203" s="463"/>
      <c r="D203" s="463"/>
      <c r="E203" s="464"/>
    </row>
    <row r="204" spans="2:5" ht="20.05" customHeight="1" x14ac:dyDescent="0.45">
      <c r="B204" s="4" t="s">
        <v>692</v>
      </c>
      <c r="C204" s="362" t="s">
        <v>693</v>
      </c>
      <c r="D204" s="347"/>
      <c r="E204" s="337"/>
    </row>
    <row r="205" spans="2:5" s="8" customFormat="1" ht="16" customHeight="1" x14ac:dyDescent="0.35">
      <c r="D205" s="303"/>
      <c r="E205" s="303"/>
    </row>
    <row r="206" spans="2:5" s="8" customFormat="1" ht="34" customHeight="1" x14ac:dyDescent="0.35">
      <c r="B206" s="509" t="s">
        <v>694</v>
      </c>
      <c r="C206" s="510"/>
      <c r="D206" s="510"/>
      <c r="E206" s="511"/>
    </row>
    <row r="207" spans="2:5" s="8" customFormat="1" ht="20.05" customHeight="1" x14ac:dyDescent="0.35">
      <c r="B207" s="346" t="s">
        <v>17</v>
      </c>
      <c r="C207" s="346" t="s">
        <v>18</v>
      </c>
      <c r="D207" s="346" t="s">
        <v>19</v>
      </c>
      <c r="E207" s="310" t="s">
        <v>20</v>
      </c>
    </row>
    <row r="208" spans="2:5" s="8" customFormat="1" ht="20.05" customHeight="1" x14ac:dyDescent="0.35">
      <c r="B208" s="462" t="s">
        <v>577</v>
      </c>
      <c r="C208" s="463"/>
      <c r="D208" s="463"/>
      <c r="E208" s="464"/>
    </row>
    <row r="209" spans="2:5" s="8" customFormat="1" ht="20.05" customHeight="1" x14ac:dyDescent="0.35">
      <c r="B209" s="4" t="s">
        <v>578</v>
      </c>
      <c r="C209" s="362" t="s">
        <v>579</v>
      </c>
      <c r="D209" s="347" t="s">
        <v>579</v>
      </c>
      <c r="E209" s="337"/>
    </row>
    <row r="210" spans="2:5" s="8" customFormat="1" ht="20.05" customHeight="1" x14ac:dyDescent="0.35">
      <c r="B210" s="4" t="s">
        <v>195</v>
      </c>
      <c r="C210" s="362" t="s">
        <v>564</v>
      </c>
      <c r="D210" s="347"/>
      <c r="E210" s="337"/>
    </row>
    <row r="211" spans="2:5" s="8" customFormat="1" ht="20.05" customHeight="1" x14ac:dyDescent="0.35">
      <c r="B211" s="4" t="s">
        <v>537</v>
      </c>
      <c r="C211" s="362" t="s">
        <v>538</v>
      </c>
      <c r="D211" s="347" t="s">
        <v>538</v>
      </c>
      <c r="E211" s="337"/>
    </row>
    <row r="212" spans="2:5" s="8" customFormat="1" ht="20.05" customHeight="1" x14ac:dyDescent="0.35">
      <c r="B212" s="462" t="s">
        <v>582</v>
      </c>
      <c r="C212" s="463"/>
      <c r="D212" s="463"/>
      <c r="E212" s="464"/>
    </row>
    <row r="213" spans="2:5" s="8" customFormat="1" ht="20.05" customHeight="1" x14ac:dyDescent="0.35">
      <c r="B213" s="4" t="s">
        <v>583</v>
      </c>
      <c r="C213" s="101" t="s">
        <v>584</v>
      </c>
      <c r="D213" s="347" t="s">
        <v>584</v>
      </c>
      <c r="E213" s="337"/>
    </row>
    <row r="214" spans="2:5" s="8" customFormat="1" ht="20.05" customHeight="1" x14ac:dyDescent="0.35">
      <c r="B214" s="4" t="s">
        <v>585</v>
      </c>
      <c r="C214" s="101" t="str">
        <f>CONCATENATE(prefix_portable_component,"-logs01","-cert")</f>
        <v>flt-logs01-cert</v>
      </c>
      <c r="D214" s="347"/>
      <c r="E214" s="337"/>
    </row>
    <row r="215" spans="2:5" s="8" customFormat="1" ht="20.05" customHeight="1" x14ac:dyDescent="0.35">
      <c r="B215" s="4" t="s">
        <v>695</v>
      </c>
      <c r="C215" s="101" t="s">
        <v>141</v>
      </c>
      <c r="D215" s="347"/>
      <c r="E215" s="337"/>
    </row>
    <row r="216" spans="2:5" s="8" customFormat="1" ht="20.05" customHeight="1" x14ac:dyDescent="0.35">
      <c r="B216" s="4" t="s">
        <v>586</v>
      </c>
      <c r="C216" s="101" t="str">
        <f>CONCATENATE(prefix_portable_component,"-logs01","-cert.pem")</f>
        <v>flt-logs01-cert.pem</v>
      </c>
      <c r="D216" s="347"/>
      <c r="E216" s="337"/>
    </row>
    <row r="217" spans="2:5" s="8" customFormat="1" ht="20.05" customHeight="1" x14ac:dyDescent="0.35">
      <c r="B217" s="4" t="s">
        <v>587</v>
      </c>
      <c r="C217" s="101" t="str">
        <f>CONCATENATE(prefix_portable_component,"-logs01",".",sample_parent_dns_zone)</f>
        <v>flt-logs01.rainpole.io</v>
      </c>
      <c r="D217" s="347"/>
      <c r="E217" s="337"/>
    </row>
    <row r="218" spans="2:5" s="8" customFormat="1" ht="20.05" customHeight="1" x14ac:dyDescent="0.35">
      <c r="B218" s="4" t="s">
        <v>588</v>
      </c>
      <c r="C218" s="101" t="s">
        <v>59</v>
      </c>
      <c r="D218" s="347"/>
      <c r="E218" s="337"/>
    </row>
    <row r="219" spans="2:5" s="8" customFormat="1" ht="20.05" customHeight="1" x14ac:dyDescent="0.35">
      <c r="B219" s="4" t="s">
        <v>589</v>
      </c>
      <c r="C219" s="101" t="s">
        <v>61</v>
      </c>
      <c r="D219" s="347"/>
      <c r="E219" s="337"/>
    </row>
    <row r="220" spans="2:5" s="8" customFormat="1" ht="20.05" customHeight="1" x14ac:dyDescent="0.35">
      <c r="B220" s="4" t="s">
        <v>590</v>
      </c>
      <c r="C220" s="101" t="s">
        <v>63</v>
      </c>
      <c r="D220" s="347"/>
      <c r="E220" s="337"/>
    </row>
    <row r="221" spans="2:5" s="8" customFormat="1" ht="20.05" customHeight="1" x14ac:dyDescent="0.35">
      <c r="B221" s="4" t="s">
        <v>591</v>
      </c>
      <c r="C221" s="101" t="s">
        <v>67</v>
      </c>
      <c r="D221" s="347"/>
      <c r="E221" s="337"/>
    </row>
    <row r="222" spans="2:5" s="8" customFormat="1" ht="20.05" customHeight="1" x14ac:dyDescent="0.35">
      <c r="B222" s="4" t="s">
        <v>592</v>
      </c>
      <c r="C222" s="101" t="s">
        <v>65</v>
      </c>
      <c r="D222" s="347"/>
      <c r="E222" s="337"/>
    </row>
    <row r="223" spans="2:5" s="8" customFormat="1" ht="20.05" customHeight="1" x14ac:dyDescent="0.35">
      <c r="B223" s="4" t="s">
        <v>593</v>
      </c>
      <c r="C223" s="101">
        <v>4096</v>
      </c>
      <c r="D223" s="347" t="s">
        <v>594</v>
      </c>
      <c r="E223" s="337"/>
    </row>
    <row r="224" spans="2:5" s="8" customFormat="1" ht="20.05" customHeight="1" x14ac:dyDescent="0.35">
      <c r="B224" s="4" t="s">
        <v>696</v>
      </c>
      <c r="C224" s="101" t="str">
        <f>CONCATENATE(prefix_portable_component,"-logs01",".",sample_parent_dns_zone)</f>
        <v>flt-logs01.rainpole.io</v>
      </c>
      <c r="D224" s="347"/>
      <c r="E224" s="337"/>
    </row>
    <row r="225" spans="2:5" s="8" customFormat="1" ht="20.05" customHeight="1" x14ac:dyDescent="0.35">
      <c r="B225" s="4" t="s">
        <v>697</v>
      </c>
      <c r="C225" s="101" t="str">
        <f>CONCATENATE(prefix_portable_component,"-logs01a",".",sample_parent_dns_zone)</f>
        <v>flt-logs01a.rainpole.io</v>
      </c>
      <c r="D225" s="347"/>
      <c r="E225" s="337"/>
    </row>
    <row r="226" spans="2:5" s="8" customFormat="1" ht="20.05" customHeight="1" x14ac:dyDescent="0.35">
      <c r="B226" s="4" t="s">
        <v>698</v>
      </c>
      <c r="C226" s="101" t="str">
        <f>CONCATENATE(prefix_portable_component,"-logs01b",".",sample_parent_dns_zone)</f>
        <v>flt-logs01b.rainpole.io</v>
      </c>
      <c r="D226" s="347"/>
      <c r="E226" s="337"/>
    </row>
    <row r="227" spans="2:5" s="8" customFormat="1" ht="20.05" customHeight="1" x14ac:dyDescent="0.35">
      <c r="B227" s="4" t="s">
        <v>699</v>
      </c>
      <c r="C227" s="101" t="str">
        <f>CONCATENATE(prefix_portable_component,"-logs01c",".",sample_parent_dns_zone)</f>
        <v>flt-logs01c.rainpole.io</v>
      </c>
      <c r="D227" s="347"/>
      <c r="E227" s="337"/>
    </row>
    <row r="228" spans="2:5" s="8" customFormat="1" ht="20.05" customHeight="1" x14ac:dyDescent="0.35">
      <c r="B228" s="4" t="s">
        <v>700</v>
      </c>
      <c r="C228" s="362" t="str">
        <f>IF(flt_custom_network_chosen="Shared Management Network",IF(mgmt_dpg_reuse_result="Included",CONCATENATE(prefix_mgmt_az1_cidr,"10.26"),CONCATENATE(prefix_mgmt_az1_cidr,"11.26")),IF(flt_custom_network_chosen="NSX Overlay Segment",CONCATENATE(prefix_xreg_cidr,".26"),CONCATENATE(prefix_flt_shared_cidr,".26")))</f>
        <v>10.11.10.26</v>
      </c>
      <c r="D228" s="347"/>
      <c r="E228" s="337"/>
    </row>
    <row r="229" spans="2:5" s="8" customFormat="1" ht="20.05" customHeight="1" x14ac:dyDescent="0.35">
      <c r="B229" s="4" t="s">
        <v>701</v>
      </c>
      <c r="C229" s="362" t="str">
        <f>IF(flt_custom_network_chosen="Shared Management Network",IF(mgmt_dpg_reuse_result="Included",CONCATENATE(prefix_mgmt_az1_cidr,"10.59"),CONCATENATE(prefix_mgmt_az1_cidr,"11.59")),IF(flt_custom_network_chosen="NSX Overlay Segment",CONCATENATE(prefix_xreg_cidr,".59"),CONCATENATE(prefix_flt_shared_cidr,".59")))</f>
        <v>10.11.10.59</v>
      </c>
      <c r="D229" s="347"/>
      <c r="E229" s="337"/>
    </row>
    <row r="230" spans="2:5" s="8" customFormat="1" ht="20.05" customHeight="1" x14ac:dyDescent="0.35">
      <c r="B230" s="4" t="s">
        <v>702</v>
      </c>
      <c r="C230" s="362" t="str">
        <f>IF(flt_custom_network_chosen="Shared Management Network",IF(mgmt_dpg_reuse_result="Included",CONCATENATE(prefix_mgmt_az1_cidr,"10.60"),CONCATENATE(prefix_mgmt_az1_cidr,"11.60")),IF(flt_custom_network_chosen="NSX Overlay Segment",CONCATENATE(prefix_xreg_cidr,".60"),CONCATENATE(prefix_flt_shared_cidr,".60")))</f>
        <v>10.11.10.60</v>
      </c>
      <c r="D230" s="347"/>
      <c r="E230" s="337"/>
    </row>
    <row r="231" spans="2:5" s="8" customFormat="1" ht="20.05" customHeight="1" x14ac:dyDescent="0.35">
      <c r="B231" s="4" t="s">
        <v>703</v>
      </c>
      <c r="C231" s="362" t="str">
        <f>IF(flt_custom_network_chosen="Shared Management Network",IF(mgmt_dpg_reuse_result="Included",CONCATENATE(prefix_mgmt_az1_cidr,"10.61"),CONCATENATE(prefix_mgmt_az1_cidr,"11.61")),IF(flt_custom_network_chosen="NSX Overlay Segment",CONCATENATE(prefix_xreg_cidr,".61"),CONCATENATE(prefix_flt_shared_cidr,".61")))</f>
        <v>10.11.10.61</v>
      </c>
      <c r="D231" s="347"/>
      <c r="E231" s="337"/>
    </row>
    <row r="232" spans="2:5" s="8" customFormat="1" ht="20.05" customHeight="1" x14ac:dyDescent="0.35">
      <c r="B232" s="4" t="s">
        <v>597</v>
      </c>
      <c r="C232" s="362" t="str">
        <f>sample_flt_logs_cert_alias</f>
        <v>flt-logs01-cert</v>
      </c>
      <c r="D232" s="337" t="str">
        <f t="array" ref="D232">flt_logs_cert_alias</f>
        <v>Value Missing</v>
      </c>
      <c r="E232" s="337"/>
    </row>
    <row r="233" spans="2:5" s="8" customFormat="1" ht="20.05" customHeight="1" x14ac:dyDescent="0.35">
      <c r="B233" s="462" t="s">
        <v>598</v>
      </c>
      <c r="C233" s="463"/>
      <c r="D233" s="463"/>
      <c r="E233" s="464"/>
    </row>
    <row r="234" spans="2:5" s="8" customFormat="1" ht="20.05" customHeight="1" x14ac:dyDescent="0.35">
      <c r="B234" s="4" t="s">
        <v>599</v>
      </c>
      <c r="C234" s="362" t="str">
        <f>CONCATENATE(this_instance,"-m01-vc01.",sample_child_dns_zone)</f>
        <v>sfo-m01-vc01.sfo.rainpole.io</v>
      </c>
      <c r="D234" s="347"/>
      <c r="E234" s="337"/>
    </row>
    <row r="235" spans="2:5" s="8" customFormat="1" ht="20.05" customHeight="1" x14ac:dyDescent="0.35">
      <c r="B235" s="4" t="s">
        <v>600</v>
      </c>
      <c r="C235" s="362" t="str">
        <f>CONCATENATE(sample_mgmt_datacenter,"#",sample_mgmt_cl01_cluster)</f>
        <v>sfo-m01-dc01#sfo-m01-cl01</v>
      </c>
      <c r="D235" s="347"/>
      <c r="E235" s="337"/>
    </row>
    <row r="236" spans="2:5" s="8" customFormat="1" ht="20.05" customHeight="1" x14ac:dyDescent="0.35">
      <c r="B236" s="4" t="s">
        <v>601</v>
      </c>
      <c r="C236" s="362" t="str">
        <f>CONCATENATE(this_instance,"-m01-cl01-fd-flt-logs01")</f>
        <v>sfo-m01-cl01-fd-flt-logs01</v>
      </c>
      <c r="D236" s="347"/>
      <c r="E236" s="337" t="s">
        <v>602</v>
      </c>
    </row>
    <row r="237" spans="2:5" s="8" customFormat="1" ht="20.05" customHeight="1" x14ac:dyDescent="0.35">
      <c r="B237" s="4" t="s">
        <v>603</v>
      </c>
      <c r="C237" s="362" t="str">
        <f>CONCATENATE(this_instance,"-m01-cl01-rp-flt-logs01")</f>
        <v>sfo-m01-cl01-rp-flt-logs01</v>
      </c>
      <c r="D237" s="347"/>
      <c r="E237" s="337" t="s">
        <v>602</v>
      </c>
    </row>
    <row r="238" spans="2:5" s="8" customFormat="1" ht="20.05" customHeight="1" x14ac:dyDescent="0.35">
      <c r="B238" s="4" t="s">
        <v>604</v>
      </c>
      <c r="C238" s="362"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238" s="347"/>
      <c r="E238" s="337"/>
    </row>
    <row r="239" spans="2:5" s="8" customFormat="1" ht="20.05" customHeight="1" x14ac:dyDescent="0.35">
      <c r="B239" s="4" t="s">
        <v>605</v>
      </c>
      <c r="C239" s="362" t="str">
        <f>IF(mgmt_principal_storage_chosen="VMFS on Fibre Channel (FC)",CONCATENATE(this_instance,"-m01-cl01-ds-vmfs01"),IF(mgmt_principal_storage_chosen="NFSv3",CONCATENATE(this_instance,"-m01-cl01-ds-nfs01"),CONCATENATE(this_instance,"-m01-cl01-ds-vsan01")))</f>
        <v>sfo-m01-cl01-ds-vsan01</v>
      </c>
      <c r="D239" s="347"/>
      <c r="E239" s="337"/>
    </row>
    <row r="240" spans="2:5" s="8" customFormat="1" ht="20.05" customHeight="1" x14ac:dyDescent="0.35">
      <c r="B240" s="4" t="s">
        <v>704</v>
      </c>
      <c r="C240" s="362" t="s">
        <v>705</v>
      </c>
      <c r="D240" s="347" t="s">
        <v>705</v>
      </c>
      <c r="E240" s="337"/>
    </row>
    <row r="241" spans="2:5" s="8" customFormat="1" ht="20.05" customHeight="1" x14ac:dyDescent="0.35">
      <c r="B241" s="462" t="s">
        <v>252</v>
      </c>
      <c r="C241" s="463"/>
      <c r="D241" s="463"/>
      <c r="E241" s="464"/>
    </row>
    <row r="242" spans="2:5" s="8" customFormat="1" ht="20.05" customHeight="1" x14ac:dyDescent="0.35">
      <c r="B242" s="4" t="s">
        <v>606</v>
      </c>
      <c r="C242" s="362" t="str">
        <f>sample_parent_dns_zone</f>
        <v>rainpole.io</v>
      </c>
      <c r="D242" s="347" t="str">
        <f>parent_dns_zone</f>
        <v>Value Missing</v>
      </c>
      <c r="E242" s="337"/>
    </row>
    <row r="243" spans="2:5" s="8" customFormat="1" ht="20.05" customHeight="1" x14ac:dyDescent="0.35">
      <c r="B243" s="4" t="s">
        <v>607</v>
      </c>
      <c r="C243" s="362" t="str">
        <f>sample_parent_dns_zone</f>
        <v>rainpole.io</v>
      </c>
      <c r="D243" s="347" t="str">
        <f>parent_dns_zone</f>
        <v>Value Missing</v>
      </c>
      <c r="E243" s="337"/>
    </row>
    <row r="244" spans="2:5" s="8" customFormat="1" ht="20.05" customHeight="1" x14ac:dyDescent="0.35">
      <c r="B244" s="4" t="s">
        <v>608</v>
      </c>
      <c r="C244" s="126" t="str">
        <f>CONCATENATE(sample_region_dns1_ip,",",sample_region_dns2_ip)</f>
        <v>10.11.10.4,10.11.10.5</v>
      </c>
      <c r="D244" s="347" t="str">
        <f>CONCATENATE(region_dns1_ip,",",region_dns2_ip)</f>
        <v>Value Missing,Value Missing</v>
      </c>
      <c r="E244" s="337"/>
    </row>
    <row r="245" spans="2:5" s="8" customFormat="1" ht="20.05" customHeight="1" x14ac:dyDescent="0.35">
      <c r="B245" s="4" t="s">
        <v>609</v>
      </c>
      <c r="C245" s="126" t="s">
        <v>610</v>
      </c>
      <c r="D245" s="347" t="s">
        <v>610</v>
      </c>
      <c r="E245" s="337"/>
    </row>
    <row r="246" spans="2:5" s="8" customFormat="1" ht="20.05" customHeight="1" x14ac:dyDescent="0.35">
      <c r="B246" s="4" t="s">
        <v>299</v>
      </c>
      <c r="C246" s="362" t="str">
        <f>CONCATENATE(sample_region_ntp1_server,",",sample_region_ntp2_server)</f>
        <v>ntp0.sfo.rainpole.io,ntp1.sfo.rainpole.io</v>
      </c>
      <c r="D246" s="337" t="str">
        <f>CONCATENATE(region_ntp1_server,",",region_ntp2_server)</f>
        <v>Value Missing,Value Missing</v>
      </c>
      <c r="E246" s="337"/>
    </row>
    <row r="247" spans="2:5" s="8" customFormat="1" ht="20.05" customHeight="1" x14ac:dyDescent="0.35">
      <c r="B247" s="4" t="s">
        <v>611</v>
      </c>
      <c r="C247"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247" s="347"/>
      <c r="E247" s="337"/>
    </row>
    <row r="248" spans="2:5" s="8" customFormat="1" ht="20.05" customHeight="1" x14ac:dyDescent="0.35">
      <c r="B248" s="4" t="s">
        <v>612</v>
      </c>
      <c r="C248" s="362" t="s">
        <v>128</v>
      </c>
      <c r="D248" s="347"/>
      <c r="E248" s="337"/>
    </row>
    <row r="249" spans="2:5" s="8" customFormat="1" ht="20.05" customHeight="1" x14ac:dyDescent="0.35">
      <c r="B249" s="462" t="s">
        <v>613</v>
      </c>
      <c r="C249" s="463"/>
      <c r="D249" s="463"/>
      <c r="E249" s="464"/>
    </row>
    <row r="250" spans="2:5" s="8" customFormat="1" ht="20.05" customHeight="1" x14ac:dyDescent="0.35">
      <c r="B250" s="4" t="s">
        <v>706</v>
      </c>
      <c r="C250" s="101" t="str">
        <f>CONCATENATE(prefix_portable_component,"-logs01","-admin-password")</f>
        <v>flt-logs01-admin-password</v>
      </c>
      <c r="D250" s="347"/>
      <c r="E250" s="337"/>
    </row>
    <row r="251" spans="2:5" s="8" customFormat="1" ht="20.05" customHeight="1" x14ac:dyDescent="0.35">
      <c r="B251" s="4" t="s">
        <v>199</v>
      </c>
      <c r="C251" s="101" t="s">
        <v>141</v>
      </c>
      <c r="D251" s="347"/>
      <c r="E251" s="337"/>
    </row>
    <row r="252" spans="2:5" s="8" customFormat="1" ht="20.05" customHeight="1" x14ac:dyDescent="0.35">
      <c r="B252" s="4" t="s">
        <v>707</v>
      </c>
      <c r="C252" s="101" t="s">
        <v>708</v>
      </c>
      <c r="D252" s="347"/>
      <c r="E252" s="337"/>
    </row>
    <row r="253" spans="2:5" s="8" customFormat="1" ht="20.05" customHeight="1" x14ac:dyDescent="0.35">
      <c r="B253" s="4" t="s">
        <v>709</v>
      </c>
      <c r="C253" s="101" t="s">
        <v>431</v>
      </c>
      <c r="D253" s="347"/>
      <c r="E253" s="337"/>
    </row>
    <row r="254" spans="2:5" s="8" customFormat="1" ht="20.05" customHeight="1" x14ac:dyDescent="0.35">
      <c r="B254" s="4" t="s">
        <v>620</v>
      </c>
      <c r="C254" s="101" t="str">
        <f>CONCATENATE(prefix_portable_component,"-logs01","-root-password")</f>
        <v>flt-logs01-root-password</v>
      </c>
      <c r="D254" s="347"/>
      <c r="E254" s="337"/>
    </row>
    <row r="255" spans="2:5" s="8" customFormat="1" ht="20.05" customHeight="1" x14ac:dyDescent="0.35">
      <c r="B255" s="4" t="s">
        <v>562</v>
      </c>
      <c r="C255" s="101" t="s">
        <v>141</v>
      </c>
      <c r="D255" s="347"/>
      <c r="E255" s="337"/>
    </row>
    <row r="256" spans="2:5" s="8" customFormat="1" ht="20.05" customHeight="1" x14ac:dyDescent="0.35">
      <c r="B256" s="4" t="s">
        <v>621</v>
      </c>
      <c r="C256" s="101" t="s">
        <v>710</v>
      </c>
      <c r="D256" s="347"/>
      <c r="E256" s="337"/>
    </row>
    <row r="257" spans="2:5" s="8" customFormat="1" ht="20.05" customHeight="1" x14ac:dyDescent="0.35">
      <c r="B257" s="4" t="s">
        <v>623</v>
      </c>
      <c r="C257" s="101" t="s">
        <v>269</v>
      </c>
      <c r="D257" s="347"/>
      <c r="E257" s="337"/>
    </row>
    <row r="258" spans="2:5" s="8" customFormat="1" ht="20.05" customHeight="1" x14ac:dyDescent="0.35">
      <c r="B258" s="4" t="s">
        <v>624</v>
      </c>
      <c r="C258" s="98" t="str">
        <f>sample_mgmt_vc_fqdn</f>
        <v>sfo-m01-vc01.sfo.rainpole.io</v>
      </c>
      <c r="D258" s="347"/>
      <c r="E258" s="337" t="s">
        <v>711</v>
      </c>
    </row>
    <row r="259" spans="2:5" s="8" customFormat="1" ht="20.05" customHeight="1" x14ac:dyDescent="0.35">
      <c r="B259" s="4" t="s">
        <v>712</v>
      </c>
      <c r="C259" s="362" t="s">
        <v>93</v>
      </c>
      <c r="D259" s="347" t="s">
        <v>93</v>
      </c>
      <c r="E259" s="337"/>
    </row>
    <row r="260" spans="2:5" s="8" customFormat="1" ht="20.05" customHeight="1" x14ac:dyDescent="0.35">
      <c r="B260" s="4" t="s">
        <v>713</v>
      </c>
      <c r="C260" s="362" t="s">
        <v>159</v>
      </c>
      <c r="D260" s="347" t="s">
        <v>159</v>
      </c>
      <c r="E260" s="337"/>
    </row>
    <row r="261" spans="2:5" s="8" customFormat="1" ht="20.05" customHeight="1" x14ac:dyDescent="0.35">
      <c r="B261" s="4" t="s">
        <v>714</v>
      </c>
      <c r="C261" s="362" t="str">
        <f>sample_flt_logs_cert_alias</f>
        <v>flt-logs01-cert</v>
      </c>
      <c r="D261" s="337" t="str">
        <f t="array" ref="D261">flt_logs_cert_alias</f>
        <v>Value Missing</v>
      </c>
      <c r="E261" s="337" t="s">
        <v>715</v>
      </c>
    </row>
    <row r="262" spans="2:5" s="8" customFormat="1" ht="20.05" customHeight="1" x14ac:dyDescent="0.35">
      <c r="B262" s="4" t="s">
        <v>716</v>
      </c>
      <c r="C262" s="362" t="s">
        <v>159</v>
      </c>
      <c r="D262" s="347" t="s">
        <v>159</v>
      </c>
      <c r="E262" s="337"/>
    </row>
    <row r="263" spans="2:5" s="8" customFormat="1" ht="20.05" customHeight="1" x14ac:dyDescent="0.35">
      <c r="B263" s="4" t="s">
        <v>717</v>
      </c>
      <c r="C263" s="362" t="s">
        <v>159</v>
      </c>
      <c r="D263" s="347" t="s">
        <v>159</v>
      </c>
      <c r="E263" s="337"/>
    </row>
    <row r="264" spans="2:5" s="8" customFormat="1" ht="20.05" customHeight="1" x14ac:dyDescent="0.35">
      <c r="B264" s="4" t="s">
        <v>718</v>
      </c>
      <c r="C264" s="362" t="s">
        <v>159</v>
      </c>
      <c r="D264" s="347" t="s">
        <v>159</v>
      </c>
      <c r="E264" s="337"/>
    </row>
    <row r="265" spans="2:5" s="8" customFormat="1" ht="20.05" customHeight="1" x14ac:dyDescent="0.35">
      <c r="B265" s="4" t="s">
        <v>719</v>
      </c>
      <c r="C265" s="362" t="s">
        <v>159</v>
      </c>
      <c r="D265" s="347" t="s">
        <v>159</v>
      </c>
      <c r="E265" s="337" t="s">
        <v>720</v>
      </c>
    </row>
    <row r="266" spans="2:5" s="8" customFormat="1" ht="20.05" customHeight="1" x14ac:dyDescent="0.35">
      <c r="B266" s="4" t="s">
        <v>721</v>
      </c>
      <c r="C266" s="362" t="s">
        <v>69</v>
      </c>
      <c r="D266" s="347"/>
      <c r="E266" s="337"/>
    </row>
    <row r="267" spans="2:5" s="8" customFormat="1" ht="20.05" customHeight="1" x14ac:dyDescent="0.35">
      <c r="B267" s="4" t="s">
        <v>722</v>
      </c>
      <c r="C267" s="362" t="str">
        <f>sample_flt_logs_admin_password_alias</f>
        <v>flt-logs01-admin-password</v>
      </c>
      <c r="D267" s="337" t="str">
        <f>flt_logs_root_password_alias</f>
        <v>Value Missing</v>
      </c>
      <c r="E267" s="337"/>
    </row>
    <row r="268" spans="2:5" s="8" customFormat="1" ht="20.05" customHeight="1" x14ac:dyDescent="0.35">
      <c r="B268" s="4" t="s">
        <v>609</v>
      </c>
      <c r="C268" s="362" t="s">
        <v>610</v>
      </c>
      <c r="D268" s="347" t="s">
        <v>610</v>
      </c>
      <c r="E268" s="337"/>
    </row>
    <row r="269" spans="2:5" s="8" customFormat="1" ht="20.05" customHeight="1" x14ac:dyDescent="0.35">
      <c r="B269" s="462" t="s">
        <v>723</v>
      </c>
      <c r="C269" s="463"/>
      <c r="D269" s="463"/>
      <c r="E269" s="464"/>
    </row>
    <row r="270" spans="2:5" s="8" customFormat="1" ht="20.05" customHeight="1" x14ac:dyDescent="0.35">
      <c r="B270" s="4" t="s">
        <v>38</v>
      </c>
      <c r="C270" s="362" t="str">
        <f>sample_flt_logs_vip_fqdn</f>
        <v>flt-logs01.rainpole.io</v>
      </c>
      <c r="D270" s="337" t="str">
        <f t="array" ref="D270">flt_logs_vip_fqdn</f>
        <v>Value Missing</v>
      </c>
      <c r="E270" s="337"/>
    </row>
    <row r="271" spans="2:5" s="8" customFormat="1" ht="20.05" customHeight="1" x14ac:dyDescent="0.35">
      <c r="B271" s="4" t="s">
        <v>283</v>
      </c>
      <c r="C271" s="362" t="str">
        <f>sample_flt_logs_vip_ip</f>
        <v>10.11.10.26</v>
      </c>
      <c r="D271" s="337" t="str">
        <f>flt_logs_vip_ip</f>
        <v>Value Missing</v>
      </c>
      <c r="E271" s="337"/>
    </row>
    <row r="272" spans="2:5" s="8" customFormat="1" ht="20.05" customHeight="1" x14ac:dyDescent="0.35">
      <c r="B272" s="462" t="s">
        <v>724</v>
      </c>
      <c r="C272" s="463"/>
      <c r="D272" s="463"/>
      <c r="E272" s="464"/>
    </row>
    <row r="273" spans="2:5" s="8" customFormat="1" ht="20.05" customHeight="1" x14ac:dyDescent="0.35">
      <c r="B273" s="4" t="s">
        <v>725</v>
      </c>
      <c r="C273" s="362" t="s">
        <v>726</v>
      </c>
      <c r="D273" s="347"/>
      <c r="E273" s="337"/>
    </row>
    <row r="274" spans="2:5" s="8" customFormat="1" ht="20.05" customHeight="1" x14ac:dyDescent="0.35">
      <c r="B274" s="4" t="s">
        <v>38</v>
      </c>
      <c r="C274" s="362" t="str">
        <f>sample_flt_logs_nodea_fqdn</f>
        <v>flt-logs01a.rainpole.io</v>
      </c>
      <c r="D274" s="337" t="str">
        <f t="array" ref="D274">flt_logs_nodea_fqdn</f>
        <v>Value Missing</v>
      </c>
      <c r="E274" s="337"/>
    </row>
    <row r="275" spans="2:5" s="8" customFormat="1" ht="20.05" customHeight="1" x14ac:dyDescent="0.35">
      <c r="B275" s="4" t="s">
        <v>283</v>
      </c>
      <c r="C275" s="362" t="str">
        <f>sample_flt_logs_nodea_ip</f>
        <v>10.11.10.59</v>
      </c>
      <c r="D275" s="337" t="str">
        <f>flt_logs_nodea_ip</f>
        <v>Value Missing</v>
      </c>
      <c r="E275" s="337"/>
    </row>
    <row r="276" spans="2:5" s="8" customFormat="1" ht="20.05" customHeight="1" x14ac:dyDescent="0.35">
      <c r="B276" s="462" t="s">
        <v>727</v>
      </c>
      <c r="C276" s="463"/>
      <c r="D276" s="463"/>
      <c r="E276" s="464"/>
    </row>
    <row r="277" spans="2:5" s="8" customFormat="1" ht="20.05" customHeight="1" x14ac:dyDescent="0.35">
      <c r="B277" s="4" t="s">
        <v>725</v>
      </c>
      <c r="C277" s="362" t="s">
        <v>728</v>
      </c>
      <c r="D277" s="347"/>
      <c r="E277" s="2"/>
    </row>
    <row r="278" spans="2:5" s="8" customFormat="1" ht="20.05" customHeight="1" x14ac:dyDescent="0.35">
      <c r="B278" s="4" t="s">
        <v>38</v>
      </c>
      <c r="C278" s="362" t="str">
        <f>sample_flt_logs_nodeb_fqdn</f>
        <v>flt-logs01b.rainpole.io</v>
      </c>
      <c r="D278" s="337" t="str">
        <f t="array" ref="D278">flt_logs_nodeb_fqdn</f>
        <v>Value Missing</v>
      </c>
      <c r="E278" s="337"/>
    </row>
    <row r="279" spans="2:5" s="8" customFormat="1" ht="20.05" customHeight="1" x14ac:dyDescent="0.35">
      <c r="B279" s="4" t="s">
        <v>283</v>
      </c>
      <c r="C279" s="362" t="str">
        <f>sample_flt_logs_nodeb_ip</f>
        <v>10.11.10.60</v>
      </c>
      <c r="D279" s="337" t="str">
        <f>flt_logs_nodeb_ip</f>
        <v>Value Missing</v>
      </c>
      <c r="E279" s="337"/>
    </row>
    <row r="280" spans="2:5" s="8" customFormat="1" ht="20.05" customHeight="1" x14ac:dyDescent="0.35">
      <c r="B280" s="462" t="s">
        <v>729</v>
      </c>
      <c r="C280" s="463"/>
      <c r="D280" s="463"/>
      <c r="E280" s="464"/>
    </row>
    <row r="281" spans="2:5" s="8" customFormat="1" ht="20.05" customHeight="1" x14ac:dyDescent="0.35">
      <c r="B281" s="4" t="s">
        <v>725</v>
      </c>
      <c r="C281" s="362" t="s">
        <v>730</v>
      </c>
      <c r="D281" s="347"/>
      <c r="E281" s="337"/>
    </row>
    <row r="282" spans="2:5" s="8" customFormat="1" ht="20.05" customHeight="1" x14ac:dyDescent="0.35">
      <c r="B282" s="4" t="s">
        <v>38</v>
      </c>
      <c r="C282" s="362" t="str">
        <f>sample_flt_logs_nodec_fqdn</f>
        <v>flt-logs01c.rainpole.io</v>
      </c>
      <c r="D282" s="337" t="str">
        <f t="array" ref="D282">flt_logs_nodec_fqdn</f>
        <v>Value Missing</v>
      </c>
      <c r="E282" s="337"/>
    </row>
    <row r="283" spans="2:5" s="8" customFormat="1" ht="20.05" customHeight="1" x14ac:dyDescent="0.35">
      <c r="B283" s="4" t="s">
        <v>283</v>
      </c>
      <c r="C283" s="362" t="str">
        <f>sample_flt_logs_nodec_ip</f>
        <v>10.11.10.61</v>
      </c>
      <c r="D283" s="337" t="str">
        <f>flt_logs_nodec_ip</f>
        <v>Value Missing</v>
      </c>
      <c r="E283" s="337"/>
    </row>
    <row r="284" spans="2:5" s="8" customFormat="1" ht="16" customHeight="1" x14ac:dyDescent="0.35">
      <c r="D284" s="2"/>
      <c r="E284" s="2"/>
    </row>
    <row r="285" spans="2:5" s="8" customFormat="1" ht="34" customHeight="1" x14ac:dyDescent="0.35">
      <c r="B285" s="509" t="s">
        <v>731</v>
      </c>
      <c r="C285" s="510"/>
      <c r="D285" s="510"/>
      <c r="E285" s="511"/>
    </row>
    <row r="286" spans="2:5" s="8" customFormat="1" ht="20.05" customHeight="1" x14ac:dyDescent="0.35">
      <c r="B286" s="346" t="s">
        <v>17</v>
      </c>
      <c r="C286" s="346" t="s">
        <v>18</v>
      </c>
      <c r="D286" s="346" t="s">
        <v>19</v>
      </c>
      <c r="E286" s="310" t="s">
        <v>20</v>
      </c>
    </row>
    <row r="287" spans="2:5" s="8" customFormat="1" ht="20.05" customHeight="1" x14ac:dyDescent="0.35">
      <c r="B287" s="462" t="s">
        <v>577</v>
      </c>
      <c r="C287" s="463"/>
      <c r="D287" s="463"/>
      <c r="E287" s="464"/>
    </row>
    <row r="288" spans="2:5" s="8" customFormat="1" ht="20.05" customHeight="1" x14ac:dyDescent="0.35">
      <c r="B288" s="4" t="s">
        <v>578</v>
      </c>
      <c r="C288" s="362" t="s">
        <v>579</v>
      </c>
      <c r="D288" s="347" t="s">
        <v>579</v>
      </c>
      <c r="E288" s="337"/>
    </row>
    <row r="289" spans="2:5" s="8" customFormat="1" ht="20.05" customHeight="1" x14ac:dyDescent="0.35">
      <c r="B289" s="4" t="s">
        <v>195</v>
      </c>
      <c r="C289" s="362" t="s">
        <v>564</v>
      </c>
      <c r="D289" s="347"/>
      <c r="E289" s="337"/>
    </row>
    <row r="290" spans="2:5" s="8" customFormat="1" ht="20.05" customHeight="1" x14ac:dyDescent="0.35">
      <c r="B290" s="4" t="s">
        <v>537</v>
      </c>
      <c r="C290" s="362" t="s">
        <v>732</v>
      </c>
      <c r="D290" s="347" t="s">
        <v>732</v>
      </c>
      <c r="E290" s="337"/>
    </row>
    <row r="291" spans="2:5" s="8" customFormat="1" ht="20.05" customHeight="1" x14ac:dyDescent="0.35">
      <c r="B291" s="547" t="s">
        <v>582</v>
      </c>
      <c r="C291" s="548"/>
      <c r="D291" s="548"/>
      <c r="E291" s="549"/>
    </row>
    <row r="292" spans="2:5" s="8" customFormat="1" ht="20.05" customHeight="1" x14ac:dyDescent="0.35">
      <c r="B292" s="4" t="s">
        <v>583</v>
      </c>
      <c r="C292" s="101" t="s">
        <v>584</v>
      </c>
      <c r="D292" s="347" t="s">
        <v>584</v>
      </c>
      <c r="E292" s="337"/>
    </row>
    <row r="293" spans="2:5" s="8" customFormat="1" ht="20.05" customHeight="1" x14ac:dyDescent="0.35">
      <c r="B293" s="4" t="s">
        <v>585</v>
      </c>
      <c r="C293" s="101" t="str">
        <f>CONCATENATE(prefix_portable_component,"-net01","-cert")</f>
        <v>flt-net01-cert</v>
      </c>
      <c r="D293" s="347"/>
      <c r="E293" s="337"/>
    </row>
    <row r="294" spans="2:5" s="8" customFormat="1" ht="20.05" customHeight="1" x14ac:dyDescent="0.35">
      <c r="B294" s="4" t="s">
        <v>586</v>
      </c>
      <c r="C294" s="101" t="str">
        <f>CONCATENATE(prefix_portable_component,"-net01","-cert.pem")</f>
        <v>flt-net01-cert.pem</v>
      </c>
      <c r="D294" s="347"/>
      <c r="E294" s="337"/>
    </row>
    <row r="295" spans="2:5" s="8" customFormat="1" ht="20.05" customHeight="1" x14ac:dyDescent="0.35">
      <c r="B295" s="4" t="s">
        <v>587</v>
      </c>
      <c r="C295" s="101" t="str">
        <f>CONCATENATE(prefix_portable_component,"-net01",".",sample_parent_dns_zone)</f>
        <v>flt-net01.rainpole.io</v>
      </c>
      <c r="D295" s="347"/>
      <c r="E295" s="337"/>
    </row>
    <row r="296" spans="2:5" s="8" customFormat="1" ht="20.05" customHeight="1" x14ac:dyDescent="0.35">
      <c r="B296" s="4" t="s">
        <v>588</v>
      </c>
      <c r="C296" s="101" t="s">
        <v>59</v>
      </c>
      <c r="D296" s="347"/>
      <c r="E296" s="337"/>
    </row>
    <row r="297" spans="2:5" s="8" customFormat="1" ht="20.05" customHeight="1" x14ac:dyDescent="0.35">
      <c r="B297" s="4" t="s">
        <v>589</v>
      </c>
      <c r="C297" s="101" t="s">
        <v>61</v>
      </c>
      <c r="D297" s="347"/>
      <c r="E297" s="337"/>
    </row>
    <row r="298" spans="2:5" s="8" customFormat="1" ht="20.05" customHeight="1" x14ac:dyDescent="0.35">
      <c r="B298" s="4" t="s">
        <v>590</v>
      </c>
      <c r="C298" s="101" t="s">
        <v>63</v>
      </c>
      <c r="D298" s="347"/>
      <c r="E298" s="337"/>
    </row>
    <row r="299" spans="2:5" s="8" customFormat="1" ht="20.05" customHeight="1" x14ac:dyDescent="0.35">
      <c r="B299" s="4" t="s">
        <v>591</v>
      </c>
      <c r="C299" s="101" t="s">
        <v>67</v>
      </c>
      <c r="D299" s="347"/>
      <c r="E299" s="337"/>
    </row>
    <row r="300" spans="2:5" s="8" customFormat="1" ht="20.05" customHeight="1" x14ac:dyDescent="0.35">
      <c r="B300" s="4" t="s">
        <v>592</v>
      </c>
      <c r="C300" s="101" t="s">
        <v>65</v>
      </c>
      <c r="D300" s="347"/>
      <c r="E300" s="337"/>
    </row>
    <row r="301" spans="2:5" s="8" customFormat="1" ht="20.05" customHeight="1" x14ac:dyDescent="0.35">
      <c r="B301" s="4" t="s">
        <v>593</v>
      </c>
      <c r="C301" s="101">
        <v>4096</v>
      </c>
      <c r="D301" s="347" t="s">
        <v>594</v>
      </c>
      <c r="E301" s="337"/>
    </row>
    <row r="302" spans="2:5" s="8" customFormat="1" ht="20.05" customHeight="1" x14ac:dyDescent="0.35">
      <c r="B302" s="4" t="s">
        <v>733</v>
      </c>
      <c r="C302" s="101" t="str">
        <f>CONCATENATE(prefix_portable_component,"-net01a",".",sample_parent_dns_zone)</f>
        <v>flt-net01a.rainpole.io</v>
      </c>
      <c r="D302" s="347"/>
      <c r="E302" s="337"/>
    </row>
    <row r="303" spans="2:5" s="8" customFormat="1" ht="20.05" customHeight="1" x14ac:dyDescent="0.35">
      <c r="B303" s="4" t="s">
        <v>734</v>
      </c>
      <c r="C303" s="101" t="str">
        <f>CONCATENATE(prefix_portable_component,"-net01b",".",sample_parent_dns_zone)</f>
        <v>flt-net01b.rainpole.io</v>
      </c>
      <c r="D303" s="347"/>
      <c r="E303" s="337"/>
    </row>
    <row r="304" spans="2:5" s="8" customFormat="1" ht="20.05" customHeight="1" x14ac:dyDescent="0.35">
      <c r="B304" s="4" t="s">
        <v>735</v>
      </c>
      <c r="C304" s="101" t="str">
        <f>CONCATENATE(prefix_portable_component,"-net01c",".",sample_parent_dns_zone)</f>
        <v>flt-net01c.rainpole.io</v>
      </c>
      <c r="D304" s="347"/>
      <c r="E304" s="337"/>
    </row>
    <row r="305" spans="2:5" s="8" customFormat="1" ht="20.05" customHeight="1" x14ac:dyDescent="0.35">
      <c r="B305" s="4" t="s">
        <v>736</v>
      </c>
      <c r="C305" s="101" t="str">
        <f>CONCATENATE(this_instance,"-netc01.",sample_child_dns_zone)</f>
        <v>sfo-netc01.sfo.rainpole.io</v>
      </c>
      <c r="D305" s="347"/>
      <c r="E305" s="337"/>
    </row>
    <row r="306" spans="2:5" s="8" customFormat="1" ht="20.05" customHeight="1" x14ac:dyDescent="0.35">
      <c r="B306" s="4" t="s">
        <v>737</v>
      </c>
      <c r="C306" s="80" t="str">
        <f>IF(flt_custom_network_chosen="Shared Management Network",IF(mgmt_dpg_reuse_result="Included",CONCATENATE(prefix_mgmt_az1_cidr,"10.62"),CONCATENATE(prefix_mgmt_az1_cidr,"11.62")),IF(flt_custom_network_chosen="NSX Overlay Segment",CONCATENATE(prefix_xreg_cidr,".62"),CONCATENATE(prefix_flt_shared_cidr,".62")))</f>
        <v>10.11.10.62</v>
      </c>
      <c r="D306" s="86"/>
      <c r="E306" s="186"/>
    </row>
    <row r="307" spans="2:5" s="8" customFormat="1" ht="20.05" customHeight="1" x14ac:dyDescent="0.35">
      <c r="B307" s="4" t="s">
        <v>738</v>
      </c>
      <c r="C307" s="80" t="str">
        <f>IF(flt_custom_network_chosen="Shared Management Network",IF(mgmt_dpg_reuse_result="Included",CONCATENATE(prefix_mgmt_az1_cidr,"10.63"),CONCATENATE(prefix_mgmt_az1_cidr,"11.63")),IF(flt_custom_network_chosen="NSX Overlay Segment",CONCATENATE(prefix_xreg_cidr,".63"),CONCATENATE(prefix_flt_shared_cidr,".63")))</f>
        <v>10.11.10.63</v>
      </c>
      <c r="D307" s="347"/>
      <c r="E307" s="337"/>
    </row>
    <row r="308" spans="2:5" s="8" customFormat="1" ht="20.05" customHeight="1" x14ac:dyDescent="0.35">
      <c r="B308" s="4" t="s">
        <v>739</v>
      </c>
      <c r="C308" s="80" t="str">
        <f>IF(flt_custom_network_chosen="Shared Management Network",IF(mgmt_dpg_reuse_result="Included",CONCATENATE(prefix_mgmt_az1_cidr,"10.64"),CONCATENATE(prefix_mgmt_az1_cidr,"11.64")),IF(flt_custom_network_chosen="NSX Overlay Segment",CONCATENATE(prefix_xreg_cidr,".64"),CONCATENATE(prefix_flt_shared_cidr,".64")))</f>
        <v>10.11.10.64</v>
      </c>
      <c r="D308" s="347"/>
      <c r="E308" s="337"/>
    </row>
    <row r="309" spans="2:5" s="8" customFormat="1" ht="20.05" customHeight="1" x14ac:dyDescent="0.35">
      <c r="B309" s="4" t="s">
        <v>740</v>
      </c>
      <c r="C309" s="80" t="str">
        <f>IF(mgmt_dpg_reuse_result="Included",CONCATENATE(prefix_mgmt_az1_cidr,"10.14"),CONCATENATE(prefix_mgmt_az1_cidr,"11.14"))</f>
        <v>10.11.10.14</v>
      </c>
      <c r="D309" s="347"/>
      <c r="E309" s="337"/>
    </row>
    <row r="310" spans="2:5" s="8" customFormat="1" ht="20.05" customHeight="1" x14ac:dyDescent="0.35">
      <c r="B310" s="4" t="s">
        <v>597</v>
      </c>
      <c r="C310" s="362" t="str">
        <f>sample_flt_net_cert_alias</f>
        <v>flt-net01-cert</v>
      </c>
      <c r="D310" s="337" t="str">
        <f>flt_net_cert_alias</f>
        <v>Value Missing</v>
      </c>
      <c r="E310" s="337"/>
    </row>
    <row r="311" spans="2:5" s="8" customFormat="1" ht="20.05" customHeight="1" x14ac:dyDescent="0.35">
      <c r="B311" s="462" t="s">
        <v>598</v>
      </c>
      <c r="C311" s="463"/>
      <c r="D311" s="463"/>
      <c r="E311" s="464"/>
    </row>
    <row r="312" spans="2:5" s="8" customFormat="1" ht="20.05" customHeight="1" x14ac:dyDescent="0.35">
      <c r="B312" s="4" t="s">
        <v>599</v>
      </c>
      <c r="C312" s="362" t="str">
        <f>CONCATENATE(this_instance,"-m01-vc01.",sample_child_dns_zone)</f>
        <v>sfo-m01-vc01.sfo.rainpole.io</v>
      </c>
      <c r="D312" s="347"/>
      <c r="E312" s="337"/>
    </row>
    <row r="313" spans="2:5" s="8" customFormat="1" ht="20.05" customHeight="1" x14ac:dyDescent="0.35">
      <c r="B313" s="4" t="s">
        <v>600</v>
      </c>
      <c r="C313" s="362" t="str">
        <f>CONCATENATE(sample_mgmt_datacenter,"#",sample_mgmt_cl01_cluster)</f>
        <v>sfo-m01-dc01#sfo-m01-cl01</v>
      </c>
      <c r="D313" s="347"/>
      <c r="E313" s="337"/>
    </row>
    <row r="314" spans="2:5" s="8" customFormat="1" ht="20.05" customHeight="1" x14ac:dyDescent="0.35">
      <c r="B314" s="4" t="s">
        <v>601</v>
      </c>
      <c r="C314" s="362" t="str">
        <f>CONCATENATE(this_instance,"-m01-cl01-fd-flt-net01")</f>
        <v>sfo-m01-cl01-fd-flt-net01</v>
      </c>
      <c r="D314" s="347"/>
      <c r="E314" s="337" t="s">
        <v>741</v>
      </c>
    </row>
    <row r="315" spans="2:5" s="8" customFormat="1" ht="20.05" customHeight="1" x14ac:dyDescent="0.35">
      <c r="B315" s="4" t="s">
        <v>603</v>
      </c>
      <c r="C315" s="362" t="str">
        <f>CONCATENATE(this_instance,"-m01-cl01-rp-flt-net01")</f>
        <v>sfo-m01-cl01-rp-flt-net01</v>
      </c>
      <c r="D315" s="347"/>
      <c r="E315" s="337" t="s">
        <v>741</v>
      </c>
    </row>
    <row r="316" spans="2:5" s="8" customFormat="1" ht="20.05" customHeight="1" x14ac:dyDescent="0.35">
      <c r="B316" s="4" t="s">
        <v>604</v>
      </c>
      <c r="C316" s="362"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316" s="347"/>
      <c r="E316" s="337"/>
    </row>
    <row r="317" spans="2:5" s="8" customFormat="1" ht="20.05" customHeight="1" x14ac:dyDescent="0.35">
      <c r="B317" s="4" t="s">
        <v>605</v>
      </c>
      <c r="C317" s="362" t="str">
        <f>IF(mgmt_principal_storage_chosen="VMFS on Fibre Channel (FC)",CONCATENATE(this_instance,"-m01-cl01-ds-vmfs01"),IF(mgmt_principal_storage_chosen="NFSv3",CONCATENATE(this_instance,"-m01-cl01-ds-nfs01"),CONCATENATE(this_instance,"-m01-cl01-ds-vsan01")))</f>
        <v>sfo-m01-cl01-ds-vsan01</v>
      </c>
      <c r="D317" s="347"/>
      <c r="E317" s="337"/>
    </row>
    <row r="318" spans="2:5" s="8" customFormat="1" ht="20.05" customHeight="1" x14ac:dyDescent="0.35">
      <c r="B318" s="4" t="s">
        <v>704</v>
      </c>
      <c r="C318" s="362" t="s">
        <v>705</v>
      </c>
      <c r="D318" s="347" t="s">
        <v>705</v>
      </c>
      <c r="E318" s="337"/>
    </row>
    <row r="319" spans="2:5" s="8" customFormat="1" ht="20.05" customHeight="1" x14ac:dyDescent="0.35">
      <c r="B319" s="462" t="s">
        <v>252</v>
      </c>
      <c r="C319" s="463"/>
      <c r="D319" s="463"/>
      <c r="E319" s="464"/>
    </row>
    <row r="320" spans="2:5" s="8" customFormat="1" ht="20.05" customHeight="1" x14ac:dyDescent="0.35">
      <c r="B320" s="4" t="s">
        <v>606</v>
      </c>
      <c r="C320" s="362" t="str">
        <f>sample_parent_dns_zone</f>
        <v>rainpole.io</v>
      </c>
      <c r="D320" s="347" t="str">
        <f>parent_dns_zone</f>
        <v>Value Missing</v>
      </c>
      <c r="E320" s="337"/>
    </row>
    <row r="321" spans="2:5" s="8" customFormat="1" ht="20.05" customHeight="1" x14ac:dyDescent="0.35">
      <c r="B321" s="4" t="s">
        <v>607</v>
      </c>
      <c r="C321" s="362" t="str">
        <f>sample_parent_dns_zone</f>
        <v>rainpole.io</v>
      </c>
      <c r="D321" s="347" t="str">
        <f>parent_dns_zone</f>
        <v>Value Missing</v>
      </c>
      <c r="E321" s="337"/>
    </row>
    <row r="322" spans="2:5" s="8" customFormat="1" ht="20.05" customHeight="1" x14ac:dyDescent="0.35">
      <c r="B322" s="4" t="s">
        <v>608</v>
      </c>
      <c r="C322" s="126" t="str">
        <f>CONCATENATE(sample_region_dns1_ip,",",sample_region_dns2_ip)</f>
        <v>10.11.10.4,10.11.10.5</v>
      </c>
      <c r="D322" s="347" t="str">
        <f>CONCATENATE(region_dns1_ip,",",region_dns2_ip)</f>
        <v>Value Missing,Value Missing</v>
      </c>
      <c r="E322" s="337"/>
    </row>
    <row r="323" spans="2:5" s="8" customFormat="1" ht="20.05" customHeight="1" x14ac:dyDescent="0.35">
      <c r="B323" s="4" t="s">
        <v>609</v>
      </c>
      <c r="C323" s="126" t="s">
        <v>610</v>
      </c>
      <c r="D323" s="347" t="s">
        <v>610</v>
      </c>
      <c r="E323" s="337"/>
    </row>
    <row r="324" spans="2:5" s="8" customFormat="1" ht="20.05" customHeight="1" x14ac:dyDescent="0.35">
      <c r="B324" s="4" t="s">
        <v>299</v>
      </c>
      <c r="C324" s="362" t="str">
        <f>CONCATENATE(sample_region_ntp1_server,",",sample_region_ntp2_server)</f>
        <v>ntp0.sfo.rainpole.io,ntp1.sfo.rainpole.io</v>
      </c>
      <c r="D324" s="337" t="str">
        <f>CONCATENATE(region_ntp1_server,",",region_ntp2_server)</f>
        <v>Value Missing,Value Missing</v>
      </c>
      <c r="E324" s="337"/>
    </row>
    <row r="325" spans="2:5" s="8" customFormat="1" ht="20.05" customHeight="1" x14ac:dyDescent="0.35">
      <c r="B325" s="4" t="s">
        <v>611</v>
      </c>
      <c r="C325" s="362"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325" s="347"/>
      <c r="E325" s="337"/>
    </row>
    <row r="326" spans="2:5" s="8" customFormat="1" ht="20.05" customHeight="1" x14ac:dyDescent="0.35">
      <c r="B326" s="4" t="s">
        <v>612</v>
      </c>
      <c r="C326" s="362" t="s">
        <v>128</v>
      </c>
      <c r="D326" s="347"/>
      <c r="E326" s="337"/>
    </row>
    <row r="327" spans="2:5" s="8" customFormat="1" ht="20.05" customHeight="1" x14ac:dyDescent="0.35">
      <c r="B327" s="462" t="s">
        <v>613</v>
      </c>
      <c r="C327" s="463"/>
      <c r="D327" s="463"/>
      <c r="E327" s="464"/>
    </row>
    <row r="328" spans="2:5" s="8" customFormat="1" ht="20.05" customHeight="1" x14ac:dyDescent="0.35">
      <c r="B328" s="4" t="s">
        <v>706</v>
      </c>
      <c r="C328" s="101" t="str">
        <f>CONCATENATE(prefix_portable_component,"-net01a","-admin-password")</f>
        <v>flt-net01a-admin-password</v>
      </c>
      <c r="D328" s="347"/>
      <c r="E328" s="337"/>
    </row>
    <row r="329" spans="2:5" s="8" customFormat="1" ht="20.05" customHeight="1" x14ac:dyDescent="0.35">
      <c r="B329" s="4" t="s">
        <v>199</v>
      </c>
      <c r="C329" s="101" t="s">
        <v>141</v>
      </c>
      <c r="D329" s="347"/>
      <c r="E329" s="337"/>
    </row>
    <row r="330" spans="2:5" s="8" customFormat="1" ht="20.05" customHeight="1" x14ac:dyDescent="0.35">
      <c r="B330" s="4" t="s">
        <v>707</v>
      </c>
      <c r="C330" s="101" t="s">
        <v>742</v>
      </c>
      <c r="D330" s="347"/>
      <c r="E330" s="337"/>
    </row>
    <row r="331" spans="2:5" s="8" customFormat="1" ht="20.05" customHeight="1" x14ac:dyDescent="0.35">
      <c r="B331" s="4" t="s">
        <v>709</v>
      </c>
      <c r="C331" s="101" t="s">
        <v>431</v>
      </c>
      <c r="D331" s="347"/>
      <c r="E331" s="337"/>
    </row>
    <row r="332" spans="2:5" s="8" customFormat="1" ht="20.05" customHeight="1" x14ac:dyDescent="0.35">
      <c r="B332" s="4" t="s">
        <v>713</v>
      </c>
      <c r="C332" s="362" t="s">
        <v>159</v>
      </c>
      <c r="D332" s="347" t="s">
        <v>159</v>
      </c>
      <c r="E332" s="337" t="s">
        <v>715</v>
      </c>
    </row>
    <row r="333" spans="2:5" s="8" customFormat="1" ht="20.05" customHeight="1" x14ac:dyDescent="0.35">
      <c r="B333" s="4" t="s">
        <v>714</v>
      </c>
      <c r="C333" s="362" t="str">
        <f>sample_flt_net_cert_alias</f>
        <v>flt-net01-cert</v>
      </c>
      <c r="D333" s="337" t="str">
        <f>flt_net_cert_alias</f>
        <v>Value Missing</v>
      </c>
      <c r="E333" s="337"/>
    </row>
    <row r="334" spans="2:5" s="8" customFormat="1" ht="20.05" customHeight="1" x14ac:dyDescent="0.35">
      <c r="B334" s="4" t="s">
        <v>716</v>
      </c>
      <c r="C334" s="362" t="s">
        <v>159</v>
      </c>
      <c r="D334" s="347" t="s">
        <v>159</v>
      </c>
      <c r="E334" s="337"/>
    </row>
    <row r="335" spans="2:5" s="8" customFormat="1" ht="20.05" customHeight="1" x14ac:dyDescent="0.35">
      <c r="B335" s="4" t="s">
        <v>743</v>
      </c>
      <c r="C335" s="362" t="s">
        <v>159</v>
      </c>
      <c r="D335" s="347" t="s">
        <v>159</v>
      </c>
      <c r="E335" s="337"/>
    </row>
    <row r="336" spans="2:5" s="8" customFormat="1" ht="20.05" customHeight="1" x14ac:dyDescent="0.35">
      <c r="B336" s="4" t="s">
        <v>299</v>
      </c>
      <c r="C336" s="362" t="str">
        <f>CONCATENATE(sample_region_ntp1_server,",",sample_region_ntp2_server)</f>
        <v>ntp0.sfo.rainpole.io,ntp1.sfo.rainpole.io</v>
      </c>
      <c r="D336" s="337" t="str">
        <f>CONCATENATE(region_ntp1_server,",",region_ntp2_server)</f>
        <v>Value Missing,Value Missing</v>
      </c>
      <c r="E336" s="337"/>
    </row>
    <row r="337" spans="2:5" s="8" customFormat="1" ht="20.05" customHeight="1" x14ac:dyDescent="0.35">
      <c r="B337" s="4" t="s">
        <v>744</v>
      </c>
      <c r="C337" s="362" t="s">
        <v>141</v>
      </c>
      <c r="D337" s="347"/>
      <c r="E337" s="337"/>
    </row>
    <row r="338" spans="2:5" s="8" customFormat="1" ht="20.05" customHeight="1" x14ac:dyDescent="0.35">
      <c r="B338" s="4" t="s">
        <v>745</v>
      </c>
      <c r="C338" s="362" t="s">
        <v>141</v>
      </c>
      <c r="D338" s="347"/>
      <c r="E338" s="337"/>
    </row>
    <row r="339" spans="2:5" s="8" customFormat="1" ht="20.05" customHeight="1" x14ac:dyDescent="0.35">
      <c r="B339" s="4" t="s">
        <v>746</v>
      </c>
      <c r="C339" s="362" t="s">
        <v>141</v>
      </c>
      <c r="D339" s="347"/>
      <c r="E339" s="337"/>
    </row>
    <row r="340" spans="2:5" s="8" customFormat="1" ht="20.05" customHeight="1" x14ac:dyDescent="0.35">
      <c r="B340" s="4" t="s">
        <v>624</v>
      </c>
      <c r="C340" s="98" t="str">
        <f>CONCATENATE(this_instance,"-m01-vc01.",sample_child_dns_zone)</f>
        <v>sfo-m01-vc01.sfo.rainpole.io</v>
      </c>
      <c r="D340" s="347"/>
      <c r="E340" s="337" t="s">
        <v>747</v>
      </c>
    </row>
    <row r="341" spans="2:5" s="8" customFormat="1" ht="20.05" customHeight="1" x14ac:dyDescent="0.35">
      <c r="B341" s="462" t="s">
        <v>748</v>
      </c>
      <c r="C341" s="463"/>
      <c r="D341" s="463"/>
      <c r="E341" s="464"/>
    </row>
    <row r="342" spans="2:5" s="8" customFormat="1" ht="20.05" customHeight="1" x14ac:dyDescent="0.35">
      <c r="B342" s="4" t="s">
        <v>725</v>
      </c>
      <c r="C342" s="362" t="s">
        <v>749</v>
      </c>
      <c r="D342" s="337" t="str">
        <f>flt_net_nodea_hostname</f>
        <v>Value Missing</v>
      </c>
      <c r="E342" s="337"/>
    </row>
    <row r="343" spans="2:5" s="8" customFormat="1" ht="20.05" customHeight="1" x14ac:dyDescent="0.35">
      <c r="B343" s="4" t="s">
        <v>283</v>
      </c>
      <c r="C343" s="362" t="str">
        <f>sample_flt_net_nodea_ip</f>
        <v>10.11.10.62</v>
      </c>
      <c r="D343" s="337" t="str">
        <f t="array" ref="D343">flt_net_nodea_ip</f>
        <v>Value Missing</v>
      </c>
      <c r="E343" s="337"/>
    </row>
    <row r="344" spans="2:5" s="8" customFormat="1" ht="20.05" customHeight="1" x14ac:dyDescent="0.35">
      <c r="B344" s="4" t="s">
        <v>750</v>
      </c>
      <c r="C344" s="362" t="s">
        <v>751</v>
      </c>
      <c r="D344" s="347" t="s">
        <v>751</v>
      </c>
      <c r="E344" s="337"/>
    </row>
    <row r="345" spans="2:5" s="8" customFormat="1" ht="20.05" customHeight="1" x14ac:dyDescent="0.35">
      <c r="B345" s="462" t="s">
        <v>748</v>
      </c>
      <c r="C345" s="463"/>
      <c r="D345" s="463"/>
      <c r="E345" s="464"/>
    </row>
    <row r="346" spans="2:5" s="8" customFormat="1" ht="20.05" customHeight="1" x14ac:dyDescent="0.35">
      <c r="B346" s="4" t="s">
        <v>725</v>
      </c>
      <c r="C346" s="362" t="s">
        <v>752</v>
      </c>
      <c r="D346" s="337" t="str">
        <f>flt_net_nodeb_hostname</f>
        <v>Value Missing</v>
      </c>
      <c r="E346" s="337"/>
    </row>
    <row r="347" spans="2:5" s="8" customFormat="1" ht="20.05" customHeight="1" x14ac:dyDescent="0.35">
      <c r="B347" s="4" t="s">
        <v>283</v>
      </c>
      <c r="C347" s="362" t="str">
        <f>sample_flt_net_nodeb_ip</f>
        <v>10.11.10.63</v>
      </c>
      <c r="D347" s="337" t="str">
        <f t="array" ref="D347">flt_net_nodeb_ip</f>
        <v>Value Missing</v>
      </c>
      <c r="E347" s="337"/>
    </row>
    <row r="348" spans="2:5" s="8" customFormat="1" ht="20.05" customHeight="1" x14ac:dyDescent="0.35">
      <c r="B348" s="4" t="s">
        <v>750</v>
      </c>
      <c r="C348" s="362" t="s">
        <v>751</v>
      </c>
      <c r="D348" s="347" t="s">
        <v>751</v>
      </c>
      <c r="E348" s="337"/>
    </row>
    <row r="349" spans="2:5" s="8" customFormat="1" ht="20.05" customHeight="1" x14ac:dyDescent="0.35">
      <c r="B349" s="462" t="s">
        <v>748</v>
      </c>
      <c r="C349" s="463"/>
      <c r="D349" s="463"/>
      <c r="E349" s="464"/>
    </row>
    <row r="350" spans="2:5" s="8" customFormat="1" ht="20.05" customHeight="1" x14ac:dyDescent="0.35">
      <c r="B350" s="4" t="s">
        <v>725</v>
      </c>
      <c r="C350" s="362" t="s">
        <v>753</v>
      </c>
      <c r="D350" s="337" t="str">
        <f>flt_net_nodec_hostname</f>
        <v>Value Missing</v>
      </c>
      <c r="E350" s="337"/>
    </row>
    <row r="351" spans="2:5" s="8" customFormat="1" ht="20.05" customHeight="1" x14ac:dyDescent="0.35">
      <c r="B351" s="4" t="s">
        <v>283</v>
      </c>
      <c r="C351" s="362" t="str">
        <f>sample_flt_net_nodec_ip</f>
        <v>10.11.10.64</v>
      </c>
      <c r="D351" s="337" t="str">
        <f t="array" ref="D351">flt_net_nodec_ip</f>
        <v>Value Missing</v>
      </c>
      <c r="E351" s="337"/>
    </row>
    <row r="352" spans="2:5" s="8" customFormat="1" ht="20.05" customHeight="1" x14ac:dyDescent="0.35">
      <c r="B352" s="4" t="s">
        <v>750</v>
      </c>
      <c r="C352" s="362" t="s">
        <v>751</v>
      </c>
      <c r="D352" s="347" t="s">
        <v>751</v>
      </c>
      <c r="E352" s="337"/>
    </row>
    <row r="353" spans="2:5" s="8" customFormat="1" ht="20.05" customHeight="1" x14ac:dyDescent="0.35">
      <c r="B353" s="462" t="s">
        <v>754</v>
      </c>
      <c r="C353" s="463"/>
      <c r="D353" s="463"/>
      <c r="E353" s="464"/>
    </row>
    <row r="354" spans="2:5" s="8" customFormat="1" ht="20.05" customHeight="1" x14ac:dyDescent="0.35">
      <c r="B354" s="4" t="s">
        <v>725</v>
      </c>
      <c r="C354" s="362" t="str">
        <f>CONCATENATE(this_instance,"-netc01")</f>
        <v>sfo-netc01</v>
      </c>
      <c r="D354" s="347" t="str">
        <f>flt_net_prxy_hostname</f>
        <v>Value Missing</v>
      </c>
      <c r="E354" s="337"/>
    </row>
    <row r="355" spans="2:5" s="8" customFormat="1" ht="20.05" customHeight="1" x14ac:dyDescent="0.35">
      <c r="B355" s="4" t="s">
        <v>283</v>
      </c>
      <c r="C355" s="362" t="str">
        <f>sample_flt_net_prxy_ip</f>
        <v>10.11.10.14</v>
      </c>
      <c r="D355" s="337" t="str">
        <f t="array" ref="D355">flt_net_prxy_ip</f>
        <v>Value Missing</v>
      </c>
      <c r="E355" s="337"/>
    </row>
    <row r="356" spans="2:5" s="8" customFormat="1" ht="20.05" customHeight="1" x14ac:dyDescent="0.35">
      <c r="B356" s="4" t="s">
        <v>611</v>
      </c>
      <c r="C356" s="362" t="str">
        <f>IF(mgmt_dpg_reuse_result="Included",CONCATENATE(prefix_mgmt_az1_cidr,"10.1"),CONCATENATE(prefix_mgmt_az1_cidr,"11.1"))</f>
        <v>10.11.10.1</v>
      </c>
      <c r="D356" s="347"/>
      <c r="E356" s="337"/>
    </row>
    <row r="357" spans="2:5" s="8" customFormat="1" ht="20.05" customHeight="1" x14ac:dyDescent="0.35">
      <c r="B357" s="4" t="s">
        <v>612</v>
      </c>
      <c r="C357" s="362" t="s">
        <v>128</v>
      </c>
      <c r="D357" s="347"/>
      <c r="E357" s="337"/>
    </row>
    <row r="358" spans="2:5" s="8" customFormat="1" ht="20.05" customHeight="1" x14ac:dyDescent="0.35">
      <c r="B358" s="4" t="s">
        <v>252</v>
      </c>
      <c r="C358" s="362" t="str">
        <f>CONCATENATE(this_instance,"-m01-cl01-vds01-pg-vm-mgmt")</f>
        <v>sfo-m01-cl01-vds01-pg-vm-mgmt</v>
      </c>
      <c r="D358" s="347"/>
      <c r="E358" s="337"/>
    </row>
    <row r="359" spans="2:5" s="8" customFormat="1" ht="20.05" customHeight="1" x14ac:dyDescent="0.35">
      <c r="B359" s="4" t="s">
        <v>750</v>
      </c>
      <c r="C359" s="362" t="s">
        <v>93</v>
      </c>
      <c r="D359" s="347" t="s">
        <v>93</v>
      </c>
      <c r="E359" s="337"/>
    </row>
    <row r="360" spans="2:5" x14ac:dyDescent="0.45">
      <c r="B360" s="8"/>
      <c r="C360" s="8"/>
      <c r="D360" s="2"/>
      <c r="E360" s="2"/>
    </row>
  </sheetData>
  <sheetProtection algorithmName="SHA-512" hashValue="cgl2AEEfcDUrbxU5l3JBs79/Dfis1mAtLvMy5Kt3z4KGA1QBaOJvnefj3QpB+b0vqZymg1Xb/WYV4CrI+7D6SQ==" saltValue="Mc2dAZE4rsieDNFbgzPWVw==" spinCount="100000" sheet="1" selectLockedCells="1"/>
  <mergeCells count="47">
    <mergeCell ref="B327:E327"/>
    <mergeCell ref="B341:E341"/>
    <mergeCell ref="B345:E345"/>
    <mergeCell ref="B349:E349"/>
    <mergeCell ref="B353:E353"/>
    <mergeCell ref="B285:E285"/>
    <mergeCell ref="B287:E287"/>
    <mergeCell ref="B291:E291"/>
    <mergeCell ref="B311:E311"/>
    <mergeCell ref="B319:E319"/>
    <mergeCell ref="B272:E272"/>
    <mergeCell ref="B276:E276"/>
    <mergeCell ref="B280:E280"/>
    <mergeCell ref="B24:E24"/>
    <mergeCell ref="B20:E20"/>
    <mergeCell ref="B233:E233"/>
    <mergeCell ref="B241:E241"/>
    <mergeCell ref="B249:E249"/>
    <mergeCell ref="B269:E269"/>
    <mergeCell ref="B30:E30"/>
    <mergeCell ref="B43:E43"/>
    <mergeCell ref="B49:E49"/>
    <mergeCell ref="B206:E206"/>
    <mergeCell ref="B208:E208"/>
    <mergeCell ref="B212:E212"/>
    <mergeCell ref="B95:E95"/>
    <mergeCell ref="B2:E2"/>
    <mergeCell ref="B3:E3"/>
    <mergeCell ref="B203:E203"/>
    <mergeCell ref="B155:E155"/>
    <mergeCell ref="B120:E120"/>
    <mergeCell ref="B121:E121"/>
    <mergeCell ref="B126:E126"/>
    <mergeCell ref="B140:E140"/>
    <mergeCell ref="B147:E147"/>
    <mergeCell ref="B192:E192"/>
    <mergeCell ref="B118:E118"/>
    <mergeCell ref="B174:E174"/>
    <mergeCell ref="B193:E193"/>
    <mergeCell ref="B201:E201"/>
    <mergeCell ref="B13:E13"/>
    <mergeCell ref="B16:E16"/>
    <mergeCell ref="B60:E60"/>
    <mergeCell ref="B61:E61"/>
    <mergeCell ref="B66:E66"/>
    <mergeCell ref="B80:E80"/>
    <mergeCell ref="B87:E87"/>
  </mergeCells>
  <conditionalFormatting sqref="B7 D7:E7">
    <cfRule type="expression" dxfId="1955" priority="9">
      <formula>$E$7="NSX Centralized Connectivity is required to configure the Fleet appliance on NSX Overlay Segment"</formula>
    </cfRule>
  </conditionalFormatting>
  <conditionalFormatting sqref="B8 D8:E8">
    <cfRule type="expression" dxfId="1954" priority="16">
      <formula>$E$8="VCF Ops and Automation will be skipped during MGMT Domain deployment. Ensure they are planned as part of fleet Management Day-N"</formula>
    </cfRule>
    <cfRule type="expression" dxfId="1953" priority="88">
      <formula>$E$8="Cause: Custom networking for VCF Operations and VCF Automation not selected in Deploy Management Domain Tab"</formula>
    </cfRule>
    <cfRule type="expression" dxfId="1952" priority="90">
      <formula>flt_custom_network_vcf_ops_automation_result="Included"</formula>
    </cfRule>
    <cfRule type="expression" dxfId="1951" priority="11">
      <formula>$E$8="Cause: VCF Operations is required to Deploy VCF Automation. Deploy VCF Operations during MGMT Domain Deploy or Day-N"</formula>
    </cfRule>
    <cfRule type="expression" dxfId="1950" priority="13">
      <formula>$E$8="Cause: I want to connect a VCF Automation instance later option not selected in Deploy Management Domain Tab"</formula>
    </cfRule>
    <cfRule type="expression" dxfId="1949" priority="15">
      <formula>$E$8="Cause: VCF Operations and Automation will be deployed during Managment Domain Deployment"</formula>
    </cfRule>
  </conditionalFormatting>
  <conditionalFormatting sqref="B9 D9:E9">
    <cfRule type="expression" dxfId="1948" priority="147">
      <formula>AND((flt_vidb_chosen&lt;&gt;"Exclude"),(flt_vidb_result="Excluded"))</formula>
    </cfRule>
    <cfRule type="expression" dxfId="1947" priority="149" stopIfTrue="1">
      <formula>(flt_vidb_result="Included")</formula>
    </cfRule>
    <cfRule type="expression" dxfId="1946" priority="148">
      <formula>(flt_vidb_result="Excluded")</formula>
    </cfRule>
  </conditionalFormatting>
  <conditionalFormatting sqref="B10 D10:E10">
    <cfRule type="expression" dxfId="1945" priority="92">
      <formula>flt_logs_result="Excluded"</formula>
    </cfRule>
  </conditionalFormatting>
  <conditionalFormatting sqref="B10:B11 D10:E11 B7 D7:E7">
    <cfRule type="expression" dxfId="1944" priority="102">
      <formula>flt_custom_network_result="Included"</formula>
    </cfRule>
  </conditionalFormatting>
  <conditionalFormatting sqref="B11 D11:E11">
    <cfRule type="expression" dxfId="1943" priority="91">
      <formula>flt_net_result="Excluded"</formula>
    </cfRule>
  </conditionalFormatting>
  <conditionalFormatting sqref="C77 C156:C164">
    <cfRule type="expression" dxfId="1942" priority="80">
      <formula>OR((private_cloud_result="Excluded"),(private_cloud_chosen="Connect Instance"))</formula>
    </cfRule>
  </conditionalFormatting>
  <conditionalFormatting sqref="C100:C109">
    <cfRule type="expression" dxfId="1941" priority="18">
      <formula>OR((private_cloud_result="Excluded"),(private_cloud_chosen="Connect Instance"))</formula>
    </cfRule>
  </conditionalFormatting>
  <conditionalFormatting sqref="C111:C112">
    <cfRule type="expression" dxfId="1940" priority="35">
      <formula>OR((private_cloud_result="Excluded"),(private_cloud_chosen="Connect Instance"))</formula>
    </cfRule>
  </conditionalFormatting>
  <conditionalFormatting sqref="C137">
    <cfRule type="expression" dxfId="1939" priority="218">
      <formula>OR((private_cloud_result="Excluded"),(private_cloud_chosen="Connect Instance"))</formula>
    </cfRule>
  </conditionalFormatting>
  <conditionalFormatting sqref="D15 D17:D19 D21:D23 D25:D29 D31:D42 D44:D48 D50:D58 D63:D65 D67:D79 D81:D86 D88:D94 D96:D116 D123:D125 D127:D139 D141:D146 D148:D154 D156:D173 D176:D191 D194:D200 D202 D204 D209:D211 D213:D232 D234:D240 D242:D248 D250:D268 D270:D271 D273:D275 D277:D279 D281:D283 D288:D290 D292:D310 D312:D318 D320:D326 D328:D340 D342:D344 D346:D348 D350:D352 D354:D359">
    <cfRule type="notContainsBlanks" dxfId="1938" priority="222">
      <formula>LEN(TRIM(D15))&gt;0</formula>
    </cfRule>
  </conditionalFormatting>
  <conditionalFormatting sqref="D15 D17:D19 D21:D23 D25:D29 D31:D42 D44:D48 D50:D58">
    <cfRule type="expression" dxfId="1936" priority="27">
      <formula>AND((flt_custom_network_vcf_ops_automation_chosen="Deploy VCF Operations and Automation"),(flt_custom_network_vcf_ops_automation_result="Excluded"))</formula>
    </cfRule>
    <cfRule type="expression" dxfId="1935" priority="7">
      <formula>OR((flt_custom_network_vcf_ops_automation_chosen="Deploy VCF Automation"),(flt_custom_network_vcf_ops_automation_chosen="Exclude"))</formula>
    </cfRule>
  </conditionalFormatting>
  <conditionalFormatting sqref="D32">
    <cfRule type="expression" dxfId="1934" priority="1">
      <formula>flt_custom_network_ha_mode_chosen="Standard"</formula>
    </cfRule>
  </conditionalFormatting>
  <conditionalFormatting sqref="D34:D36">
    <cfRule type="expression" dxfId="1933" priority="2">
      <formula>flt_custom_network_ha_mode_chosen="Standard"</formula>
    </cfRule>
  </conditionalFormatting>
  <conditionalFormatting sqref="D38:D39">
    <cfRule type="expression" dxfId="1932" priority="4">
      <formula>flt_custom_network_ha_mode_chosen="Standard"</formula>
    </cfRule>
  </conditionalFormatting>
  <conditionalFormatting sqref="D55:D56">
    <cfRule type="expression" dxfId="1931" priority="3">
      <formula>flt_custom_network_ha_mode_chosen="Standard"</formula>
    </cfRule>
  </conditionalFormatting>
  <conditionalFormatting sqref="D63:D65 D67:D79 D81:D86 D88:D94 D96:D116">
    <cfRule type="expression" dxfId="1930" priority="6">
      <formula>OR((flt_custom_network_vcf_ops_automation_chosen="Exclude"),(flt_custom_network_vcf_ops_automation_chosen ="Deploy VCF Operations and Automation"))</formula>
    </cfRule>
    <cfRule type="expression" dxfId="1929" priority="8">
      <formula>AND((flt_custom_network_vcf_ops_automation_chosen="Deploy VCF Automation"),(flt_custom_network_vcf_ops_automation_result="Excluded"))</formula>
    </cfRule>
  </conditionalFormatting>
  <conditionalFormatting sqref="D65 D67:D77 D79 D81:D86 D88:D94 D105:D116">
    <cfRule type="expression" dxfId="1928" priority="10">
      <formula>vcf_automation_type="Import"</formula>
    </cfRule>
  </conditionalFormatting>
  <conditionalFormatting sqref="D69">
    <cfRule type="expression" dxfId="1927" priority="17">
      <formula>vcf_automation_cert_type_chosen="Generate Certificate"</formula>
    </cfRule>
  </conditionalFormatting>
  <conditionalFormatting sqref="D70:D76">
    <cfRule type="expression" dxfId="1926" priority="12">
      <formula>vcf_automation_cert_type_chosen="Import Certificate"</formula>
    </cfRule>
  </conditionalFormatting>
  <conditionalFormatting sqref="D123:D125 D127:D139 D141:D146 D148:D154 D156:D173">
    <cfRule type="expression" dxfId="1925" priority="105">
      <formula>OR((flt_vidb_chosen="Identity Broker (Embedded)"),(flt_vidb_chosen="Exclude"))</formula>
    </cfRule>
  </conditionalFormatting>
  <conditionalFormatting sqref="D124:D125 D127:D136 D138:D139">
    <cfRule type="expression" dxfId="1924" priority="127">
      <formula>flt_vidb_type_chosen="Import"</formula>
    </cfRule>
  </conditionalFormatting>
  <conditionalFormatting sqref="D129">
    <cfRule type="expression" dxfId="1923" priority="95">
      <formula>flt_logs_cert_type_chosen="Create Certificate"</formula>
    </cfRule>
    <cfRule type="expression" dxfId="1922" priority="87">
      <formula>flt_vidb_cert_type_chosen="Create Certificate"</formula>
    </cfRule>
    <cfRule type="expression" dxfId="1921" priority="103">
      <formula>flt_logs_install_type_chosen="Import"</formula>
    </cfRule>
  </conditionalFormatting>
  <conditionalFormatting sqref="D130:D136">
    <cfRule type="expression" dxfId="1920" priority="86">
      <formula>flt_vidb_cert_type_chosen="Import Certificate"</formula>
    </cfRule>
  </conditionalFormatting>
  <conditionalFormatting sqref="D141:D146">
    <cfRule type="expression" dxfId="1919" priority="123">
      <formula>flt_vidb_type_chosen="Import"</formula>
    </cfRule>
  </conditionalFormatting>
  <conditionalFormatting sqref="D148:D154">
    <cfRule type="expression" dxfId="1918" priority="116">
      <formula>flt_vidb_type_chosen="Import"</formula>
    </cfRule>
  </conditionalFormatting>
  <conditionalFormatting sqref="D159:D162">
    <cfRule type="expression" dxfId="1917" priority="106">
      <formula>flt_vidb_type_chosen="Import"</formula>
    </cfRule>
  </conditionalFormatting>
  <conditionalFormatting sqref="D164:D173">
    <cfRule type="expression" dxfId="1916" priority="107">
      <formula>flt_vidb_type_chosen="Import"</formula>
    </cfRule>
  </conditionalFormatting>
  <conditionalFormatting sqref="D176:D177">
    <cfRule type="expression" dxfId="1915" priority="22">
      <formula>OR((flt_vidb_chosen="Identity Broker (Embedded)"),(flt_vidb_chosen="Exclude"))</formula>
    </cfRule>
    <cfRule type="expression" dxfId="1914" priority="23">
      <formula>flt_vidb_type_chosen="Import"</formula>
    </cfRule>
  </conditionalFormatting>
  <conditionalFormatting sqref="D176:D191 D194:D200 D202 D204 D213:D232 D234:D240 D242:D248 D250:D268 D270:D271 D273:D275 D277:D279 D281:D283 D312:D318 D320:D326 D328:D340 D342:D344 D346:D348 D350:D352 D354:D359 D292:D310 D209:D211 D288:D290 D123:D125 D127:D139 D141:D146 D148:D154 D156:D173 D15 D17:D19 D21:D23 D25:D29 D31:D42 D44:D48 D50:D58 D67:D79 D63:D65 D81:D86 D88:D94 D96:D116">
    <cfRule type="containsBlanks" dxfId="1913" priority="209">
      <formula>LEN(TRIM(D15))=0</formula>
    </cfRule>
  </conditionalFormatting>
  <conditionalFormatting sqref="D178:D191 D194:D200 D202 D204">
    <cfRule type="expression" dxfId="1912" priority="208">
      <formula>flt_vidb_chosen="Exclude"</formula>
    </cfRule>
  </conditionalFormatting>
  <conditionalFormatting sqref="D181">
    <cfRule type="expression" dxfId="1911" priority="26">
      <formula>flt_vidb_server_location_chosen="Selected"</formula>
    </cfRule>
  </conditionalFormatting>
  <conditionalFormatting sqref="D182:D183">
    <cfRule type="expression" dxfId="1910" priority="187">
      <formula>flt_vidb_server_location_chosen="Unselected"</formula>
    </cfRule>
  </conditionalFormatting>
  <conditionalFormatting sqref="D183">
    <cfRule type="expression" dxfId="1909" priority="176">
      <formula>flt_vidb_encrypted_connection_chosen="Unselected"</formula>
    </cfRule>
  </conditionalFormatting>
  <conditionalFormatting sqref="D184:D187">
    <cfRule type="expression" dxfId="1908" priority="188">
      <formula>flt_vidb_server_location_chosen="Selected"</formula>
    </cfRule>
  </conditionalFormatting>
  <conditionalFormatting sqref="D209:D211 D213:D232 D234:D240 D242:D248 D250:D268 D270:D271 D273:D275 D277:D279 D281:D283">
    <cfRule type="expression" dxfId="1907" priority="20">
      <formula>flt_logs_result="Excluded"</formula>
    </cfRule>
  </conditionalFormatting>
  <conditionalFormatting sqref="D210:D211 D213:D224">
    <cfRule type="expression" dxfId="1906" priority="162">
      <formula>flt_logs_install_type_chosen="Import"</formula>
    </cfRule>
  </conditionalFormatting>
  <conditionalFormatting sqref="D213 D292:D305">
    <cfRule type="expression" dxfId="1905" priority="21">
      <formula>flt_net_install_type_chosen="Import"</formula>
    </cfRule>
  </conditionalFormatting>
  <conditionalFormatting sqref="D215:D216">
    <cfRule type="expression" dxfId="1904" priority="135">
      <formula>flt_logs_cert_type_chosen="Generate Certificate"</formula>
    </cfRule>
  </conditionalFormatting>
  <conditionalFormatting sqref="D217:D223">
    <cfRule type="expression" dxfId="1903" priority="128">
      <formula>flt_logs_cert_type_chosen="Import Certificate"</formula>
    </cfRule>
  </conditionalFormatting>
  <conditionalFormatting sqref="D226:D227">
    <cfRule type="expression" dxfId="1902" priority="161">
      <formula>flt_logs_ha_mode_chosen="Standard"</formula>
    </cfRule>
  </conditionalFormatting>
  <conditionalFormatting sqref="D226:D232 D234:D240 D242:D248 D259:D265 D267:D268 D270:D271 D273:D275 D277:D279 D281:D283">
    <cfRule type="expression" dxfId="1901" priority="172">
      <formula>flt_logs_install_type_chosen="Import"</formula>
    </cfRule>
  </conditionalFormatting>
  <conditionalFormatting sqref="D230:D231">
    <cfRule type="expression" dxfId="1900" priority="160">
      <formula>flt_logs_ha_mode_chosen="Standard"</formula>
    </cfRule>
  </conditionalFormatting>
  <conditionalFormatting sqref="D250:D253 D258">
    <cfRule type="expression" dxfId="1899" priority="171">
      <formula>flt_logs_install_type_chosen="New Install"</formula>
    </cfRule>
  </conditionalFormatting>
  <conditionalFormatting sqref="D288:D290 D292:D310 D312:D318 D320:D326 D328:D340 D342:D344 D346:D348 D350:D352 D354:D359">
    <cfRule type="expression" dxfId="1898" priority="24">
      <formula>flt_net_result="Excluded"</formula>
    </cfRule>
  </conditionalFormatting>
  <conditionalFormatting sqref="D289:D290 D307:D310">
    <cfRule type="expression" dxfId="1897" priority="159">
      <formula>flt_net_install_type_chosen="Import"</formula>
    </cfRule>
  </conditionalFormatting>
  <conditionalFormatting sqref="D294:D296">
    <cfRule type="expression" dxfId="1896" priority="140">
      <formula>flt_net_cert_type_chosen="Generate Certificate"</formula>
    </cfRule>
  </conditionalFormatting>
  <conditionalFormatting sqref="D297:D301">
    <cfRule type="expression" dxfId="1895" priority="150">
      <formula>flt_net_cert_type_chosen="Upload Certificate"</formula>
    </cfRule>
  </conditionalFormatting>
  <conditionalFormatting sqref="D303:D304 D346:D348 D350:D352">
    <cfRule type="expression" dxfId="1894" priority="165">
      <formula>flt_net_ha_mode_chosen="Standard"</formula>
    </cfRule>
  </conditionalFormatting>
  <conditionalFormatting sqref="D307:D308">
    <cfRule type="expression" dxfId="1893" priority="155">
      <formula>flt_net_ha_mode_chosen="Standard"</formula>
    </cfRule>
  </conditionalFormatting>
  <conditionalFormatting sqref="D312:D318 D320:D326 D328:D336 D342:D344 D346:D348 D350:D352">
    <cfRule type="expression" dxfId="1892" priority="167">
      <formula>flt_net_install_type_chosen="Import"</formula>
    </cfRule>
  </conditionalFormatting>
  <conditionalFormatting sqref="D337:D340">
    <cfRule type="expression" dxfId="1891" priority="5">
      <formula>flt_net_install_type_chosen="New Install"</formula>
    </cfRule>
  </conditionalFormatting>
  <conditionalFormatting sqref="D354:D359">
    <cfRule type="expression" dxfId="1890" priority="166">
      <formula>flt_net_install_type_chosen="Import"</formula>
    </cfRule>
  </conditionalFormatting>
  <dataValidations count="25">
    <dataValidation type="list" allowBlank="1" showInputMessage="1" showErrorMessage="1" sqref="D178" xr:uid="{994766C4-40A3-CC42-B17C-17610B205720}">
      <formula1>"AD/LDAP,Open LDAP"</formula1>
    </dataValidation>
    <dataValidation type="list" allowBlank="1" showInputMessage="1" showErrorMessage="1" sqref="D136 D76 D301 D223" xr:uid="{7143FC7E-7305-1444-9565-F8667B6757B2}">
      <formula1>"2048,4096"</formula1>
    </dataValidation>
    <dataValidation type="list" allowBlank="1" showInputMessage="1" showErrorMessage="1" sqref="D167 D57 D111" xr:uid="{8824C7EC-CB26-EB4D-8898-DCAD5633727D}">
      <formula1>"198.18.0.0/15,240.0.0.0/15,250.0.0.0/15"</formula1>
    </dataValidation>
    <dataValidation type="list" allowBlank="1" showInputMessage="1" showErrorMessage="1" sqref="D151 D245 D323 D91" xr:uid="{4D64331C-7C4C-904C-BDEB-9EA82E3E962B}">
      <formula1>"Use NTP Server,Use Host Time"</formula1>
    </dataValidation>
    <dataValidation type="list" allowBlank="1" showInputMessage="1" showErrorMessage="1" sqref="D185" xr:uid="{3C92F9A4-B2F2-E94C-8BC4-E554D8C0E132}">
      <formula1>"Selected,Deselected"</formula1>
    </dataValidation>
    <dataValidation type="list" allowBlank="1" showInputMessage="1" showErrorMessage="1" sqref="D188" xr:uid="{AB1E007F-70EC-5F44-8A9A-128E2A1822D0}">
      <formula1>"sAMAccountName,userPrincipalName"</formula1>
    </dataValidation>
    <dataValidation type="list" allowBlank="1" showInputMessage="1" showErrorMessage="1" sqref="D180:D182 D260 D262:D265 D332 D334:D335" xr:uid="{EB1D5431-E355-8349-92B7-98699093D262}">
      <formula1>"Selected,Unselected"</formula1>
    </dataValidation>
    <dataValidation type="list" allowBlank="1" showInputMessage="1" showErrorMessage="1" sqref="D40" xr:uid="{4FBF4F04-1285-DD4D-90F3-B6E8801DE825}">
      <formula1>"Extra Small,Small,Medium,Large,Extra Large"</formula1>
    </dataValidation>
    <dataValidation type="list" allowBlank="1" showInputMessage="1" showErrorMessage="1" sqref="D25 D31" xr:uid="{D1F92E03-AD45-2F47-9558-09D7FD271440}">
      <formula1>"True,False"</formula1>
    </dataValidation>
    <dataValidation type="list" allowBlank="1" showInputMessage="1" showErrorMessage="1" sqref="D292 D213" xr:uid="{84A6AA19-92FD-1745-9B01-EB23753E23EA}">
      <formula1>"Generate Certificate, Upload Certificate"</formula1>
    </dataValidation>
    <dataValidation type="list" allowBlank="1" showInputMessage="1" showErrorMessage="1" sqref="D359 D344 D348 D352" xr:uid="{F3F74E46-3475-AD4A-B8A4-F0E8E8574DF1}">
      <formula1>"Small,Medium,Large,Extra Large,Extra Extra Large"</formula1>
    </dataValidation>
    <dataValidation type="list" allowBlank="1" showInputMessage="1" showErrorMessage="1" sqref="D268" xr:uid="{6D173F54-4752-734E-9316-23FEDCA5CB2C}">
      <formula1>"Use NTP Server,Use Host Time,Use Infra Selection"</formula1>
    </dataValidation>
    <dataValidation type="list" allowBlank="1" showInputMessage="1" showErrorMessage="1" sqref="D240 D318" xr:uid="{3BD8D73E-4484-794A-A874-11BC4777E021}">
      <formula1>"Thick,Thin"</formula1>
    </dataValidation>
    <dataValidation type="list" allowBlank="1" showInputMessage="1" showErrorMessage="1" sqref="D288 D123 D63 D209" xr:uid="{B8E55E4A-6EFC-B048-AFF4-21E5B78AF445}">
      <formula1>"New Install,Import"</formula1>
    </dataValidation>
    <dataValidation type="list" allowBlank="1" showInputMessage="1" showErrorMessage="1" sqref="D211 D290 D15" xr:uid="{230E7CF5-A976-A547-8367-385D57937F44}">
      <formula1>"Standard,Cluster"</formula1>
    </dataValidation>
    <dataValidation type="list" allowBlank="1" showInputMessage="1" showErrorMessage="1" sqref="D259 D65" xr:uid="{8510D5E3-76F3-4F48-A320-4202661526C0}">
      <formula1>"Small,Medium,Large"</formula1>
    </dataValidation>
    <dataValidation type="list" allowBlank="1" showInputMessage="1" showErrorMessage="1" sqref="B9" xr:uid="{7740F528-FF66-FF43-88FF-19B5D54B3382}">
      <formula1>"Exclude,Identity Broker (Embedded), Identity Broker Appliance"</formula1>
    </dataValidation>
    <dataValidation type="list" allowBlank="1" showInputMessage="1" showErrorMessage="1" sqref="D125" xr:uid="{E07E5276-DDD6-4642-967E-363713C03056}">
      <formula1>"Small"</formula1>
    </dataValidation>
    <dataValidation type="list" allowBlank="1" showInputMessage="1" showErrorMessage="1" sqref="B7" xr:uid="{34EECD63-90D2-064E-947B-E3351DB16B0B}">
      <formula1>"Shared Management Network,Dedicated Management Network,NSX Overlay Segment,NSX VLAN Segment"</formula1>
    </dataValidation>
    <dataValidation type="list" allowBlank="1" showInputMessage="1" showErrorMessage="1" sqref="B10:B11" xr:uid="{1C6D1F2F-2024-BF43-9E09-1369086DFFDD}">
      <formula1>"Exclude,Include"</formula1>
    </dataValidation>
    <dataValidation type="list" allowBlank="1" showInputMessage="1" showErrorMessage="1" sqref="D47" xr:uid="{BF0092FD-F5BE-0549-98EB-42FB37933424}">
      <formula1>"Small,Standard"</formula1>
    </dataValidation>
    <dataValidation type="list" allowBlank="1" showInputMessage="1" showErrorMessage="1" sqref="D18 D22 D154 D248 D326 D94 D357" xr:uid="{AF7C602C-7F1C-7A4C-AED7-127F9A94DBC9}">
      <formula1>table_masks</formula1>
    </dataValidation>
    <dataValidation type="list" allowBlank="1" showInputMessage="1" showErrorMessage="1" sqref="D108:D109" xr:uid="{BA2A58DB-A6BD-BA47-AEDB-5812ACF09ED2}">
      <formula1>"Internal Load Balancer, Others"</formula1>
    </dataValidation>
    <dataValidation type="list" allowBlank="1" showInputMessage="1" showErrorMessage="1" sqref="D67 D127" xr:uid="{ACAEE1EB-150C-A14A-8278-1F506B21EB1E}">
      <formula1>"Generate Certificate, Import Certificate"</formula1>
    </dataValidation>
    <dataValidation type="list" allowBlank="1" showInputMessage="1" showErrorMessage="1" sqref="B8" xr:uid="{B25EF55C-E2AA-B94F-AF1D-47D1A0610B97}">
      <formula1>"Exclude,Deploy VCF Operations and Automation,Deploy VCF Automation"</formula1>
    </dataValidation>
  </dataValidations>
  <pageMargins left="0.7" right="0.7" top="0.75" bottom="0.75" header="0.3" footer="0.3"/>
  <pageSetup paperSize="9" orientation="portrait" horizontalDpi="0" verticalDpi="0"/>
  <ignoredErrors>
    <ignoredError sqref="C106:D106" formula="1"/>
    <ignoredError sqref="D354" unlocked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210" operator="containsText" id="{8C65F81A-2E61-5646-925D-414FD40D4206}">
            <xm:f>NOT(ISERROR(SEARCH("Value Missing",D15)))</xm:f>
            <xm:f>"Value Missing"</xm:f>
            <x14:dxf>
              <font>
                <color rgb="FF0E223A"/>
              </font>
              <fill>
                <patternFill>
                  <bgColor rgb="FFFFBE29"/>
                </patternFill>
              </fill>
            </x14:dxf>
          </x14:cfRule>
          <xm:sqref>D15 D17:D19 D21:D23 D25:D29 D31:D42 D44:D48 D50:D58 D63:D65 D67:D79 D81:D86 D88:D94 D96:D116 D123:D125 D127:D139 D141:D146 D148:D154 D156:D173 D176:D191 D194:D200 D202 D204 D209:D211 D213:D232 D234:D240 D242:D248 D250:D268 D270:D271 D273:D275 D277:D279 D281:D283 D288:D290 D292:D310 D312:D318 D320:D326 D328:D340 D342:D344 D346:D348 D350:D352 D354:D359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E519A-0C3D-E542-BC90-DE9C4375CCA9}">
  <sheetPr codeName="Sheet15">
    <tabColor theme="7" tint="0.59999389629810485"/>
  </sheetPr>
  <dimension ref="A1:J934"/>
  <sheetViews>
    <sheetView showGridLines="0" zoomScaleNormal="100" workbookViewId="0">
      <pane ySplit="4" topLeftCell="A5" activePane="bottomLeft" state="frozen"/>
      <selection pane="bottomLeft"/>
    </sheetView>
  </sheetViews>
  <sheetFormatPr defaultColWidth="11" defaultRowHeight="15" x14ac:dyDescent="0.35"/>
  <cols>
    <col min="1" max="1" width="2.85546875" style="8" customWidth="1"/>
    <col min="2" max="2" width="75.85546875" style="8" customWidth="1"/>
    <col min="3" max="3" width="76.140625" style="8" customWidth="1"/>
    <col min="4" max="4" width="75.85546875" style="8" customWidth="1"/>
    <col min="5" max="5" width="109.140625" style="8" customWidth="1"/>
    <col min="6" max="6" width="10.85546875" style="8" customWidth="1"/>
    <col min="7" max="14" width="11" style="8" customWidth="1"/>
    <col min="15" max="16384" width="11" style="8"/>
  </cols>
  <sheetData>
    <row r="1" spans="1:10" s="2" customFormat="1" ht="16" customHeight="1" x14ac:dyDescent="0.35">
      <c r="A1" s="1"/>
      <c r="F1" s="8"/>
      <c r="G1" s="8"/>
      <c r="H1" s="8"/>
      <c r="I1" s="8"/>
      <c r="J1" s="8"/>
    </row>
    <row r="2" spans="1:10" s="2" customFormat="1" ht="54" customHeight="1" x14ac:dyDescent="0.35">
      <c r="B2" s="550" t="s">
        <v>755</v>
      </c>
      <c r="C2" s="551"/>
      <c r="D2" s="551"/>
      <c r="E2" s="552"/>
      <c r="F2" s="8"/>
      <c r="G2" s="8"/>
      <c r="H2" s="8"/>
      <c r="I2" s="8"/>
      <c r="J2" s="8"/>
    </row>
    <row r="3" spans="1:10" s="2" customFormat="1" ht="20.05" customHeight="1" x14ac:dyDescent="0.35">
      <c r="B3" s="553" t="s">
        <v>756</v>
      </c>
      <c r="C3" s="554"/>
      <c r="D3" s="554"/>
      <c r="E3" s="555"/>
      <c r="F3" s="8"/>
      <c r="G3" s="8"/>
      <c r="H3" s="8"/>
      <c r="I3" s="8"/>
      <c r="J3" s="8"/>
    </row>
    <row r="4" spans="1:10" s="2" customFormat="1" x14ac:dyDescent="0.45">
      <c r="D4" s="10"/>
      <c r="E4" s="3"/>
      <c r="F4" s="3"/>
    </row>
    <row r="5" spans="1:10" ht="16" customHeight="1" x14ac:dyDescent="0.35"/>
    <row r="6" spans="1:10" ht="34" customHeight="1" x14ac:dyDescent="0.35">
      <c r="B6" s="556" t="s">
        <v>757</v>
      </c>
      <c r="C6" s="557"/>
      <c r="D6" s="557"/>
      <c r="E6" s="557"/>
    </row>
    <row r="8" spans="1:10" ht="34" customHeight="1" x14ac:dyDescent="0.35">
      <c r="B8" s="369" t="s">
        <v>758</v>
      </c>
      <c r="C8" s="370"/>
      <c r="D8" s="370"/>
      <c r="E8" s="371"/>
    </row>
    <row r="9" spans="1:10" ht="20.05" customHeight="1" x14ac:dyDescent="0.35">
      <c r="B9" s="346" t="s">
        <v>9</v>
      </c>
      <c r="C9" s="346" t="s">
        <v>10</v>
      </c>
      <c r="D9" s="346" t="s">
        <v>11</v>
      </c>
      <c r="E9" s="346" t="s">
        <v>12</v>
      </c>
    </row>
    <row r="10" spans="1:10" ht="20.05" customHeight="1" x14ac:dyDescent="0.35">
      <c r="B10" s="355" t="s">
        <v>13</v>
      </c>
      <c r="C10" s="362" t="str">
        <f>IF(vcf_granular_option_chosen="Additional WLD Cluster","Deploy Additional Workload Cluster","Deploy Virtual Infrastructure (VI) Workload Domain")</f>
        <v>Deploy Virtual Infrastructure (VI) Workload Domain</v>
      </c>
      <c r="D10" s="112" t="str">
        <f>IF(mgmt_domain_deployment_type_chosen="VMware vSphere Foundation","Excluded",IF(wld_domain_chosen="Exclude","Excluded",IF(vcf_version="Select Deployment Version","Excluded",
IF(AND(vcf_granular_option_chosen&lt;&gt;"Deploy a new VCF fleet",vcf_granular_option_chosen&lt;&gt;"Deploy a VCF Instance in an existing VCF fleet",vcf_granular_option_chosen&lt;&gt;"Create VI Workload Domain"),"Excluded",
IF(AND(wld_domain_chosen="Deploy Workload Domain with a Multi-Rack Layer 3 Cluster",OR(wld_multi_rack_count_chosen="Exclude",wld_compute_hosts_per_rack_result="Excluded")),"Excluded",
IF(AND(wld_domain_chosen="Deploy Workload Domain with a Single-Rack / Multi-Rack Layer 2 Cluster",wld_compute_hosts_per_rack_result="Excluded"),"Excluded","Included"))))))</f>
        <v>Excluded</v>
      </c>
      <c r="E10" s="112" t="str">
        <f>IF(mgmt_domain_deployment_type_chosen="VMware vSphere Foundation","Cannot be performed on a VMware vSphere Foundation deployment",
IF(vcf_granular_option_chosen="Create Cluster","Create VI Workload Domain or Deploy a new VCF fleet not selected on VCF &amp; VVF Planning Tab",
IF(AND(vcf_granular_option_chosen&lt;&gt;"Deploy a new VCF fleet",vcf_granular_option_chosen&lt;&gt;"Deploy a VCF Instance in an existing VCF fleet",vcf_granular_option_chosen&lt;&gt;"Create VI Workload Domain"),"Option Not Required for current deployment type",
IF(wld_domain_chosen="Import Workload Domain","Workload will be imported into the VCF Instance",IF(vcf_version="Select Deployment Version","Deployment Version not Selected",
IF(wld_compute_hosts_per_rack_result="Excluded","Cause: Minimum Number of hosts must be selected",
IF(wld_domain_chosen="Deploy Workload Domain with a Multi-Rack Layer 3 Cluster","Workload Domain will be deployed with a Multi-Rack Layer 3 Cluster - Additional Racks Tab must also be filled out",
IF(vcf_version="Select Deployment Version","Deployment Version not Selected",
IF(wld_domain_chosen="Exclude","Cause: Not Selected. Workload domain will not be deployed","Workload Domain will be deployed")))))))))</f>
        <v>Cause: Minimum Number of hosts must be selected</v>
      </c>
    </row>
    <row r="11" spans="1:10" ht="20.05" customHeight="1" x14ac:dyDescent="0.35">
      <c r="B11" s="254" t="s">
        <v>13</v>
      </c>
      <c r="C11" s="362" t="s">
        <v>759</v>
      </c>
      <c r="D11" s="112" t="str">
        <f>IF(mgmt_domain_deployment_type_chosen="VMware vSphere Foundation","Excluded",
IF(AND(vcf_granular_option_chosen&lt;&gt;"Deploy a new VCF fleet",vcf_granular_option_chosen&lt;&gt;"Deploy a VCF Instance in an existing VCF fleet",vcf_granular_option_chosen&lt;&gt;"Create VI Workload Domain"),"Excluded",
IF(wld_compute_hosts_per_rack_chosen="Exclude","Excluded",
IF(AND(wld_domain_chosen="Deploy Workload Domain with a Multi-Rack Layer 3 Cluster",wld_multi_rack_count_chosen="Exclude"),"Excluded",
IF(wld_compute_total_number_hosts&gt;64,"Excluded",
IF(wld_compute_total_number_hosts&lt;2,"Excluded","Included"))))))</f>
        <v>Excluded</v>
      </c>
      <c r="E11" s="337" t="str">
        <f>IF(vcf_granular_option_chosen="None Chosen","No Deployment Type Chosen",
IF(AND(wld_domain_chosen&lt;&gt;"Deploy Workload Domain with a Single-Rack / Multi-Rack Layer 2 Cluster",wld_domain_chosen&lt;&gt;"Deploy Workload Domain with a Multi-Rack Layer 3 Cluster"),"Cause: Standard VI Workload Domain Required",
IF(wld_domain_chosen="Import Workload Domain","Feature not supported for Imported Workload Domains",
IF(AND(vcf_granular_option_chosen&lt;&gt;"Deploy a new VCF fleet",vcf_granular_option_chosen&lt;&gt;"Deploy a VCF Instance in an existing VCF fleet",vcf_granular_option_chosen&lt;&gt;"Create VI Workload Domain"),"Option Not Required for current deployment type",
IF(wld_compute_hosts_per_rack_chosen="Exclude","Required: Minimum Number of hosts must be selected",
IF(AND(OR(wld_principal_storage_chosen="vSAN-ESA",wld_principal_storage_chosen="vSAN-OSA"),wld_compute_total_number_hosts&lt;3,wld_domain_chosen="Deploy Workload Domain with a Single-Rack / Multi-Rack Layer 2 Cluster"),"Cause: Minimum number of hosts for storage type not selected",
IF(AND(OR(wld_principal_storage_chosen="NFSv3",wld_principal_storage_chosen="VMFS on Fibre Channel (FC)"),wld_compute_total_number_hosts&lt;2),"Cause: Minimum number of hosts for storage type not selected",
IF(wld_domain_chosen="Deploy Workload Domain with a Single-Rack / Multi-Rack Layer 2 Cluster",CONCATENATE(wld_compute_hosts_per_rack_chosen," Hosts will be configured in the inital cluster"),
IF(wld_multi_rack_count_chosen="Exclude","Cause Number of Racks not selected",
IF(AND(wld_multirack_calc="Include",wld_multirack_result="Excluded"),"Cause: Multi Rack prerequistes not set. Define the number of additional racks.",
IF(wld_multirack_calc="Exclude","Cause: Multi Rack not enabled",
IF(PRODUCT(wld_multi_rack_count_chosen,wld_compute_hosts_per_rack_chosen)&gt;64,CONCATENATE("Cause: Max number of Hosts per Cluster is 64. ",PRODUCT(wld_multi_rack_count_chosen+1,wld_compute_hosts_per_rack_chosen)," Hosts currenty defined for the Compute vSphere Cluster "),
IF(wld_compute_total_number_hosts&lt;3,CONCATENATE("Cause: Min number of Hosts per Cluster is 3. ",wld_compute_total_number_hosts," Hosts currenty defined for the Compute vSphere Cluster "),CONCATENATE(PRODUCT(wld_multi_rack_count_chosen+1,wld_compute_hosts_per_rack_chosen)," Hosts defined for configuration in the Compute vSphere Cluster "))))))))))))))</f>
        <v>Cause: Standard VI Workload Domain Required</v>
      </c>
    </row>
    <row r="12" spans="1:10" ht="20.05" customHeight="1" x14ac:dyDescent="0.35">
      <c r="B12" s="254" t="s">
        <v>13</v>
      </c>
      <c r="C12" s="362" t="s">
        <v>760</v>
      </c>
      <c r="D12" s="112"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IF(wld_domain_chosen="Deploy Workload Domain with a Single-Rack / Multi-Rack Layer 2 Cluster","Excluded",
IF(wld_multirack_result="Excluded","Excluded",IF(wld_multi_rack_count_chosen="Exclude","Excluded","Included")))))</f>
        <v>Excluded</v>
      </c>
      <c r="E12" s="337" t="str">
        <f>IF(vcf_granular_option_chosen="None Chosen","No Deployment Type Chosen",
IF(AND(wld_domain_chosen&lt;&gt;"Deploy Workload Domain with a Single-Rack / Multi-Rack Layer 2 Cluster",wld_domain_chosen&lt;&gt;"Deploy Workload Domain with a Multi-Rack Layer 3 Cluster"),"Cause: Standard VI Workload Domain Required",
IF(wld_domain_chosen="Import Workload Domain","Feature not supported for Imported Workload Domains",
IF(wld_domain_chosen="Deploy Workload Domain with a Single-Rack / Multi-Rack Layer 2 Cluster","Not Required: Completing the additional Rack Tab is only required for Layer 3 Multirack deployments",
IF(AND(vcf_granular_option_chosen&lt;&gt;"Deploy a new VCF fleet",vcf_granular_option_chosen&lt;&gt;"Deploy a VCF Instance in an existing VCF fleet",vcf_granular_option_chosen&lt;&gt;"Create VI Workload Domain"),"Option Not Required for current deployment type",
IF(wld_multirack_calc="Exclude","Cause: Multi Rack not enabled",
IF(wld_multi_rack_count_chosen="Exclude","Required: Minimum Number of additional racks must be selected",
IF(wld_multirack_result="Excluded","Cause: Multi Rack prerequistes not defined",IF(wld_multi_rack_count_chosen="Exclude","Cause: Number of additonal racks not selected","Multi Rack Configuration will be deployed")))))))))</f>
        <v>Cause: Standard VI Workload Domain Required</v>
      </c>
    </row>
    <row r="13" spans="1:10" ht="20.05" customHeight="1" x14ac:dyDescent="0.35">
      <c r="B13" s="347" t="s">
        <v>13</v>
      </c>
      <c r="C13" s="362" t="s">
        <v>761</v>
      </c>
      <c r="D13" s="337" t="str">
        <f>IF(mgmt_domain_deployment_type_chosen="VMware vSphere Foundation",IF(wld_dpg_separation_chosen="Exclude","Excluded"),"Included")</f>
        <v>Included</v>
      </c>
      <c r="E13" s="337"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IF(wld_domain_chosen="Import VI Workload Domain","Feature not supported for Imported Workload Domains",
IF(wld_dpg_separation_chosen="Exclude","Cause: Not Selected. A Common Distributed Virtual Portgroups will be used for Managment VMs and ESXi Hosts",IF(wld_domain_result="Excluded","Cause: Standard Workload Domain Required",
IF(vcf_granular_option_chosen="None Chosen","No Deployment Type Chosen",
IF(vcf_version_chosen="No Version Selected","Cause: VCF Deployment version is not Selected","Separation of Distributed Virtual Portgroup will be used")))))))))</f>
        <v>Cause: Standard VI Workload Domain Required</v>
      </c>
    </row>
    <row r="14" spans="1:10" ht="20.05" customHeight="1" x14ac:dyDescent="0.35">
      <c r="B14" s="145" t="s">
        <v>762</v>
      </c>
      <c r="C14" s="362" t="s">
        <v>763</v>
      </c>
      <c r="D14" s="337" t="str">
        <f>IF(mgmt_domain_deployment_type_chosen="VMware vSphere Foundation","Excluded",IF(wld_domain_chosen="Import VI Workload Domain","Excluded",
IF((wld_domain_result="Excluded"),"Excluded",
IF(AND(wld_multirack_calc="Include",AND(wld_principal_storage_chosen&lt;&gt;"vSAN-ESA",wld_principal_storage_chosen&lt;&gt;"vSAN-OSA",wld_principal_storage_chosen&lt;&gt;"vSAN Compute Cluster")),"Excluded",
IF(vcf_version_chosen="No Version Selected","Excluded","Included")))))</f>
        <v>Excluded</v>
      </c>
      <c r="E14" s="337"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IF(AND(wld_multirack_calc="Include",AND(wld_principal_storage_chosen&lt;&gt;"vSAN-ESA",wld_principal_storage_chosen&lt;&gt;"vSAN-OSA",wld_principal_storage_chosen&lt;&gt;"vSAN Compute Cluster")),"Cause: Multi Rack Configuration is only supported with vSAN as Principal Storage or with vSAN Compute Clusters",
IF(wld_principal_storage_chosen="vSAN-ESA","Principal Storage will be vSAN-ESA based.",
IF(wld_principal_storage_chosen="vSAN-OSA","Principal Storage will be vSAN-OSA based. This can be used as a HCI Mesh vSAN Server Cluster",
IF(wld_principal_storage_chosen="vSAN Storage Cluster","Cluster will be created a vSAN Storage Cluster.",
IF(wld_principal_storage_chosen="NFSv3","Principal Storage will be NFS based",
IF(wld_principal_storage_chosen="VMFS on Fibre Channel (FC)","Principal Storage will be VMFS on FC based",""))))))))))</f>
        <v>Cause: Standard VI Workload Domain Required</v>
      </c>
    </row>
    <row r="15" spans="1:10" ht="20.05" customHeight="1" x14ac:dyDescent="0.35">
      <c r="B15" s="79" t="s">
        <v>249</v>
      </c>
      <c r="C15" s="362" t="s">
        <v>764</v>
      </c>
      <c r="D15" s="77" t="str">
        <f>IF((wld_domain_result="Excluded"),"Excluded",
IF(wld_domain_chosen="Import Workload Domain","Excluded","Included"))</f>
        <v>Excluded</v>
      </c>
      <c r="E15" s="112" t="str">
        <f>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IF(wld_az1_reuse_vcf_networkpool_chosen="Re-use an existing VCF Network Pool","The exsiting VCF Network Pool will be reused","A new VCF Network Pool will be created"))))</f>
        <v>Cause: Standard VI Workload Domain Required</v>
      </c>
    </row>
    <row r="16" spans="1:10" ht="20.05" customHeight="1" x14ac:dyDescent="0.35">
      <c r="B16" s="355" t="s">
        <v>13</v>
      </c>
      <c r="C16" s="362" t="str">
        <f>IF(wld_principal_storage_chosen="vSAN Storage Cluster","Prepare vSAN Storage Cluster with a vSAN Client Network","Prepare Workload Domain with a Secondary Storage Network")</f>
        <v>Prepare Workload Domain with a Secondary Storage Network</v>
      </c>
      <c r="D16" s="112" t="str">
        <f>IF(mgmt_domain_deployment_type_chosen="VMware vSphere Foundation","Excluded",
IF(wld_domain_result="Excluded","Excluded",
IF(OR(AND(wld_principal_storage_chosen="NFSv3",wld_secondary_storage_chosen="Secondary NFS Storage Network"),AND(wld_principal_storage_chosen="vVOLS on NFS",wld_secondary_storage_chosen="Secondary NFS Storage Network")),"Excluded",
IF(AND(wld_secondary_storage_chosen="Secondary NFS Storage Network",wld_principal_storage_chosen="vSAN Storage Cluster"),"Excluded",
IF(AND(wld_secondary_storage_chosen="vSAN Storage Client Network",wld_principal_storage_chosen&lt;&gt;"vSAN Storage Cluster"),"Excluded",
IF(wld_secondary_storage_chosen="Exclude","Excluded","Included"))))))</f>
        <v>Excluded</v>
      </c>
      <c r="E16" s="112"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Required",IF(wld_domain_chosen="Import Workload Domain","Feature not supported for Imported Workload Domains",
IF(AND(vcf_granular_option_chosen&lt;&gt;"Deploy a new VCF fleet",vcf_granular_option_chosen&lt;&gt;"Deploy a VCF Instance in an existing VCF fleet",vcf_granular_option_chosen&lt;&gt;"Create VI Workload Domain"),"Option Not Required for current deployment type",
IF(wld_secondary_storage_chosen="Exclude","Cause: Not Selected. Workload Domain will not be prepared with Secondary Storage Network",
IF(wld_domain_result="Excluded","Cause: Standard VI Workload Domain Required",
IF(AND(wld_principal_storage_chosen="NFSv3",wld_secondary_storage_chosen="Secondary NFS Storage Network"),"Secondary Storage NFS configuration not required as Principal Storage is NFS based",
IF(AND(wld_secondary_storage_chosen="Secondary NFS Storage Network",wld_principal_storage_chosen="vSAN Storage Cluster"),"Secondary Storage NFS configuration not required as Principal Storage is vSAN Storage Cluster",
IF(AND(wld_secondary_storage_chosen="vSAN Storage Client Network",wld_principal_storage_chosen&lt;&gt;"vSAN Storage Cluster"),"vSAN Storage Client Network is only supported with vSAN Storage Clusters",CONCATENATE("Workload Domain will be prepared with a ",wld_secondary_storage_chosen))))))))))</f>
        <v>Cause: Standard VI Workload Domain Required</v>
      </c>
    </row>
    <row r="17" spans="2:7" ht="20.05" customHeight="1" x14ac:dyDescent="0.35">
      <c r="B17" s="146" t="s">
        <v>13</v>
      </c>
      <c r="C17" s="362" t="s">
        <v>765</v>
      </c>
      <c r="D17" s="112" t="str">
        <f>IF(wld_domain_result="Excluded","Excluded",
IF(mgmt_domain_deployment_type_chosen="VMware vSphere Foundation","Excluded",IF(wld_esxi_external_certs_chosen="Include","Included","Excluded")))</f>
        <v>Excluded</v>
      </c>
      <c r="E17" s="112"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IF(wld_esxi_external_certs_chosen="Exclude","Cause: Not Selected. Workload domain will be deployed using hosts with VMCA-signed certificates",
IF(wld_esxi_external_certs_chosen="Include","Note: Ensure Management Domain is deployed using ESXi hosts with External Certificates",IF(wld_domain_result="Excluded","Cause: Standard Workload Domain Required")))))))</f>
        <v>Cause: Standard VI Workload Domain Required</v>
      </c>
    </row>
    <row r="18" spans="2:7" ht="20.05" customHeight="1" x14ac:dyDescent="0.35">
      <c r="B18" s="355" t="s">
        <v>13</v>
      </c>
      <c r="C18" s="362" t="s">
        <v>766</v>
      </c>
      <c r="D18" s="112" t="str">
        <f>IF(mgmt_domain_deployment_type_chosen="VMware vSphere Foundation","Excluded",
IF(wld_domain_result="Excluded","Excluded",
IF(wld_stretched_cluster_chosen="Include","Excluded",
IF(wld_iaas_chosen="Include","Included","Excluded"))))</f>
        <v>Excluded</v>
      </c>
      <c r="E18" s="112"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IF(AND(wld_iaas_chosen="Include",wld_stretched_cluster_chosen="Include"),"Cause: vSphere Supervisor should be enabled after the you completed the stretched cluster configuration",
IF(wld_iaas_chosen="Exclude","Cause: Not Selected. vSphere Supervisor Cluster will not be abled during Workload Domain Deployment","Only Single Management Zone vSphere Supervisor with NSX VPC Networking can be deployed during WLD Creation"))))))</f>
        <v>Cause: Standard VI Workload Domain Required</v>
      </c>
      <c r="G18" s="27"/>
    </row>
    <row r="19" spans="2:7" ht="16" customHeight="1" x14ac:dyDescent="0.35">
      <c r="G19" s="27"/>
    </row>
    <row r="20" spans="2:7" ht="34" customHeight="1" x14ac:dyDescent="0.35">
      <c r="B20" s="407" t="s">
        <v>767</v>
      </c>
      <c r="C20" s="408"/>
      <c r="D20" s="408"/>
      <c r="E20" s="409"/>
      <c r="G20" s="27"/>
    </row>
    <row r="21" spans="2:7" ht="20.05" customHeight="1" x14ac:dyDescent="0.35">
      <c r="B21" s="496" t="s">
        <v>768</v>
      </c>
      <c r="C21" s="497"/>
      <c r="D21" s="497"/>
      <c r="E21" s="498"/>
      <c r="G21" s="27"/>
    </row>
    <row r="22" spans="2:7" ht="20.05" customHeight="1" x14ac:dyDescent="0.35">
      <c r="B22" s="346" t="s">
        <v>17</v>
      </c>
      <c r="C22" s="346" t="s">
        <v>18</v>
      </c>
      <c r="D22" s="346" t="s">
        <v>19</v>
      </c>
      <c r="E22" s="346" t="s">
        <v>20</v>
      </c>
      <c r="G22" s="27"/>
    </row>
    <row r="23" spans="2:7" ht="20.05" customHeight="1" x14ac:dyDescent="0.35">
      <c r="B23" s="4" t="s">
        <v>769</v>
      </c>
      <c r="C23" s="89" t="str">
        <f>CONCATENATE(this_instance,"-w0",wld_domain_number_chosen)</f>
        <v>sfo-w01</v>
      </c>
      <c r="D23" s="347"/>
      <c r="E23" s="25" t="str">
        <f>IF(wld_domain_chosen="Import Workload Domain","Use this section for Import Workload Domain","")</f>
        <v/>
      </c>
      <c r="G23" s="27"/>
    </row>
    <row r="24" spans="2:7" ht="16" customHeight="1" x14ac:dyDescent="0.35">
      <c r="G24" s="27"/>
    </row>
    <row r="25" spans="2:7" ht="34" customHeight="1" x14ac:dyDescent="0.35">
      <c r="B25" s="509" t="s">
        <v>770</v>
      </c>
      <c r="C25" s="510"/>
      <c r="D25" s="510"/>
      <c r="E25" s="511"/>
      <c r="G25" s="27"/>
    </row>
    <row r="26" spans="2:7" ht="20.05" customHeight="1" x14ac:dyDescent="0.35">
      <c r="B26" s="496" t="s">
        <v>768</v>
      </c>
      <c r="C26" s="497"/>
      <c r="D26" s="497"/>
      <c r="E26" s="498"/>
      <c r="G26" s="27"/>
    </row>
    <row r="27" spans="2:7" ht="20.05" customHeight="1" x14ac:dyDescent="0.35">
      <c r="B27" s="346" t="s">
        <v>17</v>
      </c>
      <c r="C27" s="346" t="s">
        <v>18</v>
      </c>
      <c r="D27" s="346" t="s">
        <v>19</v>
      </c>
      <c r="E27" s="346" t="s">
        <v>20</v>
      </c>
      <c r="G27" s="27"/>
    </row>
    <row r="28" spans="2:7" ht="20.05" customHeight="1" x14ac:dyDescent="0.35">
      <c r="B28" s="4" t="s">
        <v>771</v>
      </c>
      <c r="C28" s="89" t="s">
        <v>772</v>
      </c>
      <c r="D28" s="347" t="s">
        <v>772</v>
      </c>
      <c r="E28" s="32"/>
      <c r="G28" s="27"/>
    </row>
    <row r="29" spans="2:7" ht="20.05" customHeight="1" x14ac:dyDescent="0.35">
      <c r="B29" s="4" t="s">
        <v>773</v>
      </c>
      <c r="C29" s="89" t="str">
        <f>CONCATENATE(this_instance,"-w0",wld_domain_number_chosen,"-vc01",".",sample_child_dns_zone)</f>
        <v>sfo-w01-vc01.sfo.rainpole.io</v>
      </c>
      <c r="D29" s="347"/>
      <c r="E29" s="32"/>
      <c r="G29" s="27"/>
    </row>
    <row r="30" spans="2:7" ht="20.05" customHeight="1" x14ac:dyDescent="0.35">
      <c r="B30" s="4" t="s">
        <v>774</v>
      </c>
      <c r="C30" s="89" t="s">
        <v>141</v>
      </c>
      <c r="D30" s="347"/>
      <c r="E30" s="147"/>
      <c r="G30" s="27"/>
    </row>
    <row r="31" spans="2:7" ht="20.05" customHeight="1" x14ac:dyDescent="0.35">
      <c r="B31" s="4" t="s">
        <v>775</v>
      </c>
      <c r="C31" s="89" t="str">
        <f>CONCATENATE("administrator@",this_instance,"-w0",wld_domain_number_chosen,".local")</f>
        <v>administrator@sfo-w01.local</v>
      </c>
      <c r="D31" s="347"/>
      <c r="E31" s="147"/>
      <c r="G31" s="27"/>
    </row>
    <row r="32" spans="2:7" ht="20.05" customHeight="1" x14ac:dyDescent="0.35">
      <c r="B32" s="4" t="s">
        <v>776</v>
      </c>
      <c r="C32" s="89" t="s">
        <v>141</v>
      </c>
      <c r="D32" s="347"/>
      <c r="E32" s="147"/>
      <c r="G32" s="27"/>
    </row>
    <row r="33" spans="2:7" ht="20.05" customHeight="1" x14ac:dyDescent="0.35">
      <c r="B33" s="4" t="s">
        <v>777</v>
      </c>
      <c r="C33" s="89" t="s">
        <v>159</v>
      </c>
      <c r="D33" s="347" t="s">
        <v>159</v>
      </c>
      <c r="E33" s="147"/>
      <c r="G33" s="27"/>
    </row>
    <row r="34" spans="2:7" ht="16" customHeight="1" x14ac:dyDescent="0.35"/>
    <row r="35" spans="2:7" ht="34" customHeight="1" x14ac:dyDescent="0.35">
      <c r="B35" s="509" t="s">
        <v>778</v>
      </c>
      <c r="C35" s="510"/>
      <c r="D35" s="510"/>
      <c r="E35" s="511"/>
    </row>
    <row r="36" spans="2:7" ht="20.05" customHeight="1" x14ac:dyDescent="0.35">
      <c r="B36" s="496" t="s">
        <v>779</v>
      </c>
      <c r="C36" s="497"/>
      <c r="D36" s="497"/>
      <c r="E36" s="498"/>
    </row>
    <row r="37" spans="2:7" ht="20.05" customHeight="1" x14ac:dyDescent="0.35">
      <c r="B37" s="346" t="s">
        <v>17</v>
      </c>
      <c r="C37" s="346" t="s">
        <v>18</v>
      </c>
      <c r="D37" s="346" t="s">
        <v>19</v>
      </c>
      <c r="E37" s="346" t="s">
        <v>20</v>
      </c>
      <c r="G37" s="27"/>
    </row>
    <row r="38" spans="2:7" ht="20.05" customHeight="1" x14ac:dyDescent="0.35">
      <c r="B38" s="17" t="s">
        <v>780</v>
      </c>
      <c r="C38" s="362" t="s">
        <v>781</v>
      </c>
      <c r="D38" s="347" t="s">
        <v>781</v>
      </c>
      <c r="E38" s="32"/>
    </row>
    <row r="39" spans="2:7" ht="20.05" customHeight="1" x14ac:dyDescent="0.35">
      <c r="B39" s="17" t="s">
        <v>782</v>
      </c>
      <c r="C39" s="362" t="s">
        <v>783</v>
      </c>
      <c r="D39" s="347" t="s">
        <v>783</v>
      </c>
      <c r="E39" s="32"/>
    </row>
    <row r="40" spans="2:7" ht="20.05" customHeight="1" x14ac:dyDescent="0.35">
      <c r="B40" s="17" t="s">
        <v>784</v>
      </c>
      <c r="C40" s="362" t="s">
        <v>93</v>
      </c>
      <c r="D40" s="347" t="s">
        <v>93</v>
      </c>
      <c r="E40" s="32"/>
    </row>
    <row r="41" spans="2:7" ht="20.05" customHeight="1" x14ac:dyDescent="0.35">
      <c r="B41" s="17" t="s">
        <v>785</v>
      </c>
      <c r="C41" s="126" t="str">
        <f>CONCATENATE(this_instance,"-w0",wld_domain_number_chosen,"-nsx01a",".",sample_child_dns_zone)</f>
        <v>sfo-w01-nsx01a.sfo.rainpole.io</v>
      </c>
      <c r="D41" s="347"/>
      <c r="E41" s="337" t="s">
        <v>786</v>
      </c>
    </row>
    <row r="42" spans="2:7" ht="20.05" customHeight="1" x14ac:dyDescent="0.35">
      <c r="B42" s="17" t="s">
        <v>787</v>
      </c>
      <c r="C42" s="126" t="str">
        <f>CONCATENATE(this_instance,"-w0",wld_domain_number_chosen,"-nsx01b",".",sample_child_dns_zone)</f>
        <v>sfo-w01-nsx01b.sfo.rainpole.io</v>
      </c>
      <c r="D42" s="347"/>
      <c r="E42" s="337" t="s">
        <v>788</v>
      </c>
    </row>
    <row r="43" spans="2:7" ht="20.05" customHeight="1" x14ac:dyDescent="0.35">
      <c r="B43" s="17" t="s">
        <v>789</v>
      </c>
      <c r="C43" s="126" t="str">
        <f>CONCATENATE(this_instance,"-w0",wld_domain_number_chosen,"-nsx01c",".",sample_child_dns_zone)</f>
        <v>sfo-w01-nsx01c.sfo.rainpole.io</v>
      </c>
      <c r="D43" s="347"/>
      <c r="E43" s="337" t="s">
        <v>790</v>
      </c>
    </row>
    <row r="44" spans="2:7" ht="20.05" customHeight="1" x14ac:dyDescent="0.35">
      <c r="B44" s="17" t="s">
        <v>791</v>
      </c>
      <c r="C44" s="126" t="str">
        <f>CONCATENATE(this_instance,"-w0",wld_domain_number_chosen,"-nsx01",".",sample_child_dns_zone)</f>
        <v>sfo-w01-nsx01.sfo.rainpole.io</v>
      </c>
      <c r="D44" s="347"/>
      <c r="E44" s="337" t="s">
        <v>792</v>
      </c>
      <c r="G44" s="27"/>
    </row>
    <row r="45" spans="2:7" ht="20.05" customHeight="1" x14ac:dyDescent="0.35">
      <c r="B45" s="4" t="s">
        <v>793</v>
      </c>
      <c r="C45" s="89" t="s">
        <v>159</v>
      </c>
      <c r="D45" s="347" t="s">
        <v>159</v>
      </c>
      <c r="E45" s="337" t="s">
        <v>794</v>
      </c>
    </row>
    <row r="46" spans="2:7" ht="20.05" customHeight="1" x14ac:dyDescent="0.35">
      <c r="B46" s="17" t="s">
        <v>795</v>
      </c>
      <c r="C46" s="362" t="s">
        <v>159</v>
      </c>
      <c r="D46" s="347" t="s">
        <v>159</v>
      </c>
      <c r="E46" s="337" t="s">
        <v>796</v>
      </c>
    </row>
    <row r="47" spans="2:7" ht="20.05" customHeight="1" x14ac:dyDescent="0.35">
      <c r="B47" s="17" t="s">
        <v>797</v>
      </c>
      <c r="C47" s="362" t="s">
        <v>145</v>
      </c>
      <c r="D47" s="347" t="s">
        <v>145</v>
      </c>
      <c r="E47" s="337"/>
    </row>
    <row r="48" spans="2:7" ht="20.05" customHeight="1" x14ac:dyDescent="0.35">
      <c r="B48" s="4" t="s">
        <v>798</v>
      </c>
      <c r="C48" s="89" t="s">
        <v>141</v>
      </c>
      <c r="D48" s="347"/>
      <c r="E48" s="337" t="s">
        <v>200</v>
      </c>
    </row>
    <row r="49" spans="2:7" ht="20.05" customHeight="1" x14ac:dyDescent="0.35">
      <c r="B49" s="4" t="s">
        <v>799</v>
      </c>
      <c r="C49" s="89" t="s">
        <v>141</v>
      </c>
      <c r="D49" s="347"/>
      <c r="E49" s="337" t="s">
        <v>200</v>
      </c>
    </row>
    <row r="50" spans="2:7" ht="20.05" customHeight="1" x14ac:dyDescent="0.35">
      <c r="B50" s="4" t="s">
        <v>800</v>
      </c>
      <c r="C50" s="89" t="s">
        <v>141</v>
      </c>
      <c r="D50" s="347"/>
      <c r="E50" s="337" t="s">
        <v>200</v>
      </c>
      <c r="G50" s="27"/>
    </row>
    <row r="51" spans="2:7" ht="16" customHeight="1" x14ac:dyDescent="0.35">
      <c r="G51" s="27"/>
    </row>
    <row r="52" spans="2:7" ht="34" customHeight="1" x14ac:dyDescent="0.35">
      <c r="B52" s="558" t="s">
        <v>801</v>
      </c>
      <c r="C52" s="559"/>
      <c r="D52" s="559"/>
      <c r="E52" s="560"/>
      <c r="G52" s="27"/>
    </row>
    <row r="53" spans="2:7" ht="20.05" customHeight="1" x14ac:dyDescent="0.35"/>
    <row r="54" spans="2:7" ht="36" customHeight="1" x14ac:dyDescent="0.35">
      <c r="B54" s="509" t="s">
        <v>802</v>
      </c>
      <c r="C54" s="510"/>
      <c r="D54" s="510"/>
      <c r="E54" s="511"/>
    </row>
    <row r="55" spans="2:7" ht="20.05" customHeight="1" x14ac:dyDescent="0.35">
      <c r="B55" s="496"/>
      <c r="C55" s="497"/>
      <c r="D55" s="497"/>
      <c r="E55" s="498"/>
    </row>
    <row r="56" spans="2:7" ht="20.05" customHeight="1" x14ac:dyDescent="0.35">
      <c r="B56" s="346" t="s">
        <v>17</v>
      </c>
      <c r="C56" s="346" t="s">
        <v>18</v>
      </c>
      <c r="D56" s="346" t="s">
        <v>19</v>
      </c>
      <c r="E56" s="346" t="s">
        <v>20</v>
      </c>
    </row>
    <row r="57" spans="2:7" ht="20.05" customHeight="1" x14ac:dyDescent="0.35">
      <c r="B57" s="496" t="s">
        <v>213</v>
      </c>
      <c r="C57" s="497"/>
      <c r="D57" s="497"/>
      <c r="E57" s="498"/>
    </row>
    <row r="58" spans="2:7" ht="20.05" customHeight="1" x14ac:dyDescent="0.35">
      <c r="B58" s="4" t="s">
        <v>85</v>
      </c>
      <c r="C58" s="80" t="str">
        <f>CONCATENATE(prefix_wld_az1_vlan,"11")</f>
        <v>1311</v>
      </c>
      <c r="D58" s="347"/>
      <c r="E58" s="93"/>
    </row>
    <row r="59" spans="2:7" ht="20.05" customHeight="1" x14ac:dyDescent="0.35">
      <c r="B59" s="4" t="s">
        <v>187</v>
      </c>
      <c r="C59" s="80" t="str">
        <f>CONCATENATE(prefix_wld_az1_cidr,"11.1")</f>
        <v>10.13.11.1</v>
      </c>
      <c r="D59" s="347"/>
      <c r="E59" s="32"/>
    </row>
    <row r="60" spans="2:7" ht="20.05" customHeight="1" x14ac:dyDescent="0.35">
      <c r="B60" s="4" t="s">
        <v>188</v>
      </c>
      <c r="C60" s="80" t="str">
        <f>CONCATENATE(prefix_wld_az1_cidr,"11.0/24")</f>
        <v>10.13.11.0/24</v>
      </c>
      <c r="D60" s="347"/>
      <c r="E60" s="32"/>
    </row>
    <row r="61" spans="2:7" ht="20.05" customHeight="1" x14ac:dyDescent="0.35">
      <c r="B61" s="4" t="s">
        <v>160</v>
      </c>
      <c r="C61" s="80">
        <v>1500</v>
      </c>
      <c r="D61" s="347"/>
      <c r="E61" s="32"/>
    </row>
    <row r="62" spans="2:7" ht="20.05" customHeight="1" x14ac:dyDescent="0.35">
      <c r="B62" s="512" t="s">
        <v>214</v>
      </c>
      <c r="C62" s="513"/>
      <c r="D62" s="513"/>
      <c r="E62" s="514"/>
    </row>
    <row r="63" spans="2:7" ht="20.05" customHeight="1" x14ac:dyDescent="0.35">
      <c r="B63" s="17" t="s">
        <v>215</v>
      </c>
      <c r="C63" s="89" t="str">
        <f>CONCATENATE(prefix_wld_az1_cidr,"11.101")</f>
        <v>10.13.11.101</v>
      </c>
      <c r="D63" s="347"/>
      <c r="E63" s="132" t="s">
        <v>216</v>
      </c>
    </row>
    <row r="64" spans="2:7" ht="20.05" customHeight="1" x14ac:dyDescent="0.35">
      <c r="B64" s="17" t="s">
        <v>217</v>
      </c>
      <c r="C64" s="89" t="str">
        <f>CONCATENATE(prefix_wld_az1_cidr,"11.102")</f>
        <v>10.13.11.102</v>
      </c>
      <c r="D64" s="347"/>
      <c r="E64" s="132" t="s">
        <v>218</v>
      </c>
    </row>
    <row r="65" spans="2:7" ht="20.05" customHeight="1" x14ac:dyDescent="0.35">
      <c r="B65" s="17" t="s">
        <v>219</v>
      </c>
      <c r="C65" s="89" t="str">
        <f>CONCATENATE(prefix_wld_az1_cidr,"11.103")</f>
        <v>10.13.11.103</v>
      </c>
      <c r="D65" s="347"/>
      <c r="E65" s="132" t="s">
        <v>803</v>
      </c>
    </row>
    <row r="66" spans="2:7" ht="20.05" customHeight="1" x14ac:dyDescent="0.35">
      <c r="B66" s="17" t="s">
        <v>221</v>
      </c>
      <c r="C66" s="89" t="str">
        <f>CONCATENATE(prefix_wld_az1_cidr,"11.104")</f>
        <v>10.13.11.104</v>
      </c>
      <c r="D66" s="347"/>
      <c r="E66" s="132" t="s">
        <v>222</v>
      </c>
    </row>
    <row r="67" spans="2:7" ht="20.05" customHeight="1" x14ac:dyDescent="0.35">
      <c r="B67" s="17" t="s">
        <v>223</v>
      </c>
      <c r="C67" s="89" t="str">
        <f>CONCATENATE(prefix_wld_az1_cidr,"11.105")</f>
        <v>10.13.11.105</v>
      </c>
      <c r="D67" s="347"/>
      <c r="E67" s="132" t="s">
        <v>224</v>
      </c>
    </row>
    <row r="68" spans="2:7" ht="20.05" customHeight="1" x14ac:dyDescent="0.35">
      <c r="B68" s="17" t="s">
        <v>225</v>
      </c>
      <c r="C68" s="89" t="str">
        <f>CONCATENATE(prefix_wld_az1_cidr,"11.106")</f>
        <v>10.13.11.106</v>
      </c>
      <c r="D68" s="347"/>
      <c r="E68" s="132" t="s">
        <v>226</v>
      </c>
    </row>
    <row r="69" spans="2:7" ht="20.05" customHeight="1" x14ac:dyDescent="0.35">
      <c r="B69" s="17" t="s">
        <v>227</v>
      </c>
      <c r="C69" s="89" t="str">
        <f>CONCATENATE(prefix_wld_az1_cidr,"11.107")</f>
        <v>10.13.11.107</v>
      </c>
      <c r="D69" s="347"/>
      <c r="E69" s="132" t="s">
        <v>228</v>
      </c>
    </row>
    <row r="70" spans="2:7" ht="20.05" customHeight="1" x14ac:dyDescent="0.35">
      <c r="B70" s="17" t="s">
        <v>229</v>
      </c>
      <c r="C70" s="89" t="str">
        <f>CONCATENATE(prefix_wld_az1_cidr,"11.108")</f>
        <v>10.13.11.108</v>
      </c>
      <c r="D70" s="347"/>
      <c r="E70" s="132" t="s">
        <v>230</v>
      </c>
    </row>
    <row r="71" spans="2:7" ht="20.05" customHeight="1" x14ac:dyDescent="0.35">
      <c r="B71" s="17" t="s">
        <v>231</v>
      </c>
      <c r="C71" s="89" t="str">
        <f>CONCATENATE(prefix_wld_az1_cidr,"11.109")</f>
        <v>10.13.11.109</v>
      </c>
      <c r="D71" s="347"/>
      <c r="E71" s="132" t="s">
        <v>232</v>
      </c>
    </row>
    <row r="72" spans="2:7" ht="20.05" customHeight="1" x14ac:dyDescent="0.35">
      <c r="B72" s="17" t="s">
        <v>233</v>
      </c>
      <c r="C72" s="89" t="str">
        <f>CONCATENATE(prefix_wld_az1_cidr,"11.110")</f>
        <v>10.13.11.110</v>
      </c>
      <c r="D72" s="347"/>
      <c r="E72" s="132" t="s">
        <v>234</v>
      </c>
    </row>
    <row r="73" spans="2:7" ht="20.05" customHeight="1" x14ac:dyDescent="0.35">
      <c r="B73" s="17" t="s">
        <v>235</v>
      </c>
      <c r="C73" s="89" t="str">
        <f>CONCATENATE(prefix_wld_az1_cidr,"11.111")</f>
        <v>10.13.11.111</v>
      </c>
      <c r="D73" s="347"/>
      <c r="E73" s="132" t="s">
        <v>236</v>
      </c>
    </row>
    <row r="74" spans="2:7" ht="20.05" customHeight="1" x14ac:dyDescent="0.35">
      <c r="B74" s="17" t="s">
        <v>237</v>
      </c>
      <c r="C74" s="89" t="str">
        <f>CONCATENATE(prefix_wld_az1_cidr,"11.112")</f>
        <v>10.13.11.112</v>
      </c>
      <c r="D74" s="347"/>
      <c r="E74" s="132" t="s">
        <v>238</v>
      </c>
    </row>
    <row r="75" spans="2:7" ht="20.05" customHeight="1" x14ac:dyDescent="0.35">
      <c r="B75" s="17" t="s">
        <v>239</v>
      </c>
      <c r="C75" s="89" t="str">
        <f>CONCATENATE(prefix_wld_az1_cidr,"11.113")</f>
        <v>10.13.11.113</v>
      </c>
      <c r="D75" s="347"/>
      <c r="E75" s="132" t="s">
        <v>240</v>
      </c>
    </row>
    <row r="76" spans="2:7" ht="20.05" customHeight="1" x14ac:dyDescent="0.35">
      <c r="B76" s="17" t="s">
        <v>241</v>
      </c>
      <c r="C76" s="89" t="str">
        <f>CONCATENATE(prefix_wld_az1_cidr,"11.114")</f>
        <v>10.13.11.114</v>
      </c>
      <c r="D76" s="347"/>
      <c r="E76" s="132" t="s">
        <v>242</v>
      </c>
    </row>
    <row r="77" spans="2:7" ht="20.05" customHeight="1" x14ac:dyDescent="0.35">
      <c r="B77" s="17" t="s">
        <v>243</v>
      </c>
      <c r="C77" s="89" t="str">
        <f>CONCATENATE(prefix_wld_az1_cidr,"11.115")</f>
        <v>10.13.11.115</v>
      </c>
      <c r="D77" s="347"/>
      <c r="E77" s="132" t="s">
        <v>244</v>
      </c>
    </row>
    <row r="78" spans="2:7" ht="20.05" customHeight="1" x14ac:dyDescent="0.35">
      <c r="B78" s="17" t="s">
        <v>245</v>
      </c>
      <c r="C78" s="89" t="str">
        <f>CONCATENATE(prefix_wld_az1_cidr,"11.116")</f>
        <v>10.13.11.116</v>
      </c>
      <c r="D78" s="347"/>
      <c r="E78" s="132" t="s">
        <v>246</v>
      </c>
      <c r="G78" s="27"/>
    </row>
    <row r="79" spans="2:7" ht="16" customHeight="1" x14ac:dyDescent="0.35"/>
    <row r="80" spans="2:7" ht="34" customHeight="1" x14ac:dyDescent="0.35">
      <c r="B80" s="509" t="s">
        <v>804</v>
      </c>
      <c r="C80" s="510"/>
      <c r="D80" s="510"/>
      <c r="E80" s="511"/>
    </row>
    <row r="81" spans="2:5" ht="20.05" customHeight="1" x14ac:dyDescent="0.35">
      <c r="B81" s="496"/>
      <c r="C81" s="497"/>
      <c r="D81" s="497"/>
      <c r="E81" s="498"/>
    </row>
    <row r="82" spans="2:5" ht="20.05" customHeight="1" x14ac:dyDescent="0.35">
      <c r="B82" s="346" t="s">
        <v>17</v>
      </c>
      <c r="C82" s="346" t="s">
        <v>18</v>
      </c>
      <c r="D82" s="346" t="s">
        <v>19</v>
      </c>
      <c r="E82" s="346" t="s">
        <v>20</v>
      </c>
    </row>
    <row r="83" spans="2:5" ht="20.05" customHeight="1" x14ac:dyDescent="0.35">
      <c r="B83" s="17" t="s">
        <v>250</v>
      </c>
      <c r="C83" s="80" t="str">
        <f>CONCATENATE(this_instance,"01-w0",wld_domain_number_chosen,"-r01-network-pool-01")</f>
        <v>sfo01-w01-r01-network-pool-01</v>
      </c>
      <c r="D83" s="347"/>
      <c r="E83" s="32"/>
    </row>
    <row r="84" spans="2:5" ht="20.05" customHeight="1" x14ac:dyDescent="0.35">
      <c r="B84" s="496" t="s">
        <v>251</v>
      </c>
      <c r="C84" s="497"/>
      <c r="D84" s="497"/>
      <c r="E84" s="498"/>
    </row>
    <row r="85" spans="2:5" ht="20.05" customHeight="1" x14ac:dyDescent="0.35">
      <c r="B85" s="4" t="s">
        <v>85</v>
      </c>
      <c r="C85" s="80" t="str">
        <f>CONCATENATE(prefix_wld_az1_vlan,"12")</f>
        <v>1312</v>
      </c>
      <c r="D85" s="347"/>
      <c r="E85" s="93"/>
    </row>
    <row r="86" spans="2:5" ht="20.05" customHeight="1" x14ac:dyDescent="0.35">
      <c r="B86" s="4" t="s">
        <v>160</v>
      </c>
      <c r="C86" s="80">
        <v>9000</v>
      </c>
      <c r="D86" s="347"/>
      <c r="E86" s="32"/>
    </row>
    <row r="87" spans="2:5" ht="20.05" customHeight="1" x14ac:dyDescent="0.35">
      <c r="B87" s="4" t="s">
        <v>188</v>
      </c>
      <c r="C87" s="80" t="str">
        <f>CONCATENATE(prefix_wld_az1_cidr,"12.0")</f>
        <v>10.13.12.0</v>
      </c>
      <c r="D87" s="347"/>
      <c r="E87" s="32"/>
    </row>
    <row r="88" spans="2:5" ht="20.05" customHeight="1" x14ac:dyDescent="0.35">
      <c r="B88" s="4" t="s">
        <v>285</v>
      </c>
      <c r="C88" s="80" t="s">
        <v>128</v>
      </c>
      <c r="D88" s="347"/>
      <c r="E88" s="32"/>
    </row>
    <row r="89" spans="2:5" ht="20.05" customHeight="1" x14ac:dyDescent="0.35">
      <c r="B89" s="4" t="s">
        <v>187</v>
      </c>
      <c r="C89" s="80" t="str">
        <f>CONCATENATE(prefix_wld_az1_cidr,"12.1")</f>
        <v>10.13.12.1</v>
      </c>
      <c r="D89" s="347"/>
      <c r="E89" s="32"/>
    </row>
    <row r="90" spans="2:5" ht="20.05" customHeight="1" x14ac:dyDescent="0.35">
      <c r="B90" s="17" t="s">
        <v>255</v>
      </c>
      <c r="C90" s="80" t="str">
        <f>CONCATENATE(prefix_wld_az1_cidr,"12.101")</f>
        <v>10.13.12.101</v>
      </c>
      <c r="D90" s="347"/>
      <c r="E90" s="32"/>
    </row>
    <row r="91" spans="2:5" ht="20.05" customHeight="1" x14ac:dyDescent="0.35">
      <c r="B91" s="17" t="s">
        <v>256</v>
      </c>
      <c r="C91" s="80" t="str">
        <f>CONCATENATE(prefix_wld_az1_cidr,"12.116")</f>
        <v>10.13.12.116</v>
      </c>
      <c r="D91" s="347"/>
      <c r="E91" s="32"/>
    </row>
    <row r="92" spans="2:5" ht="20.05" customHeight="1" x14ac:dyDescent="0.35">
      <c r="B92" s="496" t="str">
        <f>IF(wld_principal_storage_chosen="NFSv3","NFS Network","vSAN Network")</f>
        <v>vSAN Network</v>
      </c>
      <c r="C92" s="497"/>
      <c r="D92" s="497"/>
      <c r="E92" s="498"/>
    </row>
    <row r="93" spans="2:5" ht="20.05" customHeight="1" x14ac:dyDescent="0.35">
      <c r="B93" s="4" t="s">
        <v>85</v>
      </c>
      <c r="C93" s="80" t="str">
        <f>CONCATENATE(prefix_wld_az1_vlan,"13")</f>
        <v>1313</v>
      </c>
      <c r="D93" s="148"/>
      <c r="E93" s="32"/>
    </row>
    <row r="94" spans="2:5" ht="20.05" customHeight="1" x14ac:dyDescent="0.35">
      <c r="B94" s="4" t="s">
        <v>160</v>
      </c>
      <c r="C94" s="80">
        <v>9000</v>
      </c>
      <c r="D94" s="347"/>
      <c r="E94" s="32"/>
    </row>
    <row r="95" spans="2:5" ht="20.05" customHeight="1" x14ac:dyDescent="0.35">
      <c r="B95" s="4" t="s">
        <v>188</v>
      </c>
      <c r="C95" s="80" t="str">
        <f>CONCATENATE(prefix_wld_az1_cidr,"13.0")</f>
        <v>10.13.13.0</v>
      </c>
      <c r="D95" s="347"/>
      <c r="E95" s="56"/>
    </row>
    <row r="96" spans="2:5" ht="20.05" customHeight="1" x14ac:dyDescent="0.35">
      <c r="B96" s="4" t="s">
        <v>285</v>
      </c>
      <c r="C96" s="80" t="s">
        <v>128</v>
      </c>
      <c r="D96" s="347"/>
      <c r="E96" s="32"/>
    </row>
    <row r="97" spans="2:5" ht="20.05" customHeight="1" x14ac:dyDescent="0.35">
      <c r="B97" s="4" t="s">
        <v>187</v>
      </c>
      <c r="C97" s="80" t="str">
        <f>CONCATENATE(prefix_wld_az1_cidr,"13.1")</f>
        <v>10.13.13.1</v>
      </c>
      <c r="D97" s="347"/>
      <c r="E97" s="32" t="str">
        <f>IF(AND(mgmt_stretched_cluster_result="Included",mgmt_dpg_reuse_result="Excluded"),"Stretched L2","")</f>
        <v/>
      </c>
    </row>
    <row r="98" spans="2:5" ht="20.05" customHeight="1" x14ac:dyDescent="0.35">
      <c r="B98" s="17" t="s">
        <v>255</v>
      </c>
      <c r="C98" s="80" t="str">
        <f>CONCATENATE(prefix_wld_az1_cidr,"13.101")</f>
        <v>10.13.13.101</v>
      </c>
      <c r="D98" s="347"/>
      <c r="E98" s="56"/>
    </row>
    <row r="99" spans="2:5" ht="20.05" customHeight="1" x14ac:dyDescent="0.35">
      <c r="B99" s="17" t="s">
        <v>256</v>
      </c>
      <c r="C99" s="80" t="str">
        <f>CONCATENATE(prefix_wld_az1_cidr,"13.116")</f>
        <v>10.13.13.116</v>
      </c>
      <c r="D99" s="347"/>
      <c r="E99" s="56"/>
    </row>
    <row r="100" spans="2:5" ht="20.05" customHeight="1" x14ac:dyDescent="0.35">
      <c r="B100" s="496" t="str">
        <f>IF(wld_secondary_storage_chosen="Secondary NFS Storage Network","NFS Storage Network","vSAN Storage Client")</f>
        <v>vSAN Storage Client</v>
      </c>
      <c r="C100" s="497"/>
      <c r="D100" s="497"/>
      <c r="E100" s="498"/>
    </row>
    <row r="101" spans="2:5" ht="20.05" customHeight="1" x14ac:dyDescent="0.35">
      <c r="B101" s="4" t="s">
        <v>85</v>
      </c>
      <c r="C101" s="80" t="str">
        <f>CONCATENATE(prefix_wld_az1_vlan,"15")</f>
        <v>1315</v>
      </c>
      <c r="D101" s="347"/>
      <c r="E101" s="32"/>
    </row>
    <row r="102" spans="2:5" ht="20.05" customHeight="1" x14ac:dyDescent="0.35">
      <c r="B102" s="4" t="s">
        <v>160</v>
      </c>
      <c r="C102" s="80">
        <v>9000</v>
      </c>
      <c r="D102" s="347"/>
      <c r="E102" s="56"/>
    </row>
    <row r="103" spans="2:5" ht="20.05" customHeight="1" x14ac:dyDescent="0.35">
      <c r="B103" s="4" t="s">
        <v>188</v>
      </c>
      <c r="C103" s="80" t="str">
        <f>CONCATENATE(prefix_wld_az1_cidr,"15.0")</f>
        <v>10.13.15.0</v>
      </c>
      <c r="D103" s="347"/>
      <c r="E103" s="32"/>
    </row>
    <row r="104" spans="2:5" ht="20.05" customHeight="1" x14ac:dyDescent="0.35">
      <c r="B104" s="4" t="s">
        <v>285</v>
      </c>
      <c r="C104" s="80" t="s">
        <v>128</v>
      </c>
      <c r="D104" s="347"/>
      <c r="E104" s="32"/>
    </row>
    <row r="105" spans="2:5" ht="20.05" customHeight="1" x14ac:dyDescent="0.35">
      <c r="B105" s="4" t="s">
        <v>187</v>
      </c>
      <c r="C105" s="80" t="str">
        <f>CONCATENATE(prefix_wld_az1_cidr,"15.1")</f>
        <v>10.13.15.1</v>
      </c>
      <c r="D105" s="347"/>
      <c r="E105" s="32" t="str">
        <f>IF(AND(mgmt_stretched_cluster_result="Included",mgmt_dpg_reuse_result="Excluded"),"Stretched L2","")</f>
        <v/>
      </c>
    </row>
    <row r="106" spans="2:5" ht="20.05" customHeight="1" x14ac:dyDescent="0.35">
      <c r="B106" s="17" t="s">
        <v>255</v>
      </c>
      <c r="C106" s="80" t="str">
        <f>CONCATENATE(prefix_wld_az1_cidr,"15.101")</f>
        <v>10.13.15.101</v>
      </c>
      <c r="D106" s="347"/>
      <c r="E106" s="56"/>
    </row>
    <row r="107" spans="2:5" ht="20.05" customHeight="1" x14ac:dyDescent="0.35">
      <c r="B107" s="17" t="s">
        <v>256</v>
      </c>
      <c r="C107" s="80" t="str">
        <f>CONCATENATE(prefix_wld_az1_cidr,"15.116")</f>
        <v>10.13.15.116</v>
      </c>
      <c r="D107" s="347"/>
      <c r="E107" s="56"/>
    </row>
    <row r="108" spans="2:5" ht="20.05" customHeight="1" x14ac:dyDescent="0.35">
      <c r="B108" s="496" t="s">
        <v>805</v>
      </c>
      <c r="C108" s="497"/>
      <c r="D108" s="497"/>
      <c r="E108" s="498"/>
    </row>
    <row r="109" spans="2:5" ht="20.05" customHeight="1" x14ac:dyDescent="0.35">
      <c r="B109" s="4" t="s">
        <v>85</v>
      </c>
      <c r="C109" s="80" t="str">
        <f>CONCATENATE(prefix_wld_az1_vlan,"16")</f>
        <v>1316</v>
      </c>
      <c r="D109" s="347"/>
      <c r="E109" s="32"/>
    </row>
    <row r="110" spans="2:5" ht="20.05" customHeight="1" x14ac:dyDescent="0.35">
      <c r="B110" s="4" t="s">
        <v>160</v>
      </c>
      <c r="C110" s="80">
        <v>9000</v>
      </c>
      <c r="D110" s="347"/>
      <c r="E110" s="56"/>
    </row>
    <row r="111" spans="2:5" ht="20.05" customHeight="1" x14ac:dyDescent="0.35">
      <c r="B111" s="4" t="s">
        <v>188</v>
      </c>
      <c r="C111" s="80" t="str">
        <f>CONCATENATE(prefix_wld_az1_cidr,"16.0")</f>
        <v>10.13.16.0</v>
      </c>
      <c r="D111" s="347"/>
      <c r="E111" s="32"/>
    </row>
    <row r="112" spans="2:5" ht="20.05" customHeight="1" x14ac:dyDescent="0.35">
      <c r="B112" s="4" t="s">
        <v>285</v>
      </c>
      <c r="C112" s="80" t="s">
        <v>128</v>
      </c>
      <c r="D112" s="347"/>
      <c r="E112" s="32"/>
    </row>
    <row r="113" spans="2:5" ht="20.05" customHeight="1" x14ac:dyDescent="0.35">
      <c r="B113" s="4" t="s">
        <v>187</v>
      </c>
      <c r="C113" s="80" t="str">
        <f>CONCATENATE(prefix_wld_az1_cidr,"16.1")</f>
        <v>10.13.16.1</v>
      </c>
      <c r="D113" s="347"/>
      <c r="E113" s="32" t="str">
        <f>IF(AND(mgmt_stretched_cluster_result="Included",mgmt_dpg_reuse_result="Excluded"),"Stretched L2","")</f>
        <v/>
      </c>
    </row>
    <row r="114" spans="2:5" ht="20.05" customHeight="1" x14ac:dyDescent="0.35">
      <c r="B114" s="17" t="s">
        <v>255</v>
      </c>
      <c r="C114" s="80" t="str">
        <f>CONCATENATE(prefix_wld_az1_cidr,"16.101")</f>
        <v>10.13.16.101</v>
      </c>
      <c r="D114" s="347"/>
      <c r="E114" s="56"/>
    </row>
    <row r="115" spans="2:5" ht="20.05" customHeight="1" x14ac:dyDescent="0.35">
      <c r="B115" s="17" t="s">
        <v>256</v>
      </c>
      <c r="C115" s="80" t="str">
        <f>CONCATENATE(prefix_wld_az1_cidr,"16.116")</f>
        <v>10.13.16.116</v>
      </c>
      <c r="D115" s="347"/>
      <c r="E115" s="56"/>
    </row>
    <row r="116" spans="2:5" ht="16" customHeight="1" x14ac:dyDescent="0.35"/>
    <row r="117" spans="2:5" ht="34" customHeight="1" x14ac:dyDescent="0.35">
      <c r="B117" s="509" t="s">
        <v>806</v>
      </c>
      <c r="C117" s="510"/>
      <c r="D117" s="510"/>
      <c r="E117" s="511"/>
    </row>
    <row r="118" spans="2:5" ht="20.05" customHeight="1" x14ac:dyDescent="0.35">
      <c r="B118" s="496"/>
      <c r="C118" s="497"/>
      <c r="D118" s="497"/>
      <c r="E118" s="498"/>
    </row>
    <row r="119" spans="2:5" ht="20.05" customHeight="1" x14ac:dyDescent="0.35">
      <c r="B119" s="346" t="s">
        <v>17</v>
      </c>
      <c r="C119" s="346" t="s">
        <v>18</v>
      </c>
      <c r="D119" s="346" t="s">
        <v>19</v>
      </c>
      <c r="E119" s="346" t="s">
        <v>20</v>
      </c>
    </row>
    <row r="120" spans="2:5" ht="20.05" customHeight="1" x14ac:dyDescent="0.35">
      <c r="B120" s="17" t="s">
        <v>215</v>
      </c>
      <c r="C120" s="89" t="str">
        <f>CONCATENATE(this_instance,"01-w0",wld_domain_number_chosen,"-r01-esx01",".",sample_child_dns_zone)</f>
        <v>sfo01-w01-r01-esx01.sfo.rainpole.io</v>
      </c>
      <c r="D120" s="347"/>
      <c r="E120" s="32"/>
    </row>
    <row r="121" spans="2:5" ht="20.05" customHeight="1" x14ac:dyDescent="0.35">
      <c r="B121" s="17" t="s">
        <v>217</v>
      </c>
      <c r="C121" s="149" t="str">
        <f>CONCATENATE(this_instance,"01-w0",wld_domain_number_chosen,"-r01-esx02",".",sample_child_dns_zone)</f>
        <v>sfo01-w01-r01-esx02.sfo.rainpole.io</v>
      </c>
      <c r="D121" s="347"/>
      <c r="E121" s="32"/>
    </row>
    <row r="122" spans="2:5" ht="20.05" customHeight="1" x14ac:dyDescent="0.35">
      <c r="B122" s="17" t="s">
        <v>219</v>
      </c>
      <c r="C122" s="149" t="str">
        <f>CONCATENATE(this_instance,"01-w0",wld_domain_number_chosen,"-r01-esx03",".",sample_child_dns_zone)</f>
        <v>sfo01-w01-r01-esx03.sfo.rainpole.io</v>
      </c>
      <c r="D122" s="347"/>
      <c r="E122" s="32"/>
    </row>
    <row r="123" spans="2:5" ht="20.05" customHeight="1" x14ac:dyDescent="0.35">
      <c r="B123" s="17" t="s">
        <v>221</v>
      </c>
      <c r="C123" s="149" t="str">
        <f>CONCATENATE(this_instance,"01-w0",wld_domain_number_chosen,"-r01-esx04",".",sample_child_dns_zone)</f>
        <v>sfo01-w01-r01-esx04.sfo.rainpole.io</v>
      </c>
      <c r="D123" s="347"/>
      <c r="E123" s="32"/>
    </row>
    <row r="124" spans="2:5" ht="20.05" customHeight="1" x14ac:dyDescent="0.35">
      <c r="B124" s="17" t="s">
        <v>223</v>
      </c>
      <c r="C124" s="149" t="str">
        <f>CONCATENATE(this_instance,"01-w0",wld_domain_number_chosen,"-r01-esx05",".",sample_child_dns_zone)</f>
        <v>sfo01-w01-r01-esx05.sfo.rainpole.io</v>
      </c>
      <c r="D124" s="347"/>
      <c r="E124" s="32"/>
    </row>
    <row r="125" spans="2:5" ht="20.05" customHeight="1" x14ac:dyDescent="0.35">
      <c r="B125" s="17" t="s">
        <v>225</v>
      </c>
      <c r="C125" s="149" t="str">
        <f>CONCATENATE(this_instance,"01-w0",wld_domain_number_chosen,"-r01-esx06",".",sample_child_dns_zone)</f>
        <v>sfo01-w01-r01-esx06.sfo.rainpole.io</v>
      </c>
      <c r="D125" s="347"/>
      <c r="E125" s="32"/>
    </row>
    <row r="126" spans="2:5" ht="20.05" customHeight="1" x14ac:dyDescent="0.35">
      <c r="B126" s="17" t="s">
        <v>227</v>
      </c>
      <c r="C126" s="149" t="str">
        <f>CONCATENATE(this_instance,"01-w0",wld_domain_number_chosen,"-r01-esx07",".",sample_child_dns_zone)</f>
        <v>sfo01-w01-r01-esx07.sfo.rainpole.io</v>
      </c>
      <c r="D126" s="347"/>
      <c r="E126" s="32"/>
    </row>
    <row r="127" spans="2:5" ht="20.05" customHeight="1" x14ac:dyDescent="0.35">
      <c r="B127" s="17" t="s">
        <v>229</v>
      </c>
      <c r="C127" s="149" t="str">
        <f>CONCATENATE(this_instance,"01-w0",wld_domain_number_chosen,"-r01-esx08",".",sample_child_dns_zone)</f>
        <v>sfo01-w01-r01-esx08.sfo.rainpole.io</v>
      </c>
      <c r="D127" s="347"/>
      <c r="E127" s="32"/>
    </row>
    <row r="128" spans="2:5" ht="20.05" customHeight="1" x14ac:dyDescent="0.35">
      <c r="B128" s="17" t="s">
        <v>231</v>
      </c>
      <c r="C128" s="149" t="str">
        <f>CONCATENATE(this_instance,"01-w0",wld_domain_number_chosen,"-r01-esx09",".",sample_child_dns_zone)</f>
        <v>sfo01-w01-r01-esx09.sfo.rainpole.io</v>
      </c>
      <c r="D128" s="347"/>
      <c r="E128" s="32"/>
    </row>
    <row r="129" spans="2:9" ht="20.05" customHeight="1" x14ac:dyDescent="0.35">
      <c r="B129" s="17" t="s">
        <v>233</v>
      </c>
      <c r="C129" s="149" t="str">
        <f>CONCATENATE(this_instance,"01-w0",wld_domain_number_chosen,"-r01-esx10",".",sample_child_dns_zone)</f>
        <v>sfo01-w01-r01-esx10.sfo.rainpole.io</v>
      </c>
      <c r="D129" s="347"/>
      <c r="E129" s="32"/>
    </row>
    <row r="130" spans="2:9" ht="20.05" customHeight="1" x14ac:dyDescent="0.35">
      <c r="B130" s="17" t="s">
        <v>235</v>
      </c>
      <c r="C130" s="149" t="str">
        <f>CONCATENATE(this_instance,"01-w0",wld_domain_number_chosen,"-r01-esx11",".",sample_child_dns_zone)</f>
        <v>sfo01-w01-r01-esx11.sfo.rainpole.io</v>
      </c>
      <c r="D130" s="347"/>
      <c r="E130" s="32"/>
    </row>
    <row r="131" spans="2:9" ht="20.05" customHeight="1" x14ac:dyDescent="0.35">
      <c r="B131" s="17" t="s">
        <v>237</v>
      </c>
      <c r="C131" s="149" t="str">
        <f>CONCATENATE(this_instance,"01-w0",wld_domain_number_chosen,"-r01-esx12",".",sample_child_dns_zone)</f>
        <v>sfo01-w01-r01-esx12.sfo.rainpole.io</v>
      </c>
      <c r="D131" s="347"/>
      <c r="E131" s="32"/>
    </row>
    <row r="132" spans="2:9" ht="20.05" customHeight="1" x14ac:dyDescent="0.35">
      <c r="B132" s="17" t="s">
        <v>239</v>
      </c>
      <c r="C132" s="149" t="str">
        <f>CONCATENATE(this_instance,"01-w0",wld_domain_number_chosen,"-r01-esx13",".",sample_child_dns_zone)</f>
        <v>sfo01-w01-r01-esx13.sfo.rainpole.io</v>
      </c>
      <c r="D132" s="347"/>
      <c r="E132" s="32"/>
    </row>
    <row r="133" spans="2:9" ht="20.05" customHeight="1" x14ac:dyDescent="0.35">
      <c r="B133" s="17" t="s">
        <v>241</v>
      </c>
      <c r="C133" s="149" t="str">
        <f>CONCATENATE(this_instance,"01-w0",wld_domain_number_chosen,"-r01-esx14",".",sample_child_dns_zone)</f>
        <v>sfo01-w01-r01-esx14.sfo.rainpole.io</v>
      </c>
      <c r="D133" s="347"/>
      <c r="E133" s="32"/>
    </row>
    <row r="134" spans="2:9" ht="20.05" customHeight="1" x14ac:dyDescent="0.35">
      <c r="B134" s="17" t="s">
        <v>243</v>
      </c>
      <c r="C134" s="149" t="str">
        <f>CONCATENATE(this_instance,"01-w0",wld_domain_number_chosen,"-r01-esx15",".",sample_child_dns_zone)</f>
        <v>sfo01-w01-r01-esx15.sfo.rainpole.io</v>
      </c>
      <c r="D134" s="347"/>
      <c r="E134" s="32"/>
    </row>
    <row r="135" spans="2:9" ht="20.05" customHeight="1" x14ac:dyDescent="0.35">
      <c r="B135" s="17" t="s">
        <v>245</v>
      </c>
      <c r="C135" s="149" t="str">
        <f>CONCATENATE(this_instance,"01-w0",wld_domain_number_chosen,"-r01-esx16",".",sample_child_dns_zone)</f>
        <v>sfo01-w01-r01-esx16.sfo.rainpole.io</v>
      </c>
      <c r="D135" s="347"/>
      <c r="E135" s="32"/>
    </row>
    <row r="136" spans="2:9" ht="20.05" customHeight="1" x14ac:dyDescent="0.35">
      <c r="B136" s="17" t="s">
        <v>264</v>
      </c>
      <c r="C136" s="78" t="s">
        <v>265</v>
      </c>
      <c r="D136" s="337" t="str">
        <f>IF(OR(wld_principal_storage_chosen="vSAN-ESA",wld_principal_storage_chosen="vSAN Storage Cluster",wld_principal_storage_chosen="vSAN-OSA",wld_principal_storage_chosen="vSAN Compute Cluster"),"vSAN",
IF(wld_principal_storage_chosen="VMFS on Fibre Channel (FC)","VMFS on FC",
IF(wld_principal_storage_chosen="NFSv3","NFS")))</f>
        <v>vSAN</v>
      </c>
      <c r="E136" s="32"/>
    </row>
    <row r="137" spans="2:9" ht="20.05" customHeight="1" x14ac:dyDescent="0.35">
      <c r="B137" s="17" t="s">
        <v>266</v>
      </c>
      <c r="C137" s="78" t="s">
        <v>267</v>
      </c>
      <c r="D137" s="337" t="str">
        <f>IF(wld_principal_storage_chosen="vSAN Storage Cluster","vSAN Storage",IF(wld_principal_storage_chosen="vSAN Compute Cluster","Compute Cluster",IF(OR(wld_principal_storage_chosen="vSAN-ESA",wld_principal_storage_chosen="vSAN-OSA"),"vSAN HCI","")))</f>
        <v>vSAN HCI</v>
      </c>
      <c r="E137" s="32"/>
    </row>
    <row r="138" spans="2:9" ht="20.05" customHeight="1" x14ac:dyDescent="0.35">
      <c r="B138" s="17" t="s">
        <v>268</v>
      </c>
      <c r="C138" s="78" t="s">
        <v>159</v>
      </c>
      <c r="D138" s="337" t="str">
        <f>IF(OR(wld_principal_storage_chosen="vSAN-ESA",wld_principal_storage_chosen="vSAN Storage Cluster",wld_principal_storage_chosen="vSAN Compute Cluster"),"Selected","Unselected")</f>
        <v>Selected</v>
      </c>
      <c r="E138" s="32"/>
    </row>
    <row r="139" spans="2:9" ht="20.05" customHeight="1" x14ac:dyDescent="0.35">
      <c r="B139" s="17" t="s">
        <v>250</v>
      </c>
      <c r="C139" s="78" t="str">
        <f>sample_wld_az1_pool_name</f>
        <v>sfo01-w01-r01-network-pool-01</v>
      </c>
      <c r="D139" s="337" t="str">
        <f>wld_az1_pool_name</f>
        <v>Value Missing</v>
      </c>
      <c r="E139" s="32"/>
    </row>
    <row r="140" spans="2:9" ht="20.05" customHeight="1" x14ac:dyDescent="0.35">
      <c r="B140" s="17" t="s">
        <v>46</v>
      </c>
      <c r="C140" s="78" t="s">
        <v>269</v>
      </c>
      <c r="D140" s="347"/>
      <c r="E140" s="32"/>
    </row>
    <row r="141" spans="2:9" s="7" customFormat="1" ht="20.05" customHeight="1" x14ac:dyDescent="0.35">
      <c r="B141" s="17" t="s">
        <v>29</v>
      </c>
      <c r="C141" s="78" t="s">
        <v>30</v>
      </c>
      <c r="D141" s="347"/>
      <c r="E141" s="32"/>
      <c r="I141" s="40"/>
    </row>
    <row r="142" spans="2:9" ht="16" customHeight="1" x14ac:dyDescent="0.35">
      <c r="B142" s="7"/>
      <c r="C142" s="7"/>
      <c r="D142" s="7"/>
      <c r="E142" s="7"/>
    </row>
    <row r="143" spans="2:9" ht="34" customHeight="1" x14ac:dyDescent="0.35">
      <c r="B143" s="509" t="s">
        <v>807</v>
      </c>
      <c r="C143" s="510"/>
      <c r="D143" s="510"/>
      <c r="E143" s="511"/>
    </row>
    <row r="144" spans="2:9" ht="16" customHeight="1" x14ac:dyDescent="0.35">
      <c r="B144" s="7"/>
      <c r="C144" s="7"/>
      <c r="D144" s="7"/>
      <c r="E144" s="7"/>
    </row>
    <row r="145" spans="2:5" ht="34" customHeight="1" x14ac:dyDescent="0.35">
      <c r="B145" s="407" t="s">
        <v>808</v>
      </c>
      <c r="C145" s="408"/>
      <c r="D145" s="408"/>
      <c r="E145" s="409"/>
    </row>
    <row r="146" spans="2:5" ht="20.05" customHeight="1" x14ac:dyDescent="0.35">
      <c r="B146" s="496" t="s">
        <v>768</v>
      </c>
      <c r="C146" s="497"/>
      <c r="D146" s="497"/>
      <c r="E146" s="498"/>
    </row>
    <row r="147" spans="2:5" ht="20.05" customHeight="1" x14ac:dyDescent="0.35">
      <c r="B147" s="346" t="s">
        <v>17</v>
      </c>
      <c r="C147" s="346" t="s">
        <v>18</v>
      </c>
      <c r="D147" s="346" t="s">
        <v>19</v>
      </c>
      <c r="E147" s="346" t="s">
        <v>20</v>
      </c>
    </row>
    <row r="148" spans="2:5" ht="20.05" customHeight="1" x14ac:dyDescent="0.35">
      <c r="B148" s="17" t="s">
        <v>769</v>
      </c>
      <c r="C148" s="362" t="str">
        <f>CONCATENATE(this_instance,"-w0",wld_domain_number_chosen)</f>
        <v>sfo-w01</v>
      </c>
      <c r="D148" s="347"/>
      <c r="E148" s="32"/>
    </row>
    <row r="149" spans="2:5" ht="20.05" customHeight="1" x14ac:dyDescent="0.35">
      <c r="B149" s="150" t="s">
        <v>809</v>
      </c>
      <c r="C149" s="362" t="s">
        <v>183</v>
      </c>
      <c r="D149" s="337" t="str">
        <f>wld_iaas_chosen</f>
        <v>Exclude</v>
      </c>
      <c r="E149" s="150" t="s">
        <v>810</v>
      </c>
    </row>
    <row r="150" spans="2:5" ht="20.05" customHeight="1" x14ac:dyDescent="0.35">
      <c r="B150" s="17" t="s">
        <v>811</v>
      </c>
      <c r="C150" s="362" t="str">
        <f>CONCATENATE(this_instance,"-w0",wld_domain_number_chosen,".local")</f>
        <v>sfo-w01.local</v>
      </c>
      <c r="D150" s="347"/>
      <c r="E150" s="32"/>
    </row>
    <row r="151" spans="2:5" ht="20.05" customHeight="1" x14ac:dyDescent="0.35">
      <c r="B151" s="17" t="s">
        <v>812</v>
      </c>
      <c r="C151" s="362" t="s">
        <v>145</v>
      </c>
      <c r="D151" s="347" t="s">
        <v>145</v>
      </c>
      <c r="E151" s="32"/>
    </row>
    <row r="152" spans="2:5" ht="20.05" customHeight="1" x14ac:dyDescent="0.35">
      <c r="B152" s="17" t="s">
        <v>813</v>
      </c>
      <c r="C152" s="362" t="s">
        <v>141</v>
      </c>
      <c r="D152" s="347"/>
      <c r="E152" s="32"/>
    </row>
    <row r="153" spans="2:5" ht="16" customHeight="1" x14ac:dyDescent="0.35">
      <c r="B153" s="7"/>
      <c r="C153" s="7"/>
      <c r="D153" s="7"/>
      <c r="E153" s="7"/>
    </row>
    <row r="154" spans="2:5" ht="34" customHeight="1" x14ac:dyDescent="0.35">
      <c r="B154" s="407" t="s">
        <v>814</v>
      </c>
      <c r="C154" s="408"/>
      <c r="D154" s="408"/>
      <c r="E154" s="409"/>
    </row>
    <row r="155" spans="2:5" ht="20.05" customHeight="1" x14ac:dyDescent="0.35">
      <c r="B155" s="496" t="s">
        <v>814</v>
      </c>
      <c r="C155" s="497"/>
      <c r="D155" s="497"/>
      <c r="E155" s="498"/>
    </row>
    <row r="156" spans="2:5" ht="20.05" customHeight="1" x14ac:dyDescent="0.35">
      <c r="B156" s="346" t="s">
        <v>17</v>
      </c>
      <c r="C156" s="346" t="s">
        <v>18</v>
      </c>
      <c r="D156" s="346" t="s">
        <v>19</v>
      </c>
      <c r="E156" s="346" t="s">
        <v>20</v>
      </c>
    </row>
    <row r="157" spans="2:5" ht="19" customHeight="1" x14ac:dyDescent="0.35">
      <c r="B157" s="17" t="s">
        <v>815</v>
      </c>
      <c r="C157" s="126" t="str">
        <f>CONCATENATE(this_instance,"-w0",wld_domain_number_chosen,"-vc01",".",sample_child_dns_zone)</f>
        <v>sfo-w01-vc01.sfo.rainpole.io</v>
      </c>
      <c r="D157" s="347"/>
      <c r="E157" s="32"/>
    </row>
    <row r="158" spans="2:5" ht="19" customHeight="1" x14ac:dyDescent="0.35">
      <c r="B158" s="17" t="s">
        <v>816</v>
      </c>
      <c r="C158" s="126" t="s">
        <v>141</v>
      </c>
      <c r="D158" s="347"/>
      <c r="E158" s="32"/>
    </row>
    <row r="159" spans="2:5" ht="16" customHeight="1" x14ac:dyDescent="0.35">
      <c r="B159" s="7"/>
      <c r="C159" s="7"/>
      <c r="D159" s="7"/>
      <c r="E159" s="7"/>
    </row>
    <row r="160" spans="2:5" ht="34" customHeight="1" x14ac:dyDescent="0.35">
      <c r="B160" s="407" t="s">
        <v>732</v>
      </c>
      <c r="C160" s="408"/>
      <c r="D160" s="408"/>
      <c r="E160" s="409"/>
    </row>
    <row r="161" spans="2:5" ht="20.05" customHeight="1" x14ac:dyDescent="0.35">
      <c r="B161" s="496" t="s">
        <v>817</v>
      </c>
      <c r="C161" s="497"/>
      <c r="D161" s="497"/>
      <c r="E161" s="498"/>
    </row>
    <row r="162" spans="2:5" ht="20.05" customHeight="1" x14ac:dyDescent="0.35">
      <c r="B162" s="346" t="s">
        <v>17</v>
      </c>
      <c r="C162" s="346" t="s">
        <v>18</v>
      </c>
      <c r="D162" s="346" t="s">
        <v>19</v>
      </c>
      <c r="E162" s="346" t="s">
        <v>20</v>
      </c>
    </row>
    <row r="163" spans="2:5" ht="20.05" customHeight="1" x14ac:dyDescent="0.35">
      <c r="B163" s="17" t="s">
        <v>210</v>
      </c>
      <c r="C163" s="362" t="str">
        <f>CONCATENATE(this_instance,"-w0",wld_domain_number_chosen,"-cl01")</f>
        <v>sfo-w01-cl01</v>
      </c>
      <c r="D163" s="347"/>
      <c r="E163" s="32"/>
    </row>
    <row r="164" spans="2:5" ht="19" customHeight="1" x14ac:dyDescent="0.35">
      <c r="B164" s="17" t="s">
        <v>818</v>
      </c>
      <c r="C164" s="362" t="s">
        <v>819</v>
      </c>
      <c r="D164" s="347"/>
      <c r="E164" s="337" t="str">
        <f>IF(wld_iaas_chosen="Exclude","This value is masked out as you have chosen not to deploy vSphere Supervisor with NSX VPC Networking")</f>
        <v>This value is masked out as you have chosen not to deploy vSphere Supervisor with NSX VPC Networking</v>
      </c>
    </row>
    <row r="165" spans="2:5" ht="16" customHeight="1" x14ac:dyDescent="0.35">
      <c r="B165" s="7"/>
      <c r="C165" s="7"/>
      <c r="D165" s="7"/>
      <c r="E165" s="7"/>
    </row>
    <row r="166" spans="2:5" ht="34" customHeight="1" x14ac:dyDescent="0.35">
      <c r="B166" s="407" t="s">
        <v>820</v>
      </c>
      <c r="C166" s="408"/>
      <c r="D166" s="408"/>
      <c r="E166" s="409"/>
    </row>
    <row r="167" spans="2:5" ht="20.05" customHeight="1" x14ac:dyDescent="0.35">
      <c r="B167" s="496" t="s">
        <v>821</v>
      </c>
      <c r="C167" s="497"/>
      <c r="D167" s="497"/>
      <c r="E167" s="498"/>
    </row>
    <row r="168" spans="2:5" ht="19" customHeight="1" x14ac:dyDescent="0.35">
      <c r="B168" s="17" t="s">
        <v>820</v>
      </c>
      <c r="C168" s="362" t="str">
        <f>CONCATENATE(this_instance,"-w0",wld_domain_number_chosen,"-cl01")</f>
        <v>sfo-w01-cl01</v>
      </c>
      <c r="D168" s="347"/>
      <c r="E168" s="32"/>
    </row>
    <row r="169" spans="2:5" ht="16" customHeight="1" x14ac:dyDescent="0.35">
      <c r="B169" s="7"/>
      <c r="C169" s="7"/>
      <c r="D169" s="7"/>
      <c r="E169" s="7"/>
    </row>
    <row r="170" spans="2:5" ht="34" customHeight="1" x14ac:dyDescent="0.35">
      <c r="B170" s="407" t="s">
        <v>778</v>
      </c>
      <c r="C170" s="408"/>
      <c r="D170" s="408"/>
      <c r="E170" s="409"/>
    </row>
    <row r="171" spans="2:5" ht="20.05" customHeight="1" x14ac:dyDescent="0.35">
      <c r="B171" s="496" t="s">
        <v>779</v>
      </c>
      <c r="C171" s="497"/>
      <c r="D171" s="497"/>
      <c r="E171" s="498"/>
    </row>
    <row r="172" spans="2:5" ht="20.05" customHeight="1" x14ac:dyDescent="0.35">
      <c r="B172" s="346" t="s">
        <v>17</v>
      </c>
      <c r="C172" s="346" t="s">
        <v>18</v>
      </c>
      <c r="D172" s="346" t="s">
        <v>19</v>
      </c>
      <c r="E172" s="346" t="s">
        <v>20</v>
      </c>
    </row>
    <row r="173" spans="2:5" ht="20.05" customHeight="1" x14ac:dyDescent="0.35">
      <c r="B173" s="17" t="s">
        <v>782</v>
      </c>
      <c r="C173" s="362" t="s">
        <v>822</v>
      </c>
      <c r="D173" s="347" t="s">
        <v>822</v>
      </c>
      <c r="E173" s="32"/>
    </row>
    <row r="174" spans="2:5" ht="20.05" customHeight="1" x14ac:dyDescent="0.35">
      <c r="B174" s="17" t="s">
        <v>784</v>
      </c>
      <c r="C174" s="362" t="s">
        <v>93</v>
      </c>
      <c r="D174" s="347" t="s">
        <v>93</v>
      </c>
      <c r="E174" s="32"/>
    </row>
    <row r="175" spans="2:5" ht="20.05" customHeight="1" x14ac:dyDescent="0.35">
      <c r="B175" s="17" t="s">
        <v>785</v>
      </c>
      <c r="C175" s="126" t="str">
        <f>CONCATENATE(this_instance,"-w0",wld_domain_number_chosen,"-nsx01a",".",sample_child_dns_zone)</f>
        <v>sfo-w01-nsx01a.sfo.rainpole.io</v>
      </c>
      <c r="D175" s="151"/>
      <c r="E175" s="33" t="s">
        <v>786</v>
      </c>
    </row>
    <row r="176" spans="2:5" ht="20.05" customHeight="1" x14ac:dyDescent="0.35">
      <c r="B176" s="17" t="s">
        <v>823</v>
      </c>
      <c r="C176" s="126" t="str">
        <f>IF(mgmt_dpg_reuse_result="Included",CONCATENATE(prefix_mgmt_az1_cidr,"10.",(132 + (30*(wld_domain_number_chosen - 1)))),CONCATENATE(prefix_mgmt_az1_cidr,"11.",(132 + (30*(wld_domain_number_chosen - 1)))))</f>
        <v>10.11.10.132</v>
      </c>
      <c r="D176" s="347"/>
      <c r="E176" s="33" t="s">
        <v>824</v>
      </c>
    </row>
    <row r="177" spans="2:5" ht="20.05" customHeight="1" x14ac:dyDescent="0.35">
      <c r="B177" s="17" t="s">
        <v>787</v>
      </c>
      <c r="C177" s="126" t="str">
        <f>CONCATENATE(this_instance,"-w0",wld_domain_number_chosen,"-nsx01b",".",sample_child_dns_zone)</f>
        <v>sfo-w01-nsx01b.sfo.rainpole.io</v>
      </c>
      <c r="D177" s="347"/>
      <c r="E177" s="33" t="s">
        <v>788</v>
      </c>
    </row>
    <row r="178" spans="2:5" ht="20.05" customHeight="1" x14ac:dyDescent="0.35">
      <c r="B178" s="17" t="s">
        <v>825</v>
      </c>
      <c r="C178" s="126" t="str">
        <f>IF(mgmt_dpg_reuse_result="Included",CONCATENATE(prefix_mgmt_az1_cidr,"10.",(133 + (30*(wld_domain_number_chosen - 1)))),CONCATENATE(prefix_mgmt_az1_cidr,"11.",(133 + (30*(wld_domain_number_chosen - 1)))))</f>
        <v>10.11.10.133</v>
      </c>
      <c r="D178" s="347"/>
      <c r="E178" s="33" t="s">
        <v>824</v>
      </c>
    </row>
    <row r="179" spans="2:5" ht="20.05" customHeight="1" x14ac:dyDescent="0.35">
      <c r="B179" s="17" t="s">
        <v>789</v>
      </c>
      <c r="C179" s="126" t="str">
        <f>CONCATENATE(this_instance,"-w0",wld_domain_number_chosen,"-nsx01c",".",sample_child_dns_zone)</f>
        <v>sfo-w01-nsx01c.sfo.rainpole.io</v>
      </c>
      <c r="D179" s="347"/>
      <c r="E179" s="33" t="s">
        <v>790</v>
      </c>
    </row>
    <row r="180" spans="2:5" ht="20.05" customHeight="1" x14ac:dyDescent="0.35">
      <c r="B180" s="17" t="s">
        <v>826</v>
      </c>
      <c r="C180" s="126" t="str">
        <f>IF(mgmt_dpg_reuse_result="Included",CONCATENATE(prefix_mgmt_az1_cidr,"10.",(134 + (30*(wld_domain_number_chosen - 1)))),CONCATENATE(prefix_mgmt_az1_cidr,"11.",(134 + (30*(wld_domain_number_chosen - 1)))))</f>
        <v>10.11.10.134</v>
      </c>
      <c r="D180" s="347"/>
      <c r="E180" s="33" t="s">
        <v>824</v>
      </c>
    </row>
    <row r="181" spans="2:5" ht="20.05" customHeight="1" x14ac:dyDescent="0.35">
      <c r="B181" s="17" t="s">
        <v>791</v>
      </c>
      <c r="C181" s="126" t="str">
        <f>CONCATENATE(this_instance,"-w0",wld_domain_number_chosen,"-nsx01",".",sample_child_dns_zone)</f>
        <v>sfo-w01-nsx01.sfo.rainpole.io</v>
      </c>
      <c r="D181" s="151"/>
      <c r="E181" s="33" t="s">
        <v>792</v>
      </c>
    </row>
    <row r="182" spans="2:5" ht="20.05" customHeight="1" x14ac:dyDescent="0.35">
      <c r="B182" s="17" t="s">
        <v>827</v>
      </c>
      <c r="C182" s="126" t="str">
        <f>IF(mgmt_dpg_reuse_result="Included",CONCATENATE(prefix_mgmt_az1_cidr,"10.",(131+(30*(wld_domain_number_chosen-1)))),CONCATENATE(prefix_mgmt_az1_cidr,"11.",(131+(30*(wld_domain_number_chosen-1)))))</f>
        <v>10.11.10.131</v>
      </c>
      <c r="D182" s="347"/>
      <c r="E182" s="33" t="s">
        <v>824</v>
      </c>
    </row>
    <row r="183" spans="2:5" ht="20.05" customHeight="1" x14ac:dyDescent="0.35">
      <c r="B183" s="17" t="s">
        <v>199</v>
      </c>
      <c r="C183" s="362" t="s">
        <v>141</v>
      </c>
      <c r="D183" s="347"/>
      <c r="E183" s="32"/>
    </row>
    <row r="184" spans="2:5" ht="20.05" customHeight="1" x14ac:dyDescent="0.35">
      <c r="B184" s="17" t="s">
        <v>828</v>
      </c>
      <c r="C184" s="362" t="s">
        <v>141</v>
      </c>
      <c r="D184" s="347"/>
      <c r="E184" s="32"/>
    </row>
    <row r="185" spans="2:5" ht="20.05" customHeight="1" x14ac:dyDescent="0.35">
      <c r="B185" s="17" t="s">
        <v>829</v>
      </c>
      <c r="C185" s="362" t="s">
        <v>83</v>
      </c>
      <c r="D185" s="347" t="s">
        <v>83</v>
      </c>
      <c r="E185" s="337" t="str">
        <f>IF(wld_iaas_result="Included","vSphere Supervisor requires a Centralized Connectivity","")</f>
        <v/>
      </c>
    </row>
    <row r="186" spans="2:5" ht="20.05" customHeight="1" x14ac:dyDescent="0.35">
      <c r="B186" s="17" t="s">
        <v>85</v>
      </c>
      <c r="C186" s="362">
        <v>1198</v>
      </c>
      <c r="D186" s="347"/>
      <c r="E186" s="32"/>
    </row>
    <row r="187" spans="2:5" ht="20.05" customHeight="1" x14ac:dyDescent="0.35">
      <c r="B187" s="17" t="s">
        <v>830</v>
      </c>
      <c r="C187" s="362" t="s">
        <v>87</v>
      </c>
      <c r="D187" s="347"/>
      <c r="E187" s="32"/>
    </row>
    <row r="188" spans="2:5" ht="20.05" customHeight="1" x14ac:dyDescent="0.35">
      <c r="B188" s="17" t="s">
        <v>831</v>
      </c>
      <c r="C188" s="362" t="s">
        <v>832</v>
      </c>
      <c r="D188" s="347"/>
      <c r="E188" s="32"/>
    </row>
    <row r="189" spans="2:5" ht="19" customHeight="1" x14ac:dyDescent="0.35">
      <c r="B189" s="17" t="s">
        <v>833</v>
      </c>
      <c r="C189" s="362" t="str">
        <f>sample_wld_cl01_supervisor_private_transit_gateway_cidr</f>
        <v>172.25.0.0/16</v>
      </c>
      <c r="D189" s="347"/>
      <c r="E189" s="32"/>
    </row>
    <row r="190" spans="2:5" ht="16" customHeight="1" x14ac:dyDescent="0.35">
      <c r="B190" s="7"/>
      <c r="C190" s="7"/>
      <c r="D190" s="7"/>
      <c r="E190" s="7"/>
    </row>
    <row r="191" spans="2:5" ht="34" customHeight="1" x14ac:dyDescent="0.35">
      <c r="B191" s="407" t="s">
        <v>834</v>
      </c>
      <c r="C191" s="408"/>
      <c r="D191" s="408"/>
      <c r="E191" s="409"/>
    </row>
    <row r="192" spans="2:5" ht="20.05" customHeight="1" x14ac:dyDescent="0.35">
      <c r="B192" s="496" t="s">
        <v>821</v>
      </c>
      <c r="C192" s="497"/>
      <c r="D192" s="497"/>
      <c r="E192" s="498"/>
    </row>
    <row r="193" spans="2:5" ht="20.05" customHeight="1" x14ac:dyDescent="0.35">
      <c r="B193" s="346" t="s">
        <v>17</v>
      </c>
      <c r="C193" s="346" t="s">
        <v>18</v>
      </c>
      <c r="D193" s="346" t="s">
        <v>19</v>
      </c>
      <c r="E193" s="346" t="s">
        <v>20</v>
      </c>
    </row>
    <row r="194" spans="2:5" ht="19" customHeight="1" x14ac:dyDescent="0.35">
      <c r="B194" s="17" t="s">
        <v>835</v>
      </c>
      <c r="C194" s="362" t="s">
        <v>265</v>
      </c>
      <c r="D194" s="337" t="str">
        <f>D136</f>
        <v>vSAN</v>
      </c>
      <c r="E194" s="32"/>
    </row>
    <row r="195" spans="2:5" ht="19" customHeight="1" x14ac:dyDescent="0.35">
      <c r="B195" s="17" t="s">
        <v>836</v>
      </c>
      <c r="C195" s="362" t="s">
        <v>159</v>
      </c>
      <c r="D195" s="337" t="str">
        <f>IF(OR(wld_principal_storage_chosen="vSAN-ESA",wld_principal_storage_chosen="vSAN Storage Cluster",wld_principal_storage_chosen="vSAN Compute Cluster"),"Selected","Unselected")</f>
        <v>Selected</v>
      </c>
      <c r="E195" s="32"/>
    </row>
    <row r="196" spans="2:5" ht="16" customHeight="1" x14ac:dyDescent="0.35">
      <c r="B196" s="7"/>
      <c r="C196" s="7"/>
      <c r="D196" s="7"/>
      <c r="E196" s="7"/>
    </row>
    <row r="197" spans="2:5" ht="34" customHeight="1" x14ac:dyDescent="0.35">
      <c r="B197" s="407" t="str">
        <f>IF(OR(wld_principal_storage_chosen="vSAN-ESA",wld_principal_storage_chosen="vSAN Storage Cluster",wld_principal_storage_chosen="vSAN-OSA"),"vSAN Storage",IF(wld_principal_storage_chosen="NFSv3","NFS Storage",""))</f>
        <v>vSAN Storage</v>
      </c>
      <c r="C197" s="408"/>
      <c r="D197" s="408"/>
      <c r="E197" s="409"/>
    </row>
    <row r="198" spans="2:5" ht="20.05" customHeight="1" x14ac:dyDescent="0.35">
      <c r="B198" s="496" t="s">
        <v>837</v>
      </c>
      <c r="C198" s="497"/>
      <c r="D198" s="497"/>
      <c r="E198" s="498"/>
    </row>
    <row r="199" spans="2:5" ht="20.05" customHeight="1" x14ac:dyDescent="0.35">
      <c r="B199" s="346" t="s">
        <v>17</v>
      </c>
      <c r="C199" s="346" t="s">
        <v>18</v>
      </c>
      <c r="D199" s="346" t="s">
        <v>19</v>
      </c>
      <c r="E199" s="346" t="s">
        <v>20</v>
      </c>
    </row>
    <row r="200" spans="2:5" ht="20.05" customHeight="1" x14ac:dyDescent="0.35">
      <c r="B200" s="4" t="s">
        <v>838</v>
      </c>
      <c r="C200" s="362" t="s">
        <v>839</v>
      </c>
      <c r="D200" s="337" t="str">
        <f>D137</f>
        <v>vSAN HCI</v>
      </c>
      <c r="E200" s="337" t="str">
        <f>IF(D137="vSAN Storage","A dedicated cluster of hosts providing a distributed decoupled storage solution for vSphere cluster","A software-defined infrastructure that combines compute and storage into a single integrated system.")</f>
        <v>A software-defined infrastructure that combines compute and storage into a single integrated system.</v>
      </c>
    </row>
    <row r="201" spans="2:5" ht="20.05" customHeight="1" x14ac:dyDescent="0.35">
      <c r="B201" s="4" t="s">
        <v>279</v>
      </c>
      <c r="C201" s="362" t="str">
        <f>CONCATENATE(sample_wld_sddc_domain,"-",sample_wld_cl01_cluster,"-vsan01")</f>
        <v>sfo-w01-sfo-w01-cl01-vsan01</v>
      </c>
      <c r="D201" s="347"/>
      <c r="E201" s="337" t="s">
        <v>840</v>
      </c>
    </row>
    <row r="202" spans="2:5" ht="20.05" customHeight="1" x14ac:dyDescent="0.35">
      <c r="B202" s="4" t="s">
        <v>841</v>
      </c>
      <c r="C202" s="362" t="s">
        <v>145</v>
      </c>
      <c r="D202" s="337" t="str">
        <f>IF(wld_secondary_storage_chosen="vSAN Storage Client Network","Selected","Unselected")</f>
        <v>Unselected</v>
      </c>
      <c r="E202" s="314" t="s">
        <v>810</v>
      </c>
    </row>
    <row r="203" spans="2:5" ht="20.05" customHeight="1" x14ac:dyDescent="0.35">
      <c r="B203" s="4" t="str">
        <f>IF(wld_principal_storage_chosen="vSAN-ESA","Storage Policy", "vSAN: Failures to Tolerate (FTT)")</f>
        <v>Storage Policy</v>
      </c>
      <c r="C203" s="362">
        <v>1</v>
      </c>
      <c r="D203" s="347" t="s">
        <v>842</v>
      </c>
      <c r="E203" s="32"/>
    </row>
    <row r="204" spans="2:5" ht="20.05" customHeight="1" x14ac:dyDescent="0.35">
      <c r="B204" s="4" t="s">
        <v>843</v>
      </c>
      <c r="C204" s="362" t="s">
        <v>145</v>
      </c>
      <c r="D204" s="347" t="s">
        <v>145</v>
      </c>
      <c r="E204" s="32"/>
    </row>
    <row r="205" spans="2:5" ht="20.05" customHeight="1" x14ac:dyDescent="0.35">
      <c r="B205" s="152" t="s">
        <v>844</v>
      </c>
      <c r="C205" s="362" t="str">
        <f>CONCATENATE(this_instance,"-w0",wld_domain_number_chosen,"-cl01-ds-vmfs01")</f>
        <v>sfo-w01-cl01-ds-vmfs01</v>
      </c>
      <c r="D205" s="347"/>
      <c r="E205" s="32"/>
    </row>
    <row r="206" spans="2:5" ht="20.05" customHeight="1" x14ac:dyDescent="0.35">
      <c r="B206" s="22" t="s">
        <v>845</v>
      </c>
      <c r="C206" s="362" t="str">
        <f>CONCATENATE(this_instance,"-w0",wld_domain_number_chosen,"-cl01-ds-nfs01")</f>
        <v>sfo-w01-cl01-ds-nfs01</v>
      </c>
      <c r="D206" s="347"/>
      <c r="E206" s="32"/>
    </row>
    <row r="207" spans="2:5" ht="20.05" customHeight="1" x14ac:dyDescent="0.35">
      <c r="B207" s="22" t="s">
        <v>846</v>
      </c>
      <c r="C207" s="362" t="str">
        <f>CONCATENATE(this_instance,"-w0",wld_domain_number_chosen,"-cl01-ds-nfs01-share")</f>
        <v>sfo-w01-cl01-ds-nfs01-share</v>
      </c>
      <c r="D207" s="347"/>
      <c r="E207" s="32"/>
    </row>
    <row r="208" spans="2:5" ht="19" customHeight="1" x14ac:dyDescent="0.35">
      <c r="B208" s="22" t="s">
        <v>847</v>
      </c>
      <c r="C208" s="362" t="str">
        <f>CONCATENATE(prefix_wld_az1_cidr,"15.4")</f>
        <v>10.13.15.4</v>
      </c>
      <c r="D208" s="347"/>
      <c r="E208" s="32"/>
    </row>
    <row r="209" spans="2:5" ht="16" customHeight="1" x14ac:dyDescent="0.35">
      <c r="B209" s="7"/>
      <c r="C209" s="7"/>
      <c r="D209" s="7"/>
      <c r="E209" s="7"/>
    </row>
    <row r="210" spans="2:5" ht="34" customHeight="1" x14ac:dyDescent="0.35">
      <c r="B210" s="407" t="s">
        <v>848</v>
      </c>
      <c r="C210" s="408"/>
      <c r="D210" s="408"/>
      <c r="E210" s="409"/>
    </row>
    <row r="211" spans="2:5" ht="20.05" customHeight="1" x14ac:dyDescent="0.35">
      <c r="B211" s="496"/>
      <c r="C211" s="497"/>
      <c r="D211" s="497"/>
      <c r="E211" s="498"/>
    </row>
    <row r="212" spans="2:5" ht="20.05" customHeight="1" x14ac:dyDescent="0.35">
      <c r="B212" s="346" t="s">
        <v>17</v>
      </c>
      <c r="C212" s="346" t="s">
        <v>18</v>
      </c>
      <c r="D212" s="346" t="s">
        <v>19</v>
      </c>
      <c r="E212" s="346" t="s">
        <v>20</v>
      </c>
    </row>
    <row r="213" spans="2:5" ht="20.05" customHeight="1" x14ac:dyDescent="0.35">
      <c r="B213" s="17" t="s">
        <v>215</v>
      </c>
      <c r="C213" s="362" t="str">
        <f t="array" ref="C213:C228">sample_wld_az1_host_fqdns</f>
        <v>sfo01-w01-r01-esx01.sfo.rainpole.io</v>
      </c>
      <c r="D213" s="337" t="str">
        <f t="array" ref="D213:D228">wld_az1_host_fqdns</f>
        <v>Value Missing</v>
      </c>
      <c r="E213" s="32"/>
    </row>
    <row r="214" spans="2:5" ht="20.05" customHeight="1" x14ac:dyDescent="0.35">
      <c r="B214" s="17" t="s">
        <v>217</v>
      </c>
      <c r="C214" s="362" t="str">
        <v>sfo01-w01-r01-esx02.sfo.rainpole.io</v>
      </c>
      <c r="D214" s="337" t="str">
        <v>Value Missing</v>
      </c>
      <c r="E214" s="32"/>
    </row>
    <row r="215" spans="2:5" ht="20.05" customHeight="1" x14ac:dyDescent="0.35">
      <c r="B215" s="17" t="s">
        <v>219</v>
      </c>
      <c r="C215" s="362" t="str">
        <v>sfo01-w01-r01-esx03.sfo.rainpole.io</v>
      </c>
      <c r="D215" s="337" t="str">
        <v>Value Missing</v>
      </c>
      <c r="E215" s="32"/>
    </row>
    <row r="216" spans="2:5" ht="20.05" customHeight="1" x14ac:dyDescent="0.35">
      <c r="B216" s="17" t="s">
        <v>221</v>
      </c>
      <c r="C216" s="362" t="str">
        <v>sfo01-w01-r01-esx04.sfo.rainpole.io</v>
      </c>
      <c r="D216" s="337" t="str">
        <v>Value Missing</v>
      </c>
      <c r="E216" s="32"/>
    </row>
    <row r="217" spans="2:5" ht="20.05" customHeight="1" x14ac:dyDescent="0.35">
      <c r="B217" s="17" t="s">
        <v>223</v>
      </c>
      <c r="C217" s="362" t="str">
        <v>sfo01-w01-r01-esx05.sfo.rainpole.io</v>
      </c>
      <c r="D217" s="337" t="str">
        <v>Value Missing</v>
      </c>
      <c r="E217" s="17"/>
    </row>
    <row r="218" spans="2:5" ht="20.05" customHeight="1" x14ac:dyDescent="0.35">
      <c r="B218" s="17" t="s">
        <v>225</v>
      </c>
      <c r="C218" s="362" t="str">
        <v>sfo01-w01-r01-esx06.sfo.rainpole.io</v>
      </c>
      <c r="D218" s="337" t="str">
        <v>Value Missing</v>
      </c>
      <c r="E218" s="17"/>
    </row>
    <row r="219" spans="2:5" ht="20.05" customHeight="1" x14ac:dyDescent="0.35">
      <c r="B219" s="17" t="s">
        <v>227</v>
      </c>
      <c r="C219" s="362" t="str">
        <v>sfo01-w01-r01-esx07.sfo.rainpole.io</v>
      </c>
      <c r="D219" s="337" t="str">
        <v>Value Missing</v>
      </c>
      <c r="E219" s="17"/>
    </row>
    <row r="220" spans="2:5" ht="20.05" customHeight="1" x14ac:dyDescent="0.35">
      <c r="B220" s="17" t="s">
        <v>229</v>
      </c>
      <c r="C220" s="362" t="str">
        <v>sfo01-w01-r01-esx08.sfo.rainpole.io</v>
      </c>
      <c r="D220" s="337" t="str">
        <v>Value Missing</v>
      </c>
      <c r="E220" s="17"/>
    </row>
    <row r="221" spans="2:5" ht="20.05" customHeight="1" x14ac:dyDescent="0.35">
      <c r="B221" s="17" t="s">
        <v>231</v>
      </c>
      <c r="C221" s="362" t="str">
        <v>sfo01-w01-r01-esx09.sfo.rainpole.io</v>
      </c>
      <c r="D221" s="337" t="str">
        <v>Value Missing</v>
      </c>
      <c r="E221" s="17"/>
    </row>
    <row r="222" spans="2:5" ht="20.05" customHeight="1" x14ac:dyDescent="0.35">
      <c r="B222" s="17" t="s">
        <v>233</v>
      </c>
      <c r="C222" s="362" t="str">
        <v>sfo01-w01-r01-esx10.sfo.rainpole.io</v>
      </c>
      <c r="D222" s="337" t="str">
        <v>Value Missing</v>
      </c>
      <c r="E222" s="153"/>
    </row>
    <row r="223" spans="2:5" ht="20.05" customHeight="1" x14ac:dyDescent="0.35">
      <c r="B223" s="17" t="s">
        <v>235</v>
      </c>
      <c r="C223" s="362" t="str">
        <v>sfo01-w01-r01-esx11.sfo.rainpole.io</v>
      </c>
      <c r="D223" s="337" t="str">
        <v>Value Missing</v>
      </c>
      <c r="E223" s="17"/>
    </row>
    <row r="224" spans="2:5" ht="20.05" customHeight="1" x14ac:dyDescent="0.35">
      <c r="B224" s="17" t="s">
        <v>237</v>
      </c>
      <c r="C224" s="362" t="str">
        <v>sfo01-w01-r01-esx12.sfo.rainpole.io</v>
      </c>
      <c r="D224" s="337" t="str">
        <v>Value Missing</v>
      </c>
      <c r="E224" s="17"/>
    </row>
    <row r="225" spans="2:5" ht="20.05" customHeight="1" x14ac:dyDescent="0.35">
      <c r="B225" s="17" t="s">
        <v>239</v>
      </c>
      <c r="C225" s="362" t="str">
        <v>sfo01-w01-r01-esx13.sfo.rainpole.io</v>
      </c>
      <c r="D225" s="337" t="str">
        <v>Value Missing</v>
      </c>
      <c r="E225" s="17"/>
    </row>
    <row r="226" spans="2:5" ht="20.05" customHeight="1" x14ac:dyDescent="0.35">
      <c r="B226" s="17" t="s">
        <v>241</v>
      </c>
      <c r="C226" s="362" t="str">
        <v>sfo01-w01-r01-esx14.sfo.rainpole.io</v>
      </c>
      <c r="D226" s="337" t="str">
        <v>Value Missing</v>
      </c>
      <c r="E226" s="17"/>
    </row>
    <row r="227" spans="2:5" ht="20.05" customHeight="1" x14ac:dyDescent="0.35">
      <c r="B227" s="17" t="s">
        <v>243</v>
      </c>
      <c r="C227" s="362" t="str">
        <v>sfo01-w01-r01-esx15.sfo.rainpole.io</v>
      </c>
      <c r="D227" s="337" t="str">
        <v>Value Missing</v>
      </c>
      <c r="E227" s="17"/>
    </row>
    <row r="228" spans="2:5" ht="19" customHeight="1" x14ac:dyDescent="0.35">
      <c r="B228" s="17" t="s">
        <v>245</v>
      </c>
      <c r="C228" s="362" t="str">
        <v>sfo01-w01-r01-esx16.sfo.rainpole.io</v>
      </c>
      <c r="D228" s="337" t="str">
        <v>Value Missing</v>
      </c>
      <c r="E228" s="17"/>
    </row>
    <row r="229" spans="2:5" ht="16" customHeight="1" x14ac:dyDescent="0.35">
      <c r="B229" s="7"/>
      <c r="C229" s="7"/>
      <c r="D229" s="7"/>
      <c r="E229" s="7"/>
    </row>
    <row r="230" spans="2:5" ht="34" customHeight="1" x14ac:dyDescent="0.35">
      <c r="B230" s="407" t="s">
        <v>849</v>
      </c>
      <c r="C230" s="408"/>
      <c r="D230" s="408"/>
      <c r="E230" s="409"/>
    </row>
    <row r="231" spans="2:5" ht="20.05" customHeight="1" x14ac:dyDescent="0.35">
      <c r="B231" s="496" t="s">
        <v>850</v>
      </c>
      <c r="C231" s="497"/>
      <c r="D231" s="497"/>
      <c r="E231" s="498"/>
    </row>
    <row r="232" spans="2:5" ht="20.05" customHeight="1" x14ac:dyDescent="0.35">
      <c r="B232" s="346" t="s">
        <v>17</v>
      </c>
      <c r="C232" s="346" t="s">
        <v>18</v>
      </c>
      <c r="D232" s="346" t="s">
        <v>19</v>
      </c>
      <c r="E232" s="346" t="s">
        <v>20</v>
      </c>
    </row>
    <row r="233" spans="2:5" ht="20.05" customHeight="1" x14ac:dyDescent="0.35">
      <c r="B233" s="17" t="s">
        <v>851</v>
      </c>
      <c r="C233" s="362" t="s">
        <v>852</v>
      </c>
      <c r="D233" s="347" t="s">
        <v>852</v>
      </c>
      <c r="E233" s="32"/>
    </row>
    <row r="234" spans="2:5" ht="20.05" customHeight="1" x14ac:dyDescent="0.35">
      <c r="B234" s="17" t="s">
        <v>853</v>
      </c>
      <c r="C234" s="362" t="s">
        <v>145</v>
      </c>
      <c r="D234" s="347" t="s">
        <v>145</v>
      </c>
      <c r="E234" s="337" t="s">
        <v>854</v>
      </c>
    </row>
    <row r="235" spans="2:5" ht="16" customHeight="1" x14ac:dyDescent="0.35"/>
    <row r="236" spans="2:5" ht="34" customHeight="1" x14ac:dyDescent="0.35">
      <c r="B236" s="392" t="s">
        <v>855</v>
      </c>
      <c r="C236" s="393"/>
      <c r="D236" s="393"/>
      <c r="E236" s="394"/>
    </row>
    <row r="237" spans="2:5" ht="20.05" customHeight="1" x14ac:dyDescent="0.35">
      <c r="B237" s="154" t="s">
        <v>856</v>
      </c>
      <c r="C237" s="155"/>
      <c r="D237" s="155"/>
      <c r="E237" s="156"/>
    </row>
    <row r="238" spans="2:5" ht="20.05" customHeight="1" x14ac:dyDescent="0.35">
      <c r="B238" s="157" t="s">
        <v>17</v>
      </c>
      <c r="C238" s="158" t="s">
        <v>18</v>
      </c>
      <c r="D238" s="158" t="s">
        <v>19</v>
      </c>
      <c r="E238" s="158" t="s">
        <v>20</v>
      </c>
    </row>
    <row r="239" spans="2:5" ht="20.05" customHeight="1" x14ac:dyDescent="0.35">
      <c r="B239" s="17" t="s">
        <v>857</v>
      </c>
      <c r="C239" s="362" t="str">
        <f>CONCATENATE(sample_wld_cl01_cluster,"-vds01")</f>
        <v>sfo-w01-cl01-vds01</v>
      </c>
      <c r="D239" s="347"/>
      <c r="E239" s="32"/>
    </row>
    <row r="240" spans="2:5" ht="20.05" customHeight="1" x14ac:dyDescent="0.35">
      <c r="B240" s="17" t="s">
        <v>160</v>
      </c>
      <c r="C240" s="362">
        <v>9000</v>
      </c>
      <c r="D240" s="347"/>
      <c r="E240" s="32"/>
    </row>
    <row r="241" spans="2:5" ht="20.05" customHeight="1" x14ac:dyDescent="0.35">
      <c r="B241" s="17" t="s">
        <v>858</v>
      </c>
      <c r="C241" s="362" t="s">
        <v>859</v>
      </c>
      <c r="D241" s="347" t="s">
        <v>859</v>
      </c>
      <c r="E241" s="328" t="str">
        <f>IF(wld_cl01_vds01_link_type_chosen="VDS Lag","Only supported via API. Use VCF.JSONGenerator to generate the JSON File once PnP is complete","Option is not visible VCF Operations UI")</f>
        <v>Option is not visible VCF Operations UI</v>
      </c>
    </row>
    <row r="242" spans="2:5" ht="20.05" customHeight="1" x14ac:dyDescent="0.35">
      <c r="B242" s="4" t="s">
        <v>860</v>
      </c>
      <c r="C242" s="84" t="str">
        <f>CONCATENATE("w01-cl01-vds1-lg")</f>
        <v>w01-cl01-vds1-lg</v>
      </c>
      <c r="D242" s="347"/>
      <c r="E242" s="328" t="str">
        <f>IF(wld_cl01_vds01_link_type_chosen="VDS Uplinks","This input is masked out as you have chosen to configure VDS Uplinks","Option is not visible in VCF Operations UI. There is a 16 Character Limit for LAG Name")</f>
        <v>This input is masked out as you have chosen to configure VDS Uplinks</v>
      </c>
    </row>
    <row r="243" spans="2:5" ht="20.05" customHeight="1" x14ac:dyDescent="0.35">
      <c r="B243" s="4" t="s">
        <v>861</v>
      </c>
      <c r="C243" s="137" t="s">
        <v>862</v>
      </c>
      <c r="D243" s="347" t="s">
        <v>862</v>
      </c>
      <c r="E243" s="328" t="str">
        <f>IF(wld_cl01_vds01_link_type_chosen="VDS Uplinks","This input is masked out as you have chosen to configure VDS Uplinks","Option is not visible in VCF Operations UI")</f>
        <v>This input is masked out as you have chosen to configure VDS Uplinks</v>
      </c>
    </row>
    <row r="244" spans="2:5" ht="20.05" customHeight="1" x14ac:dyDescent="0.35">
      <c r="B244" s="4" t="s">
        <v>863</v>
      </c>
      <c r="C244" s="137" t="s">
        <v>864</v>
      </c>
      <c r="D244" s="347" t="s">
        <v>864</v>
      </c>
      <c r="E244" s="328" t="str">
        <f>IF(wld_cl01_vds01_link_type_chosen="VDS Uplinks","This input is masked out as you have chosen to configure VDS Uplinks","Option is not visible in VCF Operations UI")</f>
        <v>This input is masked out as you have chosen to configure VDS Uplinks</v>
      </c>
    </row>
    <row r="245" spans="2:5" ht="20.05" customHeight="1" x14ac:dyDescent="0.35">
      <c r="B245" s="4" t="s">
        <v>865</v>
      </c>
      <c r="C245" s="137" t="s">
        <v>866</v>
      </c>
      <c r="D245" s="347" t="s">
        <v>866</v>
      </c>
      <c r="E245" s="328" t="str">
        <f>IF(wld_cl01_vds01_link_type_chosen="VDS Uplinks","This input is masked out as you have chosen to configure VDS Uplinks","Option is not visible in VCF Operations UI")</f>
        <v>This input is masked out as you have chosen to configure VDS Uplinks</v>
      </c>
    </row>
    <row r="246" spans="2:5" ht="20.05" customHeight="1" x14ac:dyDescent="0.35">
      <c r="B246" s="22" t="s">
        <v>867</v>
      </c>
      <c r="C246" s="159">
        <v>2</v>
      </c>
      <c r="D246" s="79"/>
      <c r="E246" s="160"/>
    </row>
    <row r="247" spans="2:5" ht="20.05" customHeight="1" x14ac:dyDescent="0.35">
      <c r="B247" s="17" t="s">
        <v>868</v>
      </c>
      <c r="C247" s="362" t="s">
        <v>869</v>
      </c>
      <c r="D247" s="347"/>
      <c r="E247" s="160"/>
    </row>
    <row r="248" spans="2:5" ht="20.05" customHeight="1" x14ac:dyDescent="0.35">
      <c r="B248" s="17" t="s">
        <v>870</v>
      </c>
      <c r="C248" s="362" t="s">
        <v>871</v>
      </c>
      <c r="D248" s="337" t="str">
        <f>wld_cl01_vds01_traffic_type</f>
        <v>Management vMotion vSAN NSX-Overlay</v>
      </c>
      <c r="E248" s="32"/>
    </row>
    <row r="249" spans="2:5" ht="20.05" customHeight="1" x14ac:dyDescent="0.35">
      <c r="B249" s="496" t="s">
        <v>872</v>
      </c>
      <c r="C249" s="497"/>
      <c r="D249" s="497"/>
      <c r="E249" s="498"/>
    </row>
    <row r="250" spans="2:5" ht="20.05" customHeight="1" x14ac:dyDescent="0.35">
      <c r="B250" s="17" t="s">
        <v>873</v>
      </c>
      <c r="C250" s="362" t="str">
        <f>CONCATENATE(sample_wld_cl01_cluster,"-vds02")</f>
        <v>sfo-w01-cl01-vds02</v>
      </c>
      <c r="D250" s="347"/>
      <c r="E250" s="33" t="str">
        <f>IF(OR(wld_cl01_vds_profile_chosen="Default",wld_cl01_vds_profile_chosen="Custom Switch Configuration"),"This input is masked out due to VDS Profile selected","")</f>
        <v>This input is masked out due to VDS Profile selected</v>
      </c>
    </row>
    <row r="251" spans="2:5" ht="20.05" customHeight="1" x14ac:dyDescent="0.35">
      <c r="B251" s="17" t="s">
        <v>160</v>
      </c>
      <c r="C251" s="362">
        <v>9000</v>
      </c>
      <c r="D251" s="347"/>
      <c r="E251" s="33" t="str">
        <f>IF(OR(wld_cl01_vds_profile_chosen="Default",wld_cl01_vds_profile_chosen="Custom Switch Configuration"),"This input is masked out due to VDS Profile selected","")</f>
        <v>This input is masked out due to VDS Profile selected</v>
      </c>
    </row>
    <row r="252" spans="2:5" ht="20.05" customHeight="1" x14ac:dyDescent="0.35">
      <c r="B252" s="17" t="s">
        <v>858</v>
      </c>
      <c r="C252" s="362" t="s">
        <v>859</v>
      </c>
      <c r="D252" s="347" t="s">
        <v>859</v>
      </c>
      <c r="E252" s="210" t="str">
        <f>IF(wld_cl01_vds_profile_chosen="Default","This input is masked out due to VDS Profile selected",IF(wld_cl01_vds02_link_type_chosen="VDS Lag","Only supported via API. Use VCF.JSONGenerator to generate the JSON File once PnP is complete","Option is not visible in VCF Operations UI. There is a 16 Character Limit for LAG Name"))</f>
        <v>This input is masked out due to VDS Profile selected</v>
      </c>
    </row>
    <row r="253" spans="2:5" ht="20.05" customHeight="1" x14ac:dyDescent="0.35">
      <c r="B253" s="4" t="s">
        <v>860</v>
      </c>
      <c r="C253" s="84" t="str">
        <f>CONCATENATE("w01-cl01-vds2-lg")</f>
        <v>w01-cl01-vds2-lg</v>
      </c>
      <c r="D253" s="347"/>
      <c r="E253" s="210" t="str">
        <f>IF(OR(wld_cl01_vds_profile_chosen="Default",wld_cl01_vds_profile_chosen="Custom Switch Configuration"),"This input is masked out due to VDS Profile selected",IF(wld_cl01_vds02_link_type_chosen="VDS Uplinks","This input is masked out as you have chosen to configure VDS Uplinks","Option is not visible in VCF Operations UI. There is a 16 Character Limit for LAG Name"))</f>
        <v>This input is masked out due to VDS Profile selected</v>
      </c>
    </row>
    <row r="254" spans="2:5" ht="20.05" customHeight="1" x14ac:dyDescent="0.35">
      <c r="B254" s="4" t="s">
        <v>861</v>
      </c>
      <c r="C254" s="137" t="s">
        <v>862</v>
      </c>
      <c r="D254" s="347" t="s">
        <v>862</v>
      </c>
      <c r="E254" s="210" t="str">
        <f>IF(OR(wld_cl01_vds_profile_chosen="Default",wld_cl01_vds_profile_chosen="Custom Switch Configuration"),"This input is masked out due to VDS Profile selected",IF(wld_cl01_vds02_link_type_chosen="VDS Uplinks","This input is masked out as you have chosen to configure VDS Uplinks","Option is not visible in VCF Operations UI"))</f>
        <v>This input is masked out due to VDS Profile selected</v>
      </c>
    </row>
    <row r="255" spans="2:5" ht="20.05" customHeight="1" x14ac:dyDescent="0.35">
      <c r="B255" s="4" t="s">
        <v>863</v>
      </c>
      <c r="C255" s="137" t="s">
        <v>864</v>
      </c>
      <c r="D255" s="347" t="s">
        <v>864</v>
      </c>
      <c r="E255" s="210" t="str">
        <f>IF(OR(wld_cl01_vds_profile_chosen="Default",wld_cl01_vds_profile_chosen="Custom Switch Configuration"),"This input is masked out due to VDS Profile selected",IF(wld_cl01_vds02_link_type_chosen="VDS Uplinks","This input is masked out as you have chosen to configure VDS Uplinks","Option is not visible in VCF Operations UI"))</f>
        <v>This input is masked out due to VDS Profile selected</v>
      </c>
    </row>
    <row r="256" spans="2:5" ht="20.05" customHeight="1" x14ac:dyDescent="0.35">
      <c r="B256" s="4" t="s">
        <v>865</v>
      </c>
      <c r="C256" s="137" t="s">
        <v>866</v>
      </c>
      <c r="D256" s="347" t="s">
        <v>866</v>
      </c>
      <c r="E256" s="210" t="str">
        <f>IF(OR(wld_cl01_vds_profile_chosen="Default",wld_cl01_vds_profile_chosen="Custom Switch Configuration"),"This input is masked out due to VDS Profile selected",IF(wld_cl01_vds02_link_type_chosen="VDS Uplinks","This input is masked out as you have chosen to configure VDS Uplinks","Option is not visible in VCF Operations UI"))</f>
        <v>This input is masked out due to VDS Profile selected</v>
      </c>
    </row>
    <row r="257" spans="2:5" ht="20.05" customHeight="1" x14ac:dyDescent="0.35">
      <c r="B257" s="22" t="s">
        <v>867</v>
      </c>
      <c r="C257" s="159">
        <v>2</v>
      </c>
      <c r="D257" s="347"/>
      <c r="E257" s="210" t="str">
        <f>IF(OR(wld_cl01_vds_profile_chosen="Default",wld_cl01_vds_profile_chosen="Custom Switch Configuration"),"This input is masked out due to VDS Profile selected","")</f>
        <v>This input is masked out due to VDS Profile selected</v>
      </c>
    </row>
    <row r="258" spans="2:5" ht="20.05" customHeight="1" x14ac:dyDescent="0.35">
      <c r="B258" s="17" t="s">
        <v>868</v>
      </c>
      <c r="C258" s="362" t="s">
        <v>874</v>
      </c>
      <c r="D258" s="347"/>
      <c r="E258" s="33" t="str">
        <f>IF(OR(wld_cl01_vds_profile_chosen="Default",wld_cl01_vds_profile_chosen="Custom Switch Configuration"),"This input is masked out due to VDS Profile selected","")</f>
        <v>This input is masked out due to VDS Profile selected</v>
      </c>
    </row>
    <row r="259" spans="2:5" ht="20.05" customHeight="1" x14ac:dyDescent="0.35">
      <c r="B259" s="17" t="s">
        <v>870</v>
      </c>
      <c r="C259" s="362" t="s">
        <v>265</v>
      </c>
      <c r="D259" s="337" t="str">
        <f>wld_cl01_vds02_traffic_type</f>
        <v>Value Missing</v>
      </c>
      <c r="E259" s="33" t="str">
        <f>IF(OR(wld_cl01_vds_profile_chosen="Default",wld_cl01_vds_profile_chosen="Custom Switch Configuration"),"This input is masked out due to VDS Profile selected","")</f>
        <v>This input is masked out due to VDS Profile selected</v>
      </c>
    </row>
    <row r="260" spans="2:5" ht="20.05" customHeight="1" x14ac:dyDescent="0.35">
      <c r="B260" s="496" t="s">
        <v>875</v>
      </c>
      <c r="C260" s="497"/>
      <c r="D260" s="497"/>
      <c r="E260" s="498"/>
    </row>
    <row r="261" spans="2:5" ht="20.05" customHeight="1" x14ac:dyDescent="0.35">
      <c r="B261" s="17" t="s">
        <v>876</v>
      </c>
      <c r="C261" s="362" t="str">
        <f>CONCATENATE(sample_wld_cl01_cluster,"-vds03")</f>
        <v>sfo-w01-cl01-vds03</v>
      </c>
      <c r="D261" s="347"/>
      <c r="E261" s="33" t="str">
        <f>IF(wld_cl01_vds_profile_chosen&lt;&gt;"Storage Traffic and NSX Traffic Separation","This input is masked out due to VDS Profile selected","")</f>
        <v>This input is masked out due to VDS Profile selected</v>
      </c>
    </row>
    <row r="262" spans="2:5" ht="20.05" customHeight="1" x14ac:dyDescent="0.35">
      <c r="B262" s="17" t="s">
        <v>160</v>
      </c>
      <c r="C262" s="362">
        <v>9000</v>
      </c>
      <c r="D262" s="347"/>
      <c r="E262" s="33" t="str">
        <f>IF(wld_cl01_vds_profile_chosen&lt;&gt;"Storage Traffic and NSX Traffic Separation","This input is masked out due to VDS Profile selected","")</f>
        <v>This input is masked out due to VDS Profile selected</v>
      </c>
    </row>
    <row r="263" spans="2:5" ht="20.05" customHeight="1" x14ac:dyDescent="0.35">
      <c r="B263" s="17" t="s">
        <v>858</v>
      </c>
      <c r="C263" s="362" t="s">
        <v>859</v>
      </c>
      <c r="D263" s="347" t="s">
        <v>859</v>
      </c>
      <c r="E263" s="328" t="str">
        <f>IF(wld_cl01_vds_profile_chosen&lt;&gt;"Storage Traffic and NSX Traffic Separation","This input is masked out due to VDS Profile selected",IF(wld_cl01_vds03_link_type_chosen="VDS Lag","Only supported via API. Use VCF.JSONGenerator to generate the JSON File once PnP is complete","Option is not visible VCF Operations UI"))</f>
        <v>This input is masked out due to VDS Profile selected</v>
      </c>
    </row>
    <row r="264" spans="2:5" ht="20.05" customHeight="1" x14ac:dyDescent="0.35">
      <c r="B264" s="4" t="s">
        <v>860</v>
      </c>
      <c r="C264" s="84" t="str">
        <f>CONCATENATE("w01-cl01-vds3-lg")</f>
        <v>w01-cl01-vds3-lg</v>
      </c>
      <c r="D264" s="347"/>
      <c r="E264" s="328" t="str">
        <f>IF(wld_cl01_vds_profile_chosen&lt;&gt;"Storage Traffic and NSX Traffic Separation","This input is masked out due to VDS Profile selected",IF(wld_cl01_vds03_link_type_chosen="VDS Uplinks","This input is masked out as you have chosen to configure VDS Uplinks","Option is not visible in VCF Operations UI. There is a 16 Character Limit for LAG Name"))</f>
        <v>This input is masked out due to VDS Profile selected</v>
      </c>
    </row>
    <row r="265" spans="2:5" ht="20.05" customHeight="1" x14ac:dyDescent="0.35">
      <c r="B265" s="4" t="s">
        <v>861</v>
      </c>
      <c r="C265" s="137" t="s">
        <v>862</v>
      </c>
      <c r="D265" s="347" t="s">
        <v>862</v>
      </c>
      <c r="E265" s="328" t="str">
        <f>IF(wld_cl01_vds_profile_chosen&lt;&gt;"Storage Traffic and NSX Traffic Separation","This input is masked out due to VDS Profile selected",IF(wld_cl01_vds03_link_type_chosen="VDS Uplinks","This input is masked out as you have chosen to configure VDS Uplinks","Option is not visible in VCF Operations UI"))</f>
        <v>This input is masked out due to VDS Profile selected</v>
      </c>
    </row>
    <row r="266" spans="2:5" ht="20.05" customHeight="1" x14ac:dyDescent="0.35">
      <c r="B266" s="4" t="s">
        <v>863</v>
      </c>
      <c r="C266" s="137" t="s">
        <v>864</v>
      </c>
      <c r="D266" s="347" t="s">
        <v>864</v>
      </c>
      <c r="E266" s="328" t="str">
        <f>IF(wld_cl01_vds_profile_chosen&lt;&gt;"Storage Traffic and NSX Traffic Separation","This input is masked out due to VDS Profile selected",IF(wld_cl01_vds03_link_type_chosen="VDS Uplinks","This input is masked out as you have chosen to configure VDS Uplinks","Option is not visible in VCF Operations UI"))</f>
        <v>This input is masked out due to VDS Profile selected</v>
      </c>
    </row>
    <row r="267" spans="2:5" ht="20.05" customHeight="1" x14ac:dyDescent="0.35">
      <c r="B267" s="4" t="s">
        <v>865</v>
      </c>
      <c r="C267" s="137" t="s">
        <v>866</v>
      </c>
      <c r="D267" s="347" t="s">
        <v>877</v>
      </c>
      <c r="E267" s="328" t="str">
        <f>IF(wld_cl01_vds_profile_chosen&lt;&gt;"Storage Traffic and NSX Traffic Separation","This input is masked out due to VDS Profile selected",IF(wld_cl01_vds03_link_type_chosen="VDS Uplinks","This input is masked out as you have chosen to configure VDS Uplinks","Option is not visible in VCF Operations UI"))</f>
        <v>This input is masked out due to VDS Profile selected</v>
      </c>
    </row>
    <row r="268" spans="2:5" ht="20.05" customHeight="1" x14ac:dyDescent="0.35">
      <c r="B268" s="22" t="s">
        <v>867</v>
      </c>
      <c r="C268" s="159">
        <v>2</v>
      </c>
      <c r="D268" s="347"/>
      <c r="E268" s="328" t="str">
        <f>IF(wld_cl01_vds_profile_chosen&lt;&gt;"Storage Traffic and NSX Traffic Separation","This input is masked out due to VDS Profile selected","")</f>
        <v>This input is masked out due to VDS Profile selected</v>
      </c>
    </row>
    <row r="269" spans="2:5" ht="20.05" customHeight="1" x14ac:dyDescent="0.35">
      <c r="B269" s="17" t="s">
        <v>868</v>
      </c>
      <c r="C269" s="362" t="s">
        <v>878</v>
      </c>
      <c r="D269" s="347"/>
      <c r="E269" s="33" t="str">
        <f>IF(wld_cl01_vds_profile_chosen&lt;&gt;"Storage Traffic and NSX Traffic Separation","This input is masked out due to VDS Profile selected","")</f>
        <v>This input is masked out due to VDS Profile selected</v>
      </c>
    </row>
    <row r="270" spans="2:5" ht="20.05" customHeight="1" x14ac:dyDescent="0.35">
      <c r="B270" s="17" t="s">
        <v>870</v>
      </c>
      <c r="C270" s="362" t="s">
        <v>879</v>
      </c>
      <c r="D270" s="337" t="str">
        <f>wld_cl01_vds03_traffic_type</f>
        <v>Value Missing</v>
      </c>
      <c r="E270" s="33" t="str">
        <f>IF(wld_cl01_vds_profile_chosen&lt;&gt;"Storage Traffic and NSX Traffic Separation","This input is masked out due to VDS Profile selected","")</f>
        <v>This input is masked out due to VDS Profile selected</v>
      </c>
    </row>
    <row r="271" spans="2:5" ht="20.05" customHeight="1" x14ac:dyDescent="0.35">
      <c r="B271" s="154" t="s">
        <v>880</v>
      </c>
      <c r="C271" s="155"/>
      <c r="D271" s="155"/>
      <c r="E271" s="156"/>
    </row>
    <row r="272" spans="2:5" ht="20.05" customHeight="1" x14ac:dyDescent="0.35">
      <c r="B272" s="22" t="s">
        <v>185</v>
      </c>
      <c r="C272" s="362" t="str">
        <f>CONCATENATE(sample_wld_cl01_vds01_name,"-pg-esxi-mgmt")</f>
        <v>sfo-w01-cl01-vds01-pg-esxi-mgmt</v>
      </c>
      <c r="D272" s="347"/>
      <c r="E272" s="337" t="s">
        <v>881</v>
      </c>
    </row>
    <row r="273" spans="2:5" ht="20.05" customHeight="1" x14ac:dyDescent="0.35">
      <c r="B273" s="22" t="s">
        <v>882</v>
      </c>
      <c r="C273" s="159" t="s">
        <v>883</v>
      </c>
      <c r="D273" s="79" t="s">
        <v>883</v>
      </c>
      <c r="E273" s="161" t="str">
        <f>IF(wld_cl01_vds01_link_type_chosen="VDS Lag","This input is masked out as you have chosen to configure VDS LAG","")</f>
        <v/>
      </c>
    </row>
    <row r="274" spans="2:5" ht="20.05" customHeight="1" x14ac:dyDescent="0.35">
      <c r="B274" s="22" t="s">
        <v>884</v>
      </c>
      <c r="C274" s="159" t="s">
        <v>862</v>
      </c>
      <c r="D274" s="79" t="s">
        <v>862</v>
      </c>
      <c r="E274" s="161" t="str">
        <f>IF(wld_cl01_vds01_link_type_chosen="VDS Lag","This input is masked out as you have chosen to configure VDS LAG","")</f>
        <v/>
      </c>
    </row>
    <row r="275" spans="2:5" ht="20.05" customHeight="1" x14ac:dyDescent="0.35">
      <c r="B275" s="22" t="s">
        <v>885</v>
      </c>
      <c r="C275" s="159" t="s">
        <v>862</v>
      </c>
      <c r="D275" s="79" t="s">
        <v>862</v>
      </c>
      <c r="E275" s="161" t="str">
        <f>IF(wld_cl01_vds01_link_type_chosen="VDS Lag","This input is masked out as you have chosen to configure VDS LAG","")</f>
        <v/>
      </c>
    </row>
    <row r="276" spans="2:5" ht="20.05" customHeight="1" x14ac:dyDescent="0.35">
      <c r="B276" s="154" t="s">
        <v>886</v>
      </c>
      <c r="C276" s="155"/>
      <c r="D276" s="155"/>
      <c r="E276" s="156"/>
    </row>
    <row r="277" spans="2:5" ht="20.05" customHeight="1" x14ac:dyDescent="0.35">
      <c r="B277" s="22" t="s">
        <v>185</v>
      </c>
      <c r="C277" s="362" t="str">
        <f>CONCATENATE(sample_wld_cl01_vds01_name,"-pg-vm-mgmt")</f>
        <v>sfo-w01-cl01-vds01-pg-vm-mgmt</v>
      </c>
      <c r="D277" s="347"/>
      <c r="E277" s="161" t="s">
        <v>887</v>
      </c>
    </row>
    <row r="278" spans="2:5" ht="20.05" customHeight="1" x14ac:dyDescent="0.35">
      <c r="B278" s="22" t="s">
        <v>882</v>
      </c>
      <c r="C278" s="159" t="s">
        <v>883</v>
      </c>
      <c r="D278" s="79" t="s">
        <v>883</v>
      </c>
      <c r="E278" s="161" t="str">
        <f>IF(wld_cl01_vds01_link_type_chosen="VDS Lag","This input is masked out as you have chosen to configure VDS LAG","")</f>
        <v/>
      </c>
    </row>
    <row r="279" spans="2:5" ht="20.05" customHeight="1" x14ac:dyDescent="0.35">
      <c r="B279" s="22" t="s">
        <v>884</v>
      </c>
      <c r="C279" s="159" t="s">
        <v>862</v>
      </c>
      <c r="D279" s="79" t="s">
        <v>862</v>
      </c>
      <c r="E279" s="161" t="str">
        <f>IF(wld_cl01_vds01_link_type_chosen="VDS Lag","This input is masked out as you have chosen to configure VDS LAG","")</f>
        <v/>
      </c>
    </row>
    <row r="280" spans="2:5" ht="20.05" customHeight="1" x14ac:dyDescent="0.35">
      <c r="B280" s="22" t="s">
        <v>885</v>
      </c>
      <c r="C280" s="159" t="s">
        <v>862</v>
      </c>
      <c r="D280" s="79" t="s">
        <v>862</v>
      </c>
      <c r="E280" s="161" t="str">
        <f>IF(wld_cl01_vds01_link_type_chosen="VDS Lag","This input is masked out as you have chosen to configure VDS LAG","")</f>
        <v/>
      </c>
    </row>
    <row r="281" spans="2:5" ht="20.05" customHeight="1" x14ac:dyDescent="0.35">
      <c r="B281" s="154" t="s">
        <v>888</v>
      </c>
      <c r="C281" s="155"/>
      <c r="D281" s="155"/>
      <c r="E281" s="156"/>
    </row>
    <row r="282" spans="2:5" ht="20.05" customHeight="1" x14ac:dyDescent="0.35">
      <c r="B282" s="22" t="s">
        <v>185</v>
      </c>
      <c r="C282" s="362" t="str">
        <f>CONCATENATE(sample_wld_cl01_vds01_name,"-pg-vmotion")</f>
        <v>sfo-w01-cl01-vds01-pg-vmotion</v>
      </c>
      <c r="D282" s="347"/>
      <c r="E282" s="337" t="str">
        <f>IF(wld_cl01_vds_profile_chosen="Storage Traffic Separation","Portgroup will be created on Primary Distributed Switch",
IF(wld_cl01_vds_profile_chosen="NSX Traffic Separation","Portgroup will be created on Primary Distributed Switch",
IF(wld_cl01_vds_profile_chosen="Storage Traffic and NSX Traffic Separation","Portgroup will be created on Primary Distributed Switch",
IF(wld_cl01_vds_profile_chosen="Custom","","Portgroup will be created on Primary Distributed Switch"))))</f>
        <v>Portgroup will be created on Primary Distributed Switch</v>
      </c>
    </row>
    <row r="283" spans="2:5" ht="20.05" customHeight="1" x14ac:dyDescent="0.35">
      <c r="B283" s="22" t="s">
        <v>882</v>
      </c>
      <c r="C283" s="159" t="s">
        <v>883</v>
      </c>
      <c r="D283" s="79" t="s">
        <v>883</v>
      </c>
      <c r="E283" s="161" t="str">
        <f>IF(wld_cl01_vds01_link_type_chosen="VDS Lag","This input is masked out as you have chosen to configure VDS LAG","")</f>
        <v/>
      </c>
    </row>
    <row r="284" spans="2:5" ht="20.05" customHeight="1" x14ac:dyDescent="0.35">
      <c r="B284" s="22" t="s">
        <v>884</v>
      </c>
      <c r="C284" s="159" t="s">
        <v>862</v>
      </c>
      <c r="D284" s="79" t="s">
        <v>862</v>
      </c>
      <c r="E284" s="161" t="str">
        <f>IF(wld_cl01_vds01_link_type_chosen="VDS Lag","This input is masked out as you have chosen to configure VDS LAG","")</f>
        <v/>
      </c>
    </row>
    <row r="285" spans="2:5" ht="20.05" customHeight="1" x14ac:dyDescent="0.35">
      <c r="B285" s="22" t="s">
        <v>885</v>
      </c>
      <c r="C285" s="159" t="s">
        <v>862</v>
      </c>
      <c r="D285" s="79" t="s">
        <v>862</v>
      </c>
      <c r="E285" s="161" t="str">
        <f>IF(wld_cl01_vds01_link_type_chosen="VDS Lag","This input is masked out as you have chosen to configure VDS LAG","")</f>
        <v/>
      </c>
    </row>
    <row r="286" spans="2:5" ht="20.05" customHeight="1" x14ac:dyDescent="0.35">
      <c r="B286" s="154" t="str">
        <f>IF(wld_principal_storage_chosen="NFSv3","Network Traffic: NFS","Network Traffic: vSAN")</f>
        <v>Network Traffic: vSAN</v>
      </c>
      <c r="C286" s="155"/>
      <c r="D286" s="155"/>
      <c r="E286" s="156"/>
    </row>
    <row r="287" spans="2:5" ht="20.05" customHeight="1" x14ac:dyDescent="0.35">
      <c r="B287" s="22" t="s">
        <v>185</v>
      </c>
      <c r="C287" s="362" t="str">
        <f>CONCATENATE(sample_wld_cl01_vds01_name,"-pg-vsan")</f>
        <v>sfo-w01-cl01-vds01-pg-vsan</v>
      </c>
      <c r="D287" s="347"/>
      <c r="E287" s="337" t="str">
        <f>IF(wld_cl01_vds_profile_chosen="Storage Traffic Separation","Portgroup will be created on Secondary Distributed Switch",
IF(wld_cl01_vds_profile_chosen="vSAN Max Storage Traffic Separation","Portgroup will be created on Secondary Distributed Switch",
IF(wld_cl01_vds_profile_chosen="vSAN Max Storage Traffic and NSX Traffic Separation","Portgroup will be created on Secondary Distributed Switch",
IF(wld_cl01_vds_profile_chosen="NSX Traffic Separation","Portgroup will be created on Primary Distributed Switch",
IF(wld_cl01_vds_profile_chosen="Storage Traffic and NSX Traffic Separation","Portgroup will be created on Secondary Distributed Switch",
IF(wld_cl01_vds_profile_chosen="Custom","","Portgroup will be created on Primary Distributed Switch"))))))</f>
        <v>Portgroup will be created on Primary Distributed Switch</v>
      </c>
    </row>
    <row r="288" spans="2:5" ht="20.05" customHeight="1" x14ac:dyDescent="0.35">
      <c r="B288" s="22" t="s">
        <v>882</v>
      </c>
      <c r="C288" s="159" t="s">
        <v>883</v>
      </c>
      <c r="D288" s="79" t="s">
        <v>883</v>
      </c>
      <c r="E288" s="161" t="str">
        <f>IF(AND(wld_cl01_vds_profile_chosen="Default",wld_cl01_vds01_link_type_chosen="VDS Lag"),"This input is masked out as you have chosen to configure VDS LAG",
IF(AND(wld_cl01_vds_profile_chosen="NSX Traffic Separation",wld_cl01_vds01_link_type_chosen="VDS Lag"),"This input is masked out as you have chosen to configure VDS LAG",
IF(AND(wld_cl01_vds_profile_chosen="Storage Traffic and NSX Traffic Separation",wld_cl01_vds02_link_type_chosen="VDS Lag"),"This input is masked out as you have chosen to configure VDS LAG",
IF(AND(wld_cl01_vds_profile_chosen="Storage Traffic Separation",wld_cl01_vds02_link_type_chosen="VDS Lag"),"This input is masked out as you have chosen to configure VDS LAG",""))))</f>
        <v/>
      </c>
    </row>
    <row r="289" spans="2:5" ht="20.05" customHeight="1" x14ac:dyDescent="0.35">
      <c r="B289" s="22" t="s">
        <v>884</v>
      </c>
      <c r="C289" s="159" t="s">
        <v>862</v>
      </c>
      <c r="D289" s="79" t="s">
        <v>862</v>
      </c>
      <c r="E289" s="161" t="str">
        <f>IF(AND(wld_cl01_vds_profile_chosen="Default",wld_cl01_vds01_link_type_chosen="VDS Lag"),"This input is masked out as you have chosen to configure VDS LAG",
IF(AND(wld_cl01_vds_profile_chosen="NSX Traffic Separation",wld_cl01_vds01_link_type_chosen="VDS Lag"),"This input is masked out as you have chosen to configure VDS LAG",
IF(AND(wld_cl01_vds_profile_chosen="Storage Traffic and NSX Traffic Separation",wld_cl01_vds02_link_type_chosen="VDS Lag"),"This input is masked out as you have chosen to configure VDS LAG",
IF(AND(wld_cl01_vds_profile_chosen="Storage Traffic Separation",wld_cl01_vds02_link_type_chosen="VDS Lag"),"This input is masked out as you have chosen to configure VDS LAG",""))))</f>
        <v/>
      </c>
    </row>
    <row r="290" spans="2:5" ht="20.05" customHeight="1" x14ac:dyDescent="0.35">
      <c r="B290" s="22" t="s">
        <v>885</v>
      </c>
      <c r="C290" s="159" t="s">
        <v>862</v>
      </c>
      <c r="D290" s="79" t="s">
        <v>862</v>
      </c>
      <c r="E290" s="161" t="str">
        <f>IF(AND(wld_cl01_vds_profile_chosen="Default",wld_cl01_vds01_link_type_chosen="VDS Lag"),"This input is masked out as you have chosen to configure VDS LAG",
IF(AND(wld_cl01_vds_profile_chosen="NSX Traffic Separation",wld_cl01_vds01_link_type_chosen="VDS Lag"),"This input is masked out as you have chosen to configure VDS LAG",
IF(AND(wld_cl01_vds_profile_chosen="Storage Traffic and NSX Traffic Separation",wld_cl01_vds02_link_type_chosen="VDS Lag"),"This input is masked out as you have chosen to configure VDS LAG",
IF(AND(wld_cl01_vds_profile_chosen="Storage Traffic Separation",wld_cl01_vds02_link_type_chosen="VDS Lag"),"This input is masked out as you have chosen to configure VDS LAG",""))))</f>
        <v/>
      </c>
    </row>
    <row r="291" spans="2:5" ht="20.05" customHeight="1" x14ac:dyDescent="0.35">
      <c r="B291" s="154" t="s">
        <v>889</v>
      </c>
      <c r="C291" s="155"/>
      <c r="D291" s="155"/>
      <c r="E291" s="156"/>
    </row>
    <row r="292" spans="2:5" ht="20.05" customHeight="1" x14ac:dyDescent="0.35">
      <c r="B292" s="22" t="s">
        <v>185</v>
      </c>
      <c r="C292" s="362" t="str">
        <f>CONCATENATE(sample_wld_cl01_vds01_name,"-pg-vsan-client")</f>
        <v>sfo-w01-cl01-vds01-pg-vsan-client</v>
      </c>
      <c r="D292" s="347"/>
      <c r="E292" s="337" t="str">
        <f>IF(OR((wld_domain_result="Excluded"),(wld_secondary_storage_result="Excluded")),"This input is masked out as vSAN Storage Client Network in not enabled",
IF(wld_cl01_vds_profile_chosen="vSAN Max Storage Traffic Separation","Portgroup will be created on Primary Distributed Switch",
IF(wld_cl01_vds_profile_chosen="vSAN Max Storage Traffic and NSX Traffic Separation","Portgroup will be created on Primary Distributed Switch",
IF(wld_cl01_vds_profile_chosen="Custom","","Portgroup will be created on Primary Distributed Switch"))))</f>
        <v>This input is masked out as vSAN Storage Client Network in not enabled</v>
      </c>
    </row>
    <row r="293" spans="2:5" ht="20.05" customHeight="1" x14ac:dyDescent="0.35">
      <c r="B293" s="22" t="s">
        <v>882</v>
      </c>
      <c r="C293" s="159" t="s">
        <v>883</v>
      </c>
      <c r="D293" s="79" t="s">
        <v>883</v>
      </c>
      <c r="E293" s="161" t="str">
        <f>IF(wld_secondary_storage_result="Excluded","This input is masked out as vSAN Storage Client Network in not enabled ",IF(wld_cl01_vds01_link_type_chosen="VDS Lag","This input is masked out as you have chosen to configure VDS LAG",""))</f>
        <v xml:space="preserve">This input is masked out as vSAN Storage Client Network in not enabled </v>
      </c>
    </row>
    <row r="294" spans="2:5" ht="20.05" customHeight="1" x14ac:dyDescent="0.35">
      <c r="B294" s="22" t="s">
        <v>884</v>
      </c>
      <c r="C294" s="159" t="s">
        <v>862</v>
      </c>
      <c r="D294" s="79" t="s">
        <v>862</v>
      </c>
      <c r="E294" s="161" t="str">
        <f>IF(wld_secondary_storage_result="Excluded","This input is masked out as vSAN Storage Client Network in not enabled ",IF(wld_cl01_vds01_link_type_chosen="VDS Lag","This input is masked out as you have chosen to configure VDS LAG",""))</f>
        <v xml:space="preserve">This input is masked out as vSAN Storage Client Network in not enabled </v>
      </c>
    </row>
    <row r="295" spans="2:5" ht="20.05" customHeight="1" x14ac:dyDescent="0.35">
      <c r="B295" s="22" t="s">
        <v>885</v>
      </c>
      <c r="C295" s="159" t="s">
        <v>862</v>
      </c>
      <c r="D295" s="79" t="s">
        <v>862</v>
      </c>
      <c r="E295" s="161" t="str">
        <f>IF(wld_secondary_storage_result="Excluded","This input is masked out as vSAN Storage Client Network in not enabled ",IF(wld_cl01_vds01_link_type_chosen="VDS Lag","This input is masked out as you have chosen to configure VDS LAG",""))</f>
        <v xml:space="preserve">This input is masked out as vSAN Storage Client Network in not enabled </v>
      </c>
    </row>
    <row r="296" spans="2:5" ht="20.05" customHeight="1" x14ac:dyDescent="0.35">
      <c r="B296" s="496" t="s">
        <v>890</v>
      </c>
      <c r="C296" s="497"/>
      <c r="D296" s="497"/>
      <c r="E296" s="498"/>
    </row>
    <row r="297" spans="2:5" ht="20.05" customHeight="1" x14ac:dyDescent="0.35">
      <c r="B297" s="4" t="s">
        <v>891</v>
      </c>
      <c r="C297" s="362" t="s">
        <v>159</v>
      </c>
      <c r="D297" s="347" t="s">
        <v>159</v>
      </c>
      <c r="E297" s="32"/>
    </row>
    <row r="298" spans="2:5" ht="20.05" customHeight="1" x14ac:dyDescent="0.35">
      <c r="B298" s="4" t="s">
        <v>538</v>
      </c>
      <c r="C298" s="362" t="s">
        <v>538</v>
      </c>
      <c r="D298" s="347" t="s">
        <v>538</v>
      </c>
      <c r="E298" s="32"/>
    </row>
    <row r="299" spans="2:5" ht="20.05" customHeight="1" x14ac:dyDescent="0.35">
      <c r="B299" s="4" t="s">
        <v>892</v>
      </c>
      <c r="C299" s="362" t="s">
        <v>159</v>
      </c>
      <c r="D299" s="347" t="s">
        <v>159</v>
      </c>
      <c r="E299" s="32"/>
    </row>
    <row r="300" spans="2:5" ht="20.05" customHeight="1" x14ac:dyDescent="0.35">
      <c r="B300" s="4" t="s">
        <v>893</v>
      </c>
      <c r="C300" s="362" t="s">
        <v>159</v>
      </c>
      <c r="D300" s="347" t="s">
        <v>159</v>
      </c>
      <c r="E300" s="32"/>
    </row>
    <row r="301" spans="2:5" ht="20.05" customHeight="1" x14ac:dyDescent="0.35">
      <c r="B301" s="496" t="s">
        <v>894</v>
      </c>
      <c r="C301" s="497"/>
      <c r="D301" s="497"/>
      <c r="E301" s="498"/>
    </row>
    <row r="302" spans="2:5" ht="20.05" customHeight="1" x14ac:dyDescent="0.35">
      <c r="B302" s="4" t="s">
        <v>895</v>
      </c>
      <c r="C302" s="362" t="str">
        <f>CONCATENATE("overlay-tz-",this_instance,"-w0",wld_domain_number_chosen,"-nsx01")</f>
        <v>overlay-tz-sfo-w01-nsx01</v>
      </c>
      <c r="D302" s="347"/>
      <c r="E302" s="33" t="str">
        <f>IF(wld_cl01_vds_profile_chosen="Storage Traffic Separation","Overlay Traffic will be configured on Primary Distributed Switch",
IF(wld_cl01_vds_profile_chosen="NSX Traffic Separation","Overlay Traffic will be configured on Secondary Distributed Switch",
IF(wld_cl01_vds_profile_chosen="Storage Traffic and NSX Traffic Separation","Overlay Traffic will be configured on Tertiary Distributed Switch",
IF(wld_cl01_vds_profile_chosen="vSAN Max Storage Traffic and NSX Traffic Separation","Overlay Traffic will be configured on Tertiary Distributed Switch",
IF(wld_cl01_vds_profile_chosen="Custom","","Overlay Traffic will be configured on Primary Distributed Switch")))))</f>
        <v>Overlay Traffic will be configured on Primary Distributed Switch</v>
      </c>
    </row>
    <row r="303" spans="2:5" ht="20.05" customHeight="1" x14ac:dyDescent="0.35">
      <c r="B303" s="4" t="s">
        <v>85</v>
      </c>
      <c r="C303" s="362" t="str">
        <f>CONCATENATE(prefix_wld_az1_vlan,"14")</f>
        <v>1314</v>
      </c>
      <c r="D303" s="347"/>
    </row>
    <row r="304" spans="2:5" ht="20.05" customHeight="1" x14ac:dyDescent="0.35">
      <c r="B304" s="4" t="s">
        <v>896</v>
      </c>
      <c r="C304" s="362" t="s">
        <v>897</v>
      </c>
      <c r="D304" s="355" t="s">
        <v>897</v>
      </c>
      <c r="E304" s="4" t="str">
        <f>IF(wld_host_overlay_addressing_chosen="Static IP Pool","If Static Pools for Host TEP assignment is required then use COPY FROM PRECONFIGURED PROFILE option","")</f>
        <v>If Static Pools for Host TEP assignment is required then use COPY FROM PRECONFIGURED PROFILE option</v>
      </c>
    </row>
    <row r="305" spans="2:5" ht="20.05" customHeight="1" x14ac:dyDescent="0.35">
      <c r="B305" s="4" t="s">
        <v>897</v>
      </c>
      <c r="C305" s="362" t="s">
        <v>339</v>
      </c>
      <c r="D305" s="347" t="s">
        <v>339</v>
      </c>
      <c r="E305" s="4"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06" spans="2:5" ht="20.05" customHeight="1" x14ac:dyDescent="0.35">
      <c r="B306" s="4" t="s">
        <v>898</v>
      </c>
      <c r="C306" s="126" t="str">
        <f>CONCATENATE(this_instance,"01-w0",wld_domain_number_chosen,"-r01-ip-pool01-host")</f>
        <v>sfo01-w01-r01-ip-pool01-host</v>
      </c>
      <c r="D306" s="347"/>
      <c r="E306" s="32"/>
    </row>
    <row r="307" spans="2:5" ht="20.05" customHeight="1" x14ac:dyDescent="0.35">
      <c r="B307" s="4" t="s">
        <v>263</v>
      </c>
      <c r="C307" s="126" t="s">
        <v>899</v>
      </c>
      <c r="D307" s="347"/>
      <c r="E307" s="32"/>
    </row>
    <row r="308" spans="2:5" ht="20.05" customHeight="1" x14ac:dyDescent="0.35">
      <c r="B308" s="4" t="s">
        <v>460</v>
      </c>
      <c r="C308" s="362" t="str">
        <f>CONCATENATE(prefix_wld_az1_cidr,"14.0/24")</f>
        <v>10.13.14.0/24</v>
      </c>
      <c r="D308" s="347"/>
      <c r="E308" s="32"/>
    </row>
    <row r="309" spans="2:5" ht="20.05" customHeight="1" x14ac:dyDescent="0.35">
      <c r="B309" s="4" t="s">
        <v>255</v>
      </c>
      <c r="C309" s="362" t="str">
        <f>CONCATENATE(prefix_wld_az1_cidr,"14.101")</f>
        <v>10.13.14.101</v>
      </c>
      <c r="D309" s="347"/>
      <c r="E309" s="32"/>
    </row>
    <row r="310" spans="2:5" ht="20.05" customHeight="1" x14ac:dyDescent="0.35">
      <c r="B310" s="4" t="s">
        <v>256</v>
      </c>
      <c r="C310" s="362" t="str">
        <f>CONCATENATE(prefix_wld_az1_cidr,"14.132")</f>
        <v>10.13.14.132</v>
      </c>
      <c r="D310" s="347"/>
      <c r="E310" s="32"/>
    </row>
    <row r="311" spans="2:5" ht="20.05" customHeight="1" x14ac:dyDescent="0.35">
      <c r="B311" s="4" t="s">
        <v>461</v>
      </c>
      <c r="C311" s="362" t="str">
        <f>CONCATENATE(prefix_wld_az1_cidr,"14.1")</f>
        <v>10.13.14.1</v>
      </c>
      <c r="D311" s="347"/>
      <c r="E311" s="32"/>
    </row>
    <row r="312" spans="2:5" ht="20.05" customHeight="1" x14ac:dyDescent="0.35">
      <c r="B312" s="4" t="s">
        <v>900</v>
      </c>
      <c r="C312" s="362" t="s">
        <v>901</v>
      </c>
      <c r="D312" s="347"/>
      <c r="E312" s="32"/>
    </row>
    <row r="313" spans="2:5" ht="20.05" customHeight="1" x14ac:dyDescent="0.35">
      <c r="B313" s="496" t="s">
        <v>902</v>
      </c>
      <c r="C313" s="497"/>
      <c r="D313" s="497"/>
      <c r="E313" s="498"/>
    </row>
    <row r="314" spans="2:5" ht="20.05" customHeight="1" x14ac:dyDescent="0.35">
      <c r="B314" s="4" t="s">
        <v>337</v>
      </c>
      <c r="C314" s="362" t="str">
        <f>CONCATENATE(this_instance,"01-",sample_wld_cl01_cluster,"-r01-network-profile")</f>
        <v>sfo01-sfo-w01-cl01-r01-network-profile</v>
      </c>
      <c r="D314" s="347"/>
      <c r="E314" s="32"/>
    </row>
    <row r="315" spans="2:5" ht="20.05" customHeight="1" x14ac:dyDescent="0.35">
      <c r="B315" s="4" t="s">
        <v>903</v>
      </c>
      <c r="C315" s="362">
        <v>2</v>
      </c>
      <c r="D315" s="347"/>
      <c r="E315" s="32"/>
    </row>
    <row r="316" spans="2:5" ht="20.05" customHeight="1" x14ac:dyDescent="0.35">
      <c r="B316" s="4" t="s">
        <v>904</v>
      </c>
      <c r="C316" s="362" t="s">
        <v>884</v>
      </c>
      <c r="D316" s="347" t="s">
        <v>884</v>
      </c>
      <c r="E316" s="32"/>
    </row>
    <row r="317" spans="2:5" ht="20.05" customHeight="1" x14ac:dyDescent="0.35">
      <c r="B317" s="4" t="s">
        <v>905</v>
      </c>
      <c r="C317" s="362" t="s">
        <v>885</v>
      </c>
      <c r="D317" s="347" t="s">
        <v>885</v>
      </c>
      <c r="E317" s="32"/>
    </row>
    <row r="318" spans="2:5" ht="20.05" customHeight="1" x14ac:dyDescent="0.35">
      <c r="B318" s="17" t="s">
        <v>906</v>
      </c>
      <c r="C318" s="126" t="str">
        <f>CONCATENATE(this_instance,"01-w0",wld_domain_number_chosen,"-r01-uplink-profile01")</f>
        <v>sfo01-w01-r01-uplink-profile01</v>
      </c>
      <c r="D318" s="347"/>
      <c r="E318" s="32"/>
    </row>
    <row r="319" spans="2:5" ht="20.05" customHeight="1" x14ac:dyDescent="0.35">
      <c r="B319" s="4" t="s">
        <v>907</v>
      </c>
      <c r="C319" s="362" t="s">
        <v>908</v>
      </c>
      <c r="D319" s="347" t="s">
        <v>908</v>
      </c>
      <c r="E319" s="33" t="str">
        <f>IF(AND(wld_cl01_vds_profile_chosen="Default",wld_cl01_vds01_link_type_chosen="VDS Lag"),"This input is masked out as you have chosen to configure VDS LAG",
IF(AND(wld_cl01_vds_profile_chosen="NSX Traffic Separation",wld_cl01_vds02_link_type_chosen="VDS Lag"),"This input is masked out as you have chosen to configure VDS LAG",
IF(AND(wld_cl01_vds_profile_chosen="Storage Traffic and NSX Traffic Separation",wld_cl01_vds03_link_type_chosen="VDS Lag"),"This input is masked out as you have chosen to configure VDS LAG",
IF(AND(wld_cl01_vds_profile_chosen="Storage Traffic Separation",wld_cl01_vds01_link_type_chosen="VDS Lag"),"This input is masked out as you have chosen to configure VDS LAG",""))))</f>
        <v/>
      </c>
    </row>
    <row r="320" spans="2:5" ht="20.05" customHeight="1" x14ac:dyDescent="0.35">
      <c r="B320" s="4" t="s">
        <v>909</v>
      </c>
      <c r="C320" s="362" t="s">
        <v>159</v>
      </c>
      <c r="D320" s="347" t="s">
        <v>159</v>
      </c>
      <c r="E320" s="33" t="str">
        <f>IF(AND(wld_cl01_vds_profile_chosen="Default",wld_cl01_vds01_link_type_chosen="VDS Lag"),"This input is masked out as you have chosen to configure VDS LAG",
IF(AND(wld_cl01_vds_profile_chosen="NSX Traffic Separation",wld_cl01_vds02_link_type_chosen="VDS Lag"),"This input is masked out as you have chosen to configure VDS LAG",
IF(AND(wld_cl01_vds_profile_chosen="Storage Traffic and NSX Traffic Separation",wld_cl01_vds03_link_type_chosen="VDS Lag"),"This input is masked out as you have chosen to configure VDS LAG",
IF(AND(wld_cl01_vds_profile_chosen="Storage Traffic Separation",wld_cl01_vds01_link_type_chosen="VDS Lag"),"This input is masked out as you have chosen to configure VDS LAG",""))))</f>
        <v/>
      </c>
    </row>
    <row r="321" spans="2:5" ht="20.05" customHeight="1" x14ac:dyDescent="0.35">
      <c r="B321" s="4" t="s">
        <v>910</v>
      </c>
      <c r="C321" s="362" t="s">
        <v>159</v>
      </c>
      <c r="D321" s="347" t="s">
        <v>159</v>
      </c>
      <c r="E321" s="33" t="str">
        <f>IF(AND(wld_cl01_vds_profile_chosen="Default",wld_cl01_vds01_link_type_chosen="VDS Lag"),"This input is masked out as you have chosen to configure VDS LAG",
IF(AND(wld_cl01_vds_profile_chosen="NSX Traffic Separation",wld_cl01_vds02_link_type_chosen="VDS Lag"),"This input is masked out as you have chosen to configure VDS LAG",
IF(AND(wld_cl01_vds_profile_chosen="Storage Traffic and NSX Traffic Separation",wld_cl01_vds03_link_type_chosen="VDS Lag"),"This input is masked out as you have chosen to configure VDS LAG",
IF(AND(wld_cl01_vds_profile_chosen="Storage Traffic Separation",wld_cl01_vds01_link_type_chosen="VDS Lag"),"This input is masked out as you have chosen to configure VDS LAG",""))))</f>
        <v/>
      </c>
    </row>
    <row r="323" spans="2:5" ht="34" customHeight="1" x14ac:dyDescent="0.35">
      <c r="B323" s="407" t="s">
        <v>911</v>
      </c>
      <c r="C323" s="408"/>
      <c r="D323" s="408"/>
      <c r="E323" s="409"/>
    </row>
    <row r="324" spans="2:5" ht="20.05" customHeight="1" x14ac:dyDescent="0.35">
      <c r="B324" s="346" t="s">
        <v>17</v>
      </c>
      <c r="C324" s="346" t="s">
        <v>18</v>
      </c>
      <c r="D324" s="346" t="s">
        <v>19</v>
      </c>
      <c r="E324" s="346" t="s">
        <v>20</v>
      </c>
    </row>
    <row r="325" spans="2:5" ht="20.05" customHeight="1" x14ac:dyDescent="0.35">
      <c r="B325" s="496" t="s">
        <v>912</v>
      </c>
      <c r="C325" s="497"/>
      <c r="D325" s="497"/>
      <c r="E325" s="498"/>
    </row>
    <row r="326" spans="2:5" ht="20.05" customHeight="1" x14ac:dyDescent="0.35">
      <c r="B326" s="17" t="s">
        <v>913</v>
      </c>
      <c r="C326" s="126" t="str">
        <f>CONCATENATE(sample_wld_sddc_domain,"-cl01-sn01")</f>
        <v>sfo-w01-cl01-sn01</v>
      </c>
      <c r="D326" s="347"/>
      <c r="E326" s="33" t="s">
        <v>914</v>
      </c>
    </row>
    <row r="327" spans="2:5" ht="20.05" customHeight="1" x14ac:dyDescent="0.4">
      <c r="B327" s="17" t="s">
        <v>915</v>
      </c>
      <c r="C327" s="126" t="s">
        <v>916</v>
      </c>
      <c r="D327" s="347"/>
      <c r="E327" s="128"/>
    </row>
    <row r="328" spans="2:5" ht="20.05" customHeight="1" x14ac:dyDescent="0.35">
      <c r="B328" s="17" t="s">
        <v>917</v>
      </c>
      <c r="C328" s="126" t="s">
        <v>145</v>
      </c>
      <c r="D328" s="347" t="s">
        <v>145</v>
      </c>
      <c r="E328" s="32"/>
    </row>
    <row r="329" spans="2:5" ht="20.05" customHeight="1" x14ac:dyDescent="0.35">
      <c r="B329" s="17" t="s">
        <v>918</v>
      </c>
      <c r="C329" s="126" t="str">
        <f>IF(wld_cl01_supervisor_use_mgmt_vmk_chosen="Unselected",CONCATENATE(prefix_wld_az1_cidr,"10.50","-",prefix_wld_az1_cidr,"10.60"),CONCATENATE(prefix_wld_az1_cidr,"11.50","-",prefix_wld_az1_cidr,"11.60"))</f>
        <v>10.13.10.50-10.13.10.60</v>
      </c>
      <c r="D329" s="347"/>
      <c r="E329" s="32"/>
    </row>
    <row r="330" spans="2:5" ht="20.05" customHeight="1" x14ac:dyDescent="0.35">
      <c r="B330" s="496" t="s">
        <v>919</v>
      </c>
      <c r="C330" s="497"/>
      <c r="D330" s="497"/>
      <c r="E330" s="498"/>
    </row>
    <row r="331" spans="2:5" ht="20.05" customHeight="1" x14ac:dyDescent="0.35">
      <c r="B331" s="17" t="s">
        <v>920</v>
      </c>
      <c r="C331" s="126" t="s">
        <v>921</v>
      </c>
      <c r="D331" s="347"/>
      <c r="E331" s="32"/>
    </row>
    <row r="332" spans="2:5" ht="20.05" customHeight="1" x14ac:dyDescent="0.35">
      <c r="B332" s="17" t="s">
        <v>922</v>
      </c>
      <c r="C332" s="126" t="s">
        <v>923</v>
      </c>
      <c r="D332" s="347"/>
      <c r="E332" s="32"/>
    </row>
    <row r="333" spans="2:5" ht="20.05" customHeight="1" x14ac:dyDescent="0.35">
      <c r="B333" s="17" t="s">
        <v>924</v>
      </c>
      <c r="C333" s="126" t="s">
        <v>925</v>
      </c>
      <c r="D333" s="347"/>
      <c r="E333" s="337" t="s">
        <v>926</v>
      </c>
    </row>
    <row r="334" spans="2:5" ht="20.05" customHeight="1" x14ac:dyDescent="0.35">
      <c r="B334" s="17" t="s">
        <v>927</v>
      </c>
      <c r="C334" s="126" t="s">
        <v>928</v>
      </c>
      <c r="D334" s="347"/>
      <c r="E334" s="32"/>
    </row>
    <row r="335" spans="2:5" ht="20.05" customHeight="1" x14ac:dyDescent="0.35">
      <c r="B335" s="17" t="s">
        <v>929</v>
      </c>
      <c r="C335" s="126" t="str">
        <f>CONCATENATE(sample_region_dns1_ip,",",sample_region_dns2_ip)</f>
        <v>10.11.10.4,10.11.10.5</v>
      </c>
      <c r="D335" s="347"/>
      <c r="E335" s="32"/>
    </row>
    <row r="336" spans="2:5" ht="16" customHeight="1" x14ac:dyDescent="0.35">
      <c r="B336" s="17" t="s">
        <v>930</v>
      </c>
      <c r="C336" s="126" t="str">
        <f>CONCATENATE(sample_region_ntp1_server,",",sample_region_ntp2_server)</f>
        <v>ntp0.sfo.rainpole.io,ntp1.sfo.rainpole.io</v>
      </c>
      <c r="D336" s="347"/>
      <c r="E336" s="32"/>
    </row>
    <row r="337" spans="2:5" ht="16" customHeight="1" x14ac:dyDescent="0.35"/>
    <row r="338" spans="2:5" ht="34" customHeight="1" x14ac:dyDescent="0.35">
      <c r="B338" s="162" t="s">
        <v>931</v>
      </c>
      <c r="C338" s="394"/>
      <c r="D338" s="394"/>
      <c r="E338" s="394"/>
    </row>
    <row r="339" spans="2:5" ht="20.05" customHeight="1" x14ac:dyDescent="0.35">
      <c r="B339" s="346" t="s">
        <v>17</v>
      </c>
      <c r="C339" s="346" t="s">
        <v>18</v>
      </c>
      <c r="D339" s="346" t="s">
        <v>19</v>
      </c>
      <c r="E339" s="346" t="s">
        <v>20</v>
      </c>
    </row>
    <row r="340" spans="2:5" ht="20.05" customHeight="1" x14ac:dyDescent="0.35">
      <c r="B340" s="496" t="s">
        <v>213</v>
      </c>
      <c r="C340" s="497"/>
      <c r="D340" s="497"/>
      <c r="E340" s="498"/>
    </row>
    <row r="341" spans="2:5" ht="20.05" customHeight="1" x14ac:dyDescent="0.4">
      <c r="B341" s="128" t="s">
        <v>85</v>
      </c>
      <c r="C341" s="362" t="str">
        <f>sample_wld_az1_mgmt_vlan</f>
        <v>1311</v>
      </c>
      <c r="D341" s="163" t="str">
        <f>wld_az1_mgmt_vlan</f>
        <v>Value Missing</v>
      </c>
      <c r="E341" s="33"/>
    </row>
    <row r="342" spans="2:5" ht="20.05" customHeight="1" x14ac:dyDescent="0.4">
      <c r="B342" s="128" t="s">
        <v>187</v>
      </c>
      <c r="C342" s="362" t="str">
        <f>sample_wld_az1_mgmt_gateway_ip</f>
        <v>10.13.11.1</v>
      </c>
      <c r="D342" s="163" t="str">
        <f>wld_az1_mgmt_gateway_ip</f>
        <v>Value Missing</v>
      </c>
      <c r="E342" s="33"/>
    </row>
    <row r="343" spans="2:5" ht="20.05" customHeight="1" x14ac:dyDescent="0.4">
      <c r="B343" s="128" t="s">
        <v>188</v>
      </c>
      <c r="C343" s="362" t="str">
        <f>sample_wld_az1_mgmt_cidr</f>
        <v>10.13.11.0/24</v>
      </c>
      <c r="D343" s="163" t="str">
        <f>wld_az1_mgmt_cidr</f>
        <v>Value Missing</v>
      </c>
      <c r="E343" s="33"/>
    </row>
    <row r="344" spans="2:5" ht="20.05" customHeight="1" x14ac:dyDescent="0.35">
      <c r="B344" s="4" t="s">
        <v>160</v>
      </c>
      <c r="C344" s="362">
        <f>sample_wld_az1_mgmt_mtu</f>
        <v>1500</v>
      </c>
      <c r="D344" s="163" t="str">
        <f>wld_az1_mgmt_mtu</f>
        <v>Value Missing</v>
      </c>
      <c r="E344" s="33"/>
    </row>
    <row r="345" spans="2:5" ht="20.05" customHeight="1" x14ac:dyDescent="0.35">
      <c r="B345" s="502" t="s">
        <v>932</v>
      </c>
      <c r="C345" s="503"/>
      <c r="D345" s="503"/>
      <c r="E345" s="504"/>
    </row>
    <row r="346" spans="2:5" ht="20.05" customHeight="1" x14ac:dyDescent="0.4">
      <c r="B346" s="128" t="s">
        <v>85</v>
      </c>
      <c r="C346" s="80" t="str">
        <f>IF(wld_dpg_separation_result="Included",CONCATENATE(prefix_wld_az1_vlan,"10"),CONCATENATE(prefix_wld_az1_vlan,"11"))</f>
        <v>1310</v>
      </c>
      <c r="D346" s="347"/>
      <c r="E346" s="275" t="s">
        <v>933</v>
      </c>
    </row>
    <row r="347" spans="2:5" ht="20.05" customHeight="1" x14ac:dyDescent="0.4">
      <c r="B347" s="128" t="s">
        <v>187</v>
      </c>
      <c r="C347" s="80" t="str">
        <f>IF(wld_dpg_separation_result="Included",CONCATENATE(prefix_wld_az1_cidr,"10.1"),CONCATENATE(prefix_wld_az1_cidr,"11.1"))</f>
        <v>10.13.10.1</v>
      </c>
      <c r="D347" s="347"/>
      <c r="E347" s="275"/>
    </row>
    <row r="348" spans="2:5" ht="20.05" customHeight="1" x14ac:dyDescent="0.4">
      <c r="B348" s="128" t="s">
        <v>188</v>
      </c>
      <c r="C348" s="80" t="str">
        <f>IF(wld_dpg_separation_result="Included",CONCATENATE(prefix_wld_az1_cidr,"10.0/24"),CONCATENATE(prefix_wld_az1_cidr,"11.0/24"))</f>
        <v>10.13.10.0/24</v>
      </c>
      <c r="D348" s="347"/>
      <c r="E348" s="275"/>
    </row>
    <row r="349" spans="2:5" ht="20.05" customHeight="1" x14ac:dyDescent="0.35">
      <c r="B349" s="4" t="s">
        <v>160</v>
      </c>
      <c r="C349" s="80">
        <v>1500</v>
      </c>
      <c r="D349" s="347"/>
      <c r="E349" s="275"/>
    </row>
    <row r="350" spans="2:5" ht="20.05" customHeight="1" x14ac:dyDescent="0.35">
      <c r="B350" s="496" t="s">
        <v>251</v>
      </c>
      <c r="C350" s="497"/>
      <c r="D350" s="497"/>
      <c r="E350" s="498"/>
    </row>
    <row r="351" spans="2:5" ht="20.05" customHeight="1" x14ac:dyDescent="0.35">
      <c r="B351" s="4" t="s">
        <v>85</v>
      </c>
      <c r="C351" s="80" t="str">
        <f>sample_wld_az1_vmotion_vlan</f>
        <v>1312</v>
      </c>
      <c r="D351" s="163" t="str">
        <f>wld_az1_vmotion_vlan</f>
        <v>Value Missing</v>
      </c>
      <c r="E351" s="93"/>
    </row>
    <row r="352" spans="2:5" ht="20.05" customHeight="1" x14ac:dyDescent="0.35">
      <c r="B352" s="4" t="s">
        <v>187</v>
      </c>
      <c r="C352" s="80" t="str">
        <f>sample_wld_az1_vmotion_gateway_ip</f>
        <v>10.13.12.1</v>
      </c>
      <c r="D352" s="163" t="str">
        <f>wld_az1_vmotion_gateway_ip</f>
        <v>Value Missing</v>
      </c>
      <c r="E352" s="32"/>
    </row>
    <row r="353" spans="2:5" ht="20.05" customHeight="1" x14ac:dyDescent="0.35">
      <c r="B353" s="4" t="s">
        <v>188</v>
      </c>
      <c r="C353" s="80" t="str">
        <f>CONCATENATE(prefix_wld_az1_cidr,"12.0/24")</f>
        <v>10.13.12.0/24</v>
      </c>
      <c r="D353" s="163" t="str">
        <f>wld_az1_vmotion_cidr</f>
        <v>Value Missing</v>
      </c>
      <c r="E353" s="32"/>
    </row>
    <row r="354" spans="2:5" ht="20.05" customHeight="1" x14ac:dyDescent="0.35">
      <c r="B354" s="4" t="s">
        <v>160</v>
      </c>
      <c r="C354" s="80">
        <f>sample_wld_az1_vmotion_mtu</f>
        <v>9000</v>
      </c>
      <c r="D354" s="163" t="str">
        <f>wld_az1_vmotion_mtu</f>
        <v>Value Missing</v>
      </c>
      <c r="E354" s="32"/>
    </row>
    <row r="355" spans="2:5" ht="20.05" customHeight="1" x14ac:dyDescent="0.35">
      <c r="B355" s="17" t="s">
        <v>255</v>
      </c>
      <c r="C355" s="80" t="s">
        <v>934</v>
      </c>
      <c r="D355" s="163" t="str">
        <f>wld_az1_vmotion_pool_start_ip</f>
        <v>Value Missing</v>
      </c>
      <c r="E355" s="32"/>
    </row>
    <row r="356" spans="2:5" ht="20.05" customHeight="1" x14ac:dyDescent="0.35">
      <c r="B356" s="17" t="s">
        <v>256</v>
      </c>
      <c r="C356" s="80" t="s">
        <v>935</v>
      </c>
      <c r="D356" s="163" t="str">
        <f>wld_az1_vmotion_pool_end_ip</f>
        <v>Value Missing</v>
      </c>
      <c r="E356" s="32"/>
    </row>
    <row r="357" spans="2:5" ht="20.05" customHeight="1" x14ac:dyDescent="0.35">
      <c r="B357" s="496" t="str">
        <f>IF(wld_principal_storage_chosen="NFSv3","NFS Network","vSAN Network")</f>
        <v>vSAN Network</v>
      </c>
      <c r="C357" s="497"/>
      <c r="D357" s="497"/>
      <c r="E357" s="498"/>
    </row>
    <row r="358" spans="2:5" ht="20.05" customHeight="1" x14ac:dyDescent="0.35">
      <c r="B358" s="4" t="s">
        <v>85</v>
      </c>
      <c r="C358" s="80" t="str">
        <f>sample_wld_az1_principal_storage_vlan</f>
        <v>1313</v>
      </c>
      <c r="D358" s="163" t="str">
        <f>wld_az1_principal_storage_vlan</f>
        <v>Value Missing</v>
      </c>
      <c r="E358" s="56"/>
    </row>
    <row r="359" spans="2:5" ht="20.05" customHeight="1" x14ac:dyDescent="0.35">
      <c r="B359" s="4" t="s">
        <v>187</v>
      </c>
      <c r="C359" s="80" t="str">
        <f>sample_wld_az1_principal_storage_gateway_ip</f>
        <v>10.13.13.1</v>
      </c>
      <c r="D359" s="163" t="str">
        <f>wld_az1_principal_storage_gateway_ip</f>
        <v>Value Missing</v>
      </c>
      <c r="E359" s="56" t="str">
        <f>IF(AND(mgmt_stretched_cluster_result="Included",mgmt_dpg_reuse_result="Excluded"),"Stretched L2","")</f>
        <v/>
      </c>
    </row>
    <row r="360" spans="2:5" ht="20.05" customHeight="1" x14ac:dyDescent="0.35">
      <c r="B360" s="4" t="s">
        <v>188</v>
      </c>
      <c r="C360" s="80" t="str">
        <f>CONCATENATE(prefix_wld_az1_cidr,"13.0/24")</f>
        <v>10.13.13.0/24</v>
      </c>
      <c r="D360" s="163" t="str">
        <f>wld_az1_principal_storage_cidr</f>
        <v>Value Missing</v>
      </c>
      <c r="E360" s="56"/>
    </row>
    <row r="361" spans="2:5" ht="20.05" customHeight="1" x14ac:dyDescent="0.35">
      <c r="B361" s="4" t="s">
        <v>160</v>
      </c>
      <c r="C361" s="80">
        <f>sample_wld_az1_principal_storage_mtu</f>
        <v>9000</v>
      </c>
      <c r="D361" s="163" t="str">
        <f>wld_az1_principal_storage_mtu</f>
        <v>Value Missing</v>
      </c>
      <c r="E361" s="56"/>
    </row>
    <row r="362" spans="2:5" ht="20.05" customHeight="1" x14ac:dyDescent="0.35">
      <c r="B362" s="17" t="s">
        <v>255</v>
      </c>
      <c r="C362" s="80" t="s">
        <v>936</v>
      </c>
      <c r="D362" s="163" t="str">
        <f>wld_az1_principal_storage_pool_start_ip</f>
        <v>Value Missing</v>
      </c>
      <c r="E362" s="56"/>
    </row>
    <row r="363" spans="2:5" ht="20.05" customHeight="1" x14ac:dyDescent="0.35">
      <c r="B363" s="17" t="s">
        <v>256</v>
      </c>
      <c r="C363" s="80" t="s">
        <v>937</v>
      </c>
      <c r="D363" s="163" t="str">
        <f>wld_az1_principal_storage_pool_end_ip</f>
        <v>Value Missing</v>
      </c>
      <c r="E363" s="56"/>
    </row>
    <row r="364" spans="2:5" ht="20.05" customHeight="1" x14ac:dyDescent="0.35">
      <c r="B364" s="496" t="s">
        <v>938</v>
      </c>
      <c r="C364" s="497"/>
      <c r="D364" s="497"/>
      <c r="E364" s="498"/>
    </row>
    <row r="365" spans="2:5" ht="20.05" customHeight="1" x14ac:dyDescent="0.35">
      <c r="B365" s="4" t="s">
        <v>85</v>
      </c>
      <c r="C365" s="80" t="str">
        <f>sample_wld_az1_host_overlay_vlan</f>
        <v>1314</v>
      </c>
      <c r="D365" s="163" t="str">
        <f>wld_az1_host_overlay_vlan</f>
        <v>Value Missing</v>
      </c>
      <c r="E365" s="32"/>
    </row>
    <row r="366" spans="2:5" ht="20.05" customHeight="1" x14ac:dyDescent="0.35">
      <c r="B366" s="4" t="s">
        <v>187</v>
      </c>
      <c r="C366" s="80" t="str">
        <f>sample_wld_az1_host_overlay_gateway_ip</f>
        <v>10.13.14.1</v>
      </c>
      <c r="D366" s="163" t="str">
        <f>wld_az1_host_overlay_gateway_ip</f>
        <v>Value Missing</v>
      </c>
      <c r="E366" s="32"/>
    </row>
    <row r="367" spans="2:5" ht="20.05" customHeight="1" x14ac:dyDescent="0.35">
      <c r="B367" s="4" t="s">
        <v>188</v>
      </c>
      <c r="C367" s="80" t="str">
        <f>sample_wld_az1_host_overlay_cidr</f>
        <v>10.13.14.0/24</v>
      </c>
      <c r="D367" s="163" t="str">
        <f>wld_az1_host_overlay_cidr</f>
        <v>Value Missing</v>
      </c>
      <c r="E367" s="32"/>
    </row>
    <row r="368" spans="2:5" ht="20.05" customHeight="1" x14ac:dyDescent="0.35">
      <c r="B368" s="4" t="s">
        <v>160</v>
      </c>
      <c r="C368" s="80">
        <v>9000</v>
      </c>
      <c r="D368" s="164"/>
      <c r="E368" s="32"/>
    </row>
    <row r="369" spans="2:5" ht="20.05" customHeight="1" x14ac:dyDescent="0.35">
      <c r="B369" s="17" t="s">
        <v>255</v>
      </c>
      <c r="C369" s="80" t="str">
        <f>sample_wld_az1_host_overlay_pool_start_ip</f>
        <v>10.13.14.101</v>
      </c>
      <c r="D369" s="163" t="str">
        <f>wld_az1_host_overlay_pool_start_ip</f>
        <v>Value Missing</v>
      </c>
      <c r="E369" s="32"/>
    </row>
    <row r="370" spans="2:5" ht="20.05" customHeight="1" x14ac:dyDescent="0.35">
      <c r="B370" s="17" t="s">
        <v>256</v>
      </c>
      <c r="C370" s="80" t="str">
        <f>sample_wld_az1_host_overlay_pool_end_ip</f>
        <v>10.13.14.132</v>
      </c>
      <c r="D370" s="163" t="str">
        <f>wld_az1_host_overlay_pool_end_ip</f>
        <v>Value Missing</v>
      </c>
      <c r="E370" s="32"/>
    </row>
    <row r="371" spans="2:5" ht="20.05" customHeight="1" x14ac:dyDescent="0.35">
      <c r="B371" s="502" t="s">
        <v>939</v>
      </c>
      <c r="C371" s="503"/>
      <c r="D371" s="503"/>
      <c r="E371" s="504"/>
    </row>
    <row r="372" spans="2:5" ht="20.05" customHeight="1" x14ac:dyDescent="0.35">
      <c r="B372" s="157" t="s">
        <v>814</v>
      </c>
      <c r="C372" s="158" t="s">
        <v>940</v>
      </c>
      <c r="D372" s="158" t="s">
        <v>941</v>
      </c>
      <c r="E372" s="158" t="s">
        <v>20</v>
      </c>
    </row>
    <row r="373" spans="2:5" ht="20.05" customHeight="1" x14ac:dyDescent="0.35">
      <c r="B373" s="165" t="str">
        <f>wld_vc_fqdn</f>
        <v>Value Missing</v>
      </c>
      <c r="C373" s="131" t="str">
        <f>IF(mgmt_dpg_reuse_result="Included",CONCATENATE(prefix_mgmt_az1_cidr,"10.",(130 + (30*(wld_domain_number_chosen - 1)))),CONCATENATE(prefix_mgmt_az1_cidr,"11.",(130 + (30*(wld_domain_number_chosen - 1)))))</f>
        <v>10.11.10.130</v>
      </c>
      <c r="D373" s="164"/>
      <c r="E373" s="132" t="s">
        <v>824</v>
      </c>
    </row>
    <row r="374" spans="2:5" ht="20.05" customHeight="1" x14ac:dyDescent="0.35">
      <c r="B374" s="157" t="s">
        <v>942</v>
      </c>
      <c r="C374" s="158" t="s">
        <v>940</v>
      </c>
      <c r="D374" s="158" t="s">
        <v>941</v>
      </c>
      <c r="E374" s="158" t="s">
        <v>20</v>
      </c>
    </row>
    <row r="375" spans="2:5" ht="20.05" customHeight="1" x14ac:dyDescent="0.35">
      <c r="B375" s="165" t="str">
        <f>wld_nsxt_vip_fqdn</f>
        <v>Value Missing</v>
      </c>
      <c r="C375" s="131" t="str">
        <f>sample_wld_nsxt_vip_ip</f>
        <v>10.11.10.131</v>
      </c>
      <c r="D375" s="163" t="str">
        <f>wld_nsxt_vip_ip</f>
        <v>Value Missing</v>
      </c>
      <c r="E375" s="132" t="s">
        <v>792</v>
      </c>
    </row>
    <row r="376" spans="2:5" ht="20.05" customHeight="1" x14ac:dyDescent="0.35">
      <c r="B376" s="165" t="str">
        <f>wld_nsxt_mgra_fqdn</f>
        <v>Value Missing</v>
      </c>
      <c r="C376" s="131" t="str">
        <f>sample_wld_nsxt_mgra_ip</f>
        <v>10.11.10.132</v>
      </c>
      <c r="D376" s="163" t="str">
        <f>wld_nsxt_mgra_ip</f>
        <v>Value Missing</v>
      </c>
      <c r="E376" s="132" t="s">
        <v>786</v>
      </c>
    </row>
    <row r="377" spans="2:5" ht="20.05" customHeight="1" x14ac:dyDescent="0.35">
      <c r="B377" s="165" t="str">
        <f>wld_nsxt_mgrb_fqdn</f>
        <v>Value Missing</v>
      </c>
      <c r="C377" s="131" t="str">
        <f>sample_wld_nsxt_mgrb_ip</f>
        <v>10.11.10.133</v>
      </c>
      <c r="D377" s="163" t="str">
        <f>wld_nsxt_mgrb_ip</f>
        <v>Value Missing</v>
      </c>
      <c r="E377" s="132" t="s">
        <v>788</v>
      </c>
    </row>
    <row r="378" spans="2:5" ht="20.05" customHeight="1" x14ac:dyDescent="0.35">
      <c r="B378" s="165" t="str">
        <f>wld_nsxt_mgrc_fqdn</f>
        <v>Value Missing</v>
      </c>
      <c r="C378" s="131" t="str">
        <f>sample_wld_nsxt_mgrc_ip</f>
        <v>10.11.10.134</v>
      </c>
      <c r="D378" s="163" t="str">
        <f>wld_nsxt_mgrc_ip</f>
        <v>Value Missing</v>
      </c>
      <c r="E378" s="132" t="s">
        <v>790</v>
      </c>
    </row>
    <row r="379" spans="2:5" ht="20.05" customHeight="1" x14ac:dyDescent="0.35">
      <c r="B379" s="157" t="s">
        <v>214</v>
      </c>
      <c r="C379" s="158" t="s">
        <v>940</v>
      </c>
      <c r="D379" s="158" t="s">
        <v>941</v>
      </c>
      <c r="E379" s="158" t="s">
        <v>20</v>
      </c>
    </row>
    <row r="380" spans="2:5" ht="20.05" customHeight="1" x14ac:dyDescent="0.35">
      <c r="B380" s="165" t="str">
        <f>wld_az1_host1_fqdn</f>
        <v>Value Missing</v>
      </c>
      <c r="C380" s="89" t="str">
        <f t="shared" ref="C380:C395" si="0">sample_wld_az1_host1_mgmt_ip</f>
        <v>10.13.11.101</v>
      </c>
      <c r="D380" s="163" t="str">
        <f>wld_az1_host1_mgmt_ip</f>
        <v>Value Missing</v>
      </c>
      <c r="E380" s="100" t="s">
        <v>943</v>
      </c>
    </row>
    <row r="381" spans="2:5" ht="20.05" customHeight="1" x14ac:dyDescent="0.35">
      <c r="B381" s="165" t="str">
        <f>wld_az1_host2_fqdn</f>
        <v>Value Missing</v>
      </c>
      <c r="C381" s="89" t="str">
        <f t="shared" si="0"/>
        <v>10.13.11.101</v>
      </c>
      <c r="D381" s="163" t="str">
        <f>wld_az1_host2_mgmt_ip</f>
        <v>Value Missing</v>
      </c>
      <c r="E381" s="100" t="s">
        <v>944</v>
      </c>
    </row>
    <row r="382" spans="2:5" ht="20.05" customHeight="1" x14ac:dyDescent="0.35">
      <c r="B382" s="165" t="str">
        <f>wld_az1_host3_fqdn</f>
        <v>Value Missing</v>
      </c>
      <c r="C382" s="89" t="str">
        <f t="shared" si="0"/>
        <v>10.13.11.101</v>
      </c>
      <c r="D382" s="163" t="str">
        <f>wld_az1_host3_mgmt_ip</f>
        <v>Value Missing</v>
      </c>
      <c r="E382" s="100" t="s">
        <v>945</v>
      </c>
    </row>
    <row r="383" spans="2:5" ht="20.05" customHeight="1" x14ac:dyDescent="0.35">
      <c r="B383" s="165" t="str">
        <f>wld_az1_host4_fqdn</f>
        <v>Value Missing</v>
      </c>
      <c r="C383" s="89" t="str">
        <f t="shared" si="0"/>
        <v>10.13.11.101</v>
      </c>
      <c r="D383" s="163" t="str">
        <f>wld_az1_host4_mgmt_ip</f>
        <v>Value Missing</v>
      </c>
      <c r="E383" s="100" t="s">
        <v>946</v>
      </c>
    </row>
    <row r="384" spans="2:5" ht="20.05" customHeight="1" x14ac:dyDescent="0.35">
      <c r="B384" s="165" t="str">
        <f>wld_az1_host5_fqdn</f>
        <v>Value Missing</v>
      </c>
      <c r="C384" s="89" t="str">
        <f t="shared" si="0"/>
        <v>10.13.11.101</v>
      </c>
      <c r="D384" s="163" t="str">
        <f>wld_az1_host5_mgmt_ip</f>
        <v>Value Missing</v>
      </c>
      <c r="E384" s="100" t="s">
        <v>947</v>
      </c>
    </row>
    <row r="385" spans="2:5" ht="20.05" customHeight="1" x14ac:dyDescent="0.35">
      <c r="B385" s="165" t="str">
        <f>wld_az1_host6_fqdn</f>
        <v>Value Missing</v>
      </c>
      <c r="C385" s="89" t="str">
        <f t="shared" si="0"/>
        <v>10.13.11.101</v>
      </c>
      <c r="D385" s="163" t="str">
        <f>wld_az1_host6_mgmt_ip</f>
        <v>Value Missing</v>
      </c>
      <c r="E385" s="100" t="s">
        <v>948</v>
      </c>
    </row>
    <row r="386" spans="2:5" ht="20.05" customHeight="1" x14ac:dyDescent="0.35">
      <c r="B386" s="165" t="str">
        <f>wld_az1_host7_fqdn</f>
        <v>Value Missing</v>
      </c>
      <c r="C386" s="89" t="str">
        <f t="shared" si="0"/>
        <v>10.13.11.101</v>
      </c>
      <c r="D386" s="163" t="str">
        <f>wld_az1_host7_mgmt_ip</f>
        <v>Value Missing</v>
      </c>
      <c r="E386" s="100" t="s">
        <v>949</v>
      </c>
    </row>
    <row r="387" spans="2:5" ht="20.05" customHeight="1" x14ac:dyDescent="0.35">
      <c r="B387" s="165" t="str">
        <f>wld_az1_host8_fqdn</f>
        <v>Value Missing</v>
      </c>
      <c r="C387" s="89" t="str">
        <f t="shared" si="0"/>
        <v>10.13.11.101</v>
      </c>
      <c r="D387" s="163" t="str">
        <f>wld_az1_host8_mgmt_ip</f>
        <v>Value Missing</v>
      </c>
      <c r="E387" s="100" t="s">
        <v>950</v>
      </c>
    </row>
    <row r="388" spans="2:5" ht="20.05" customHeight="1" x14ac:dyDescent="0.35">
      <c r="B388" s="165" t="str">
        <f>wld_az1_host9_fqdn</f>
        <v>Value Missing</v>
      </c>
      <c r="C388" s="89" t="str">
        <f t="shared" si="0"/>
        <v>10.13.11.101</v>
      </c>
      <c r="D388" s="163" t="str">
        <f>wld_az1_host9_mgmt_ip</f>
        <v>Value Missing</v>
      </c>
      <c r="E388" s="100" t="s">
        <v>951</v>
      </c>
    </row>
    <row r="389" spans="2:5" ht="20.05" customHeight="1" x14ac:dyDescent="0.35">
      <c r="B389" s="165" t="str">
        <f>wld_az1_host10_fqdn</f>
        <v>Value Missing</v>
      </c>
      <c r="C389" s="89" t="str">
        <f t="shared" si="0"/>
        <v>10.13.11.101</v>
      </c>
      <c r="D389" s="163" t="str">
        <f>wld_az1_host10_mgmt_ip</f>
        <v>Value Missing</v>
      </c>
      <c r="E389" s="100" t="s">
        <v>952</v>
      </c>
    </row>
    <row r="390" spans="2:5" ht="20.05" customHeight="1" x14ac:dyDescent="0.35">
      <c r="B390" s="165" t="str">
        <f>wld_az1_host11_fqdn</f>
        <v>Value Missing</v>
      </c>
      <c r="C390" s="89" t="str">
        <f t="shared" si="0"/>
        <v>10.13.11.101</v>
      </c>
      <c r="D390" s="163" t="str">
        <f>wld_az1_host11_mgmt_ip</f>
        <v>Value Missing</v>
      </c>
      <c r="E390" s="100" t="s">
        <v>953</v>
      </c>
    </row>
    <row r="391" spans="2:5" ht="16" customHeight="1" x14ac:dyDescent="0.35">
      <c r="B391" s="165" t="str">
        <f>wld_az1_host12_fqdn</f>
        <v>Value Missing</v>
      </c>
      <c r="C391" s="89" t="str">
        <f t="shared" si="0"/>
        <v>10.13.11.101</v>
      </c>
      <c r="D391" s="163" t="str">
        <f>wld_az1_host12_mgmt_ip</f>
        <v>Value Missing</v>
      </c>
      <c r="E391" s="100" t="s">
        <v>954</v>
      </c>
    </row>
    <row r="392" spans="2:5" ht="20.05" customHeight="1" x14ac:dyDescent="0.35">
      <c r="B392" s="165" t="str">
        <f>wld_az1_host13_fqdn</f>
        <v>Value Missing</v>
      </c>
      <c r="C392" s="89" t="str">
        <f t="shared" si="0"/>
        <v>10.13.11.101</v>
      </c>
      <c r="D392" s="163" t="str">
        <f>wld_az1_host13_mgmt_ip</f>
        <v>Value Missing</v>
      </c>
      <c r="E392" s="100" t="s">
        <v>955</v>
      </c>
    </row>
    <row r="393" spans="2:5" ht="20.05" customHeight="1" x14ac:dyDescent="0.35">
      <c r="B393" s="165" t="str">
        <f>wld_az1_host14_fqdn</f>
        <v>Value Missing</v>
      </c>
      <c r="C393" s="89" t="str">
        <f t="shared" si="0"/>
        <v>10.13.11.101</v>
      </c>
      <c r="D393" s="163" t="str">
        <f>wld_az1_host14_mgmt_ip</f>
        <v>Value Missing</v>
      </c>
      <c r="E393" s="100" t="s">
        <v>956</v>
      </c>
    </row>
    <row r="394" spans="2:5" ht="20.05" customHeight="1" x14ac:dyDescent="0.35">
      <c r="B394" s="165" t="str">
        <f>wld_az1_host15_fqdn</f>
        <v>Value Missing</v>
      </c>
      <c r="C394" s="89" t="str">
        <f t="shared" si="0"/>
        <v>10.13.11.101</v>
      </c>
      <c r="D394" s="163" t="str">
        <f>wld_az1_host15_mgmt_ip</f>
        <v>Value Missing</v>
      </c>
      <c r="E394" s="100" t="s">
        <v>957</v>
      </c>
    </row>
    <row r="395" spans="2:5" ht="20.05" customHeight="1" x14ac:dyDescent="0.35">
      <c r="B395" s="165" t="str">
        <f>wld_az1_host16_fqdn</f>
        <v>Value Missing</v>
      </c>
      <c r="C395" s="89" t="str">
        <f t="shared" si="0"/>
        <v>10.13.11.101</v>
      </c>
      <c r="D395" s="163" t="str">
        <f>wld_az1_host16_mgmt_ip</f>
        <v>Value Missing</v>
      </c>
      <c r="E395" s="100" t="s">
        <v>958</v>
      </c>
    </row>
    <row r="396" spans="2:5" ht="20.05" customHeight="1" x14ac:dyDescent="0.35"/>
    <row r="397" spans="2:5" ht="20.05" customHeight="1" x14ac:dyDescent="0.35"/>
    <row r="398" spans="2:5" ht="20.05" customHeight="1" x14ac:dyDescent="0.35"/>
    <row r="399" spans="2:5" ht="20.05" customHeight="1" x14ac:dyDescent="0.35">
      <c r="B399" s="168"/>
      <c r="C399" s="168"/>
      <c r="D399" s="2"/>
    </row>
    <row r="400" spans="2:5" ht="20.05" customHeight="1" x14ac:dyDescent="0.35"/>
    <row r="401" ht="20.05" customHeight="1" x14ac:dyDescent="0.35"/>
    <row r="402" ht="20.05" customHeight="1" x14ac:dyDescent="0.35"/>
    <row r="403" ht="20.05" customHeight="1" x14ac:dyDescent="0.35"/>
    <row r="404" ht="20.05" customHeight="1" x14ac:dyDescent="0.35"/>
    <row r="405" ht="20.05" customHeight="1" x14ac:dyDescent="0.35"/>
    <row r="406" ht="20.05" customHeight="1" x14ac:dyDescent="0.35"/>
    <row r="407" ht="20.05" customHeight="1" x14ac:dyDescent="0.35"/>
    <row r="408" ht="20.05" customHeight="1" x14ac:dyDescent="0.35"/>
    <row r="409" ht="20.05" customHeight="1" x14ac:dyDescent="0.35"/>
    <row r="410" ht="20.05" customHeight="1" x14ac:dyDescent="0.35"/>
    <row r="411" ht="20.05" customHeight="1" x14ac:dyDescent="0.35"/>
    <row r="412" ht="20.05" customHeight="1" x14ac:dyDescent="0.35"/>
    <row r="413" ht="20.05" customHeight="1" x14ac:dyDescent="0.35"/>
    <row r="414" ht="20.05" customHeight="1" x14ac:dyDescent="0.35"/>
    <row r="415" ht="20.05" customHeight="1" x14ac:dyDescent="0.35"/>
    <row r="416" ht="20.05" customHeight="1" x14ac:dyDescent="0.35"/>
    <row r="417" ht="20.05" customHeight="1" x14ac:dyDescent="0.35"/>
    <row r="418" ht="20.05" customHeight="1" x14ac:dyDescent="0.35"/>
    <row r="419" ht="20.05" customHeight="1" x14ac:dyDescent="0.35"/>
    <row r="420" ht="20.05" customHeight="1" x14ac:dyDescent="0.35"/>
    <row r="421" ht="20.05" customHeight="1" x14ac:dyDescent="0.35"/>
    <row r="422" ht="20.05" customHeight="1" x14ac:dyDescent="0.35"/>
    <row r="423" ht="20.05" customHeight="1" x14ac:dyDescent="0.35"/>
    <row r="424" ht="20.05" customHeight="1" x14ac:dyDescent="0.35"/>
    <row r="425" ht="20.05" customHeight="1" x14ac:dyDescent="0.35"/>
    <row r="426" ht="20.05" customHeight="1" x14ac:dyDescent="0.35"/>
    <row r="427" ht="20.05" customHeight="1" x14ac:dyDescent="0.35"/>
    <row r="428" ht="20.05" customHeight="1" x14ac:dyDescent="0.35"/>
    <row r="429" ht="20.05" customHeight="1" x14ac:dyDescent="0.35"/>
    <row r="430" ht="20.05" customHeight="1" x14ac:dyDescent="0.35"/>
    <row r="431" ht="20.05" customHeight="1" x14ac:dyDescent="0.35"/>
    <row r="432" ht="20.05" customHeight="1" x14ac:dyDescent="0.35"/>
    <row r="433" ht="16" customHeight="1" x14ac:dyDescent="0.35"/>
    <row r="434" ht="20.05" customHeight="1" x14ac:dyDescent="0.35"/>
    <row r="435" ht="16" customHeight="1" x14ac:dyDescent="0.35"/>
    <row r="436" ht="34" customHeight="1" x14ac:dyDescent="0.35"/>
    <row r="437" ht="20.05" customHeight="1" x14ac:dyDescent="0.35"/>
    <row r="438" ht="20.05" customHeight="1" x14ac:dyDescent="0.35"/>
    <row r="439" ht="20.05" customHeight="1" x14ac:dyDescent="0.35"/>
    <row r="440" ht="20.05" customHeight="1" x14ac:dyDescent="0.35"/>
    <row r="441" ht="20.05" customHeight="1" x14ac:dyDescent="0.35"/>
    <row r="442" ht="20.05" customHeight="1" x14ac:dyDescent="0.35"/>
    <row r="443" ht="20.05" customHeight="1" x14ac:dyDescent="0.35"/>
    <row r="444" ht="20.05" customHeight="1" x14ac:dyDescent="0.35"/>
    <row r="445" ht="20.05" customHeight="1" x14ac:dyDescent="0.35"/>
    <row r="446" ht="20.05" customHeight="1" x14ac:dyDescent="0.35"/>
    <row r="447" ht="20.05" customHeight="1" x14ac:dyDescent="0.35"/>
    <row r="448" ht="20.05" customHeight="1" x14ac:dyDescent="0.35"/>
    <row r="449" ht="20.05" customHeight="1" x14ac:dyDescent="0.35"/>
    <row r="450" ht="20.05" customHeight="1" x14ac:dyDescent="0.35"/>
    <row r="451" ht="20.05" customHeight="1" x14ac:dyDescent="0.35"/>
    <row r="452" ht="20.05" customHeight="1" x14ac:dyDescent="0.35"/>
    <row r="453" ht="20.05" customHeight="1" x14ac:dyDescent="0.35"/>
    <row r="454" ht="20.05" customHeight="1" x14ac:dyDescent="0.35"/>
    <row r="455" ht="20.05" customHeight="1" x14ac:dyDescent="0.35"/>
    <row r="456" ht="20.05" customHeight="1" x14ac:dyDescent="0.35"/>
    <row r="457" ht="20.05" customHeight="1" x14ac:dyDescent="0.35"/>
    <row r="458" ht="20.05" customHeight="1" x14ac:dyDescent="0.35"/>
    <row r="459" ht="20.05" customHeight="1" x14ac:dyDescent="0.35"/>
    <row r="460" ht="20.05" customHeight="1" x14ac:dyDescent="0.35"/>
    <row r="461" ht="20.05" customHeight="1" x14ac:dyDescent="0.35"/>
    <row r="462" ht="20.05" customHeight="1" x14ac:dyDescent="0.35"/>
    <row r="463" ht="20.05" customHeight="1" x14ac:dyDescent="0.35"/>
    <row r="464" ht="20.05" customHeight="1" x14ac:dyDescent="0.35"/>
    <row r="465" ht="20.05" customHeight="1" x14ac:dyDescent="0.35"/>
    <row r="466" ht="20.05" customHeight="1" x14ac:dyDescent="0.35"/>
    <row r="467" ht="20.05" customHeight="1" x14ac:dyDescent="0.35"/>
    <row r="468" ht="20.05" customHeight="1" x14ac:dyDescent="0.35"/>
    <row r="469" ht="20.05" customHeight="1" x14ac:dyDescent="0.35"/>
    <row r="470" ht="20.05" customHeight="1" x14ac:dyDescent="0.35"/>
    <row r="471" ht="20.05" customHeight="1" x14ac:dyDescent="0.35"/>
    <row r="472" ht="20.05" customHeight="1" x14ac:dyDescent="0.35"/>
    <row r="473" ht="20.05" customHeight="1" x14ac:dyDescent="0.35"/>
    <row r="474" ht="20.05" customHeight="1" x14ac:dyDescent="0.35"/>
    <row r="475" ht="20.05" customHeight="1" x14ac:dyDescent="0.35"/>
    <row r="476" ht="20.05" customHeight="1" x14ac:dyDescent="0.35"/>
    <row r="477" ht="20.05" customHeight="1" x14ac:dyDescent="0.35"/>
    <row r="478" ht="20.05" customHeight="1" x14ac:dyDescent="0.35"/>
    <row r="479" ht="20.05" customHeight="1" x14ac:dyDescent="0.35"/>
    <row r="480" ht="20.05" customHeight="1" x14ac:dyDescent="0.35"/>
    <row r="481" ht="20.05" customHeight="1" x14ac:dyDescent="0.35"/>
    <row r="482" ht="20.05" customHeight="1" x14ac:dyDescent="0.35"/>
    <row r="483" ht="20.05" customHeight="1" x14ac:dyDescent="0.35"/>
    <row r="484" ht="20.05" customHeight="1" x14ac:dyDescent="0.35"/>
    <row r="485" ht="20.05" customHeight="1" x14ac:dyDescent="0.35"/>
    <row r="486" ht="20.05" customHeight="1" x14ac:dyDescent="0.35"/>
    <row r="487" ht="20.05" customHeight="1" x14ac:dyDescent="0.35"/>
    <row r="488" ht="20.05" customHeight="1" x14ac:dyDescent="0.35"/>
    <row r="489" ht="20.05" customHeight="1" x14ac:dyDescent="0.35"/>
    <row r="490" ht="20.05" customHeight="1" x14ac:dyDescent="0.35"/>
    <row r="491" ht="20.05" customHeight="1" x14ac:dyDescent="0.35"/>
    <row r="492" ht="16" customHeight="1" x14ac:dyDescent="0.35"/>
    <row r="493" ht="16" customHeight="1" x14ac:dyDescent="0.35"/>
    <row r="494" ht="16" customHeight="1" x14ac:dyDescent="0.35"/>
    <row r="495" ht="34" customHeight="1" x14ac:dyDescent="0.35"/>
    <row r="496" ht="20.05" customHeight="1" x14ac:dyDescent="0.35"/>
    <row r="497" spans="7:7" ht="20.05" customHeight="1" x14ac:dyDescent="0.35"/>
    <row r="498" spans="7:7" ht="20.05" customHeight="1" x14ac:dyDescent="0.35"/>
    <row r="499" spans="7:7" ht="20.05" customHeight="1" x14ac:dyDescent="0.35"/>
    <row r="500" spans="7:7" ht="20.05" customHeight="1" x14ac:dyDescent="0.35"/>
    <row r="501" spans="7:7" ht="20.05" customHeight="1" x14ac:dyDescent="0.35"/>
    <row r="502" spans="7:7" ht="20.05" customHeight="1" x14ac:dyDescent="0.35"/>
    <row r="503" spans="7:7" ht="20.05" customHeight="1" x14ac:dyDescent="0.35"/>
    <row r="504" spans="7:7" ht="20.05" customHeight="1" x14ac:dyDescent="0.35">
      <c r="G504" s="27"/>
    </row>
    <row r="505" spans="7:7" ht="20.05" customHeight="1" x14ac:dyDescent="0.35"/>
    <row r="506" spans="7:7" ht="20.05" customHeight="1" x14ac:dyDescent="0.35"/>
    <row r="507" spans="7:7" ht="20.05" customHeight="1" x14ac:dyDescent="0.35"/>
    <row r="508" spans="7:7" ht="20.05" customHeight="1" x14ac:dyDescent="0.35"/>
    <row r="509" spans="7:7" ht="20.05" customHeight="1" x14ac:dyDescent="0.35"/>
    <row r="510" spans="7:7" ht="20.05" customHeight="1" x14ac:dyDescent="0.35"/>
    <row r="511" spans="7:7" ht="20.05" customHeight="1" x14ac:dyDescent="0.35"/>
    <row r="512" spans="7:7" ht="20.05" customHeight="1" x14ac:dyDescent="0.35"/>
    <row r="513" ht="20.05" customHeight="1" x14ac:dyDescent="0.35"/>
    <row r="514" ht="20.05" customHeight="1" x14ac:dyDescent="0.35"/>
    <row r="515" ht="20.05" customHeight="1" x14ac:dyDescent="0.35"/>
    <row r="516" ht="20.05" customHeight="1" x14ac:dyDescent="0.35"/>
    <row r="517" ht="20.05" customHeight="1" x14ac:dyDescent="0.35"/>
    <row r="518" ht="20.05" customHeight="1" x14ac:dyDescent="0.35"/>
    <row r="519" ht="20.05" customHeight="1" x14ac:dyDescent="0.35"/>
    <row r="520" ht="20.05" customHeight="1" x14ac:dyDescent="0.35"/>
    <row r="521" ht="20.05" customHeight="1" x14ac:dyDescent="0.35"/>
    <row r="522" ht="20.05" customHeight="1" x14ac:dyDescent="0.35"/>
    <row r="523" ht="20.05" customHeight="1" x14ac:dyDescent="0.35"/>
    <row r="524" ht="20.05" customHeight="1" x14ac:dyDescent="0.35"/>
    <row r="525" ht="20.05" customHeight="1" x14ac:dyDescent="0.35"/>
    <row r="526" ht="20.05" customHeight="1" x14ac:dyDescent="0.35"/>
    <row r="527" ht="20.05" customHeight="1" x14ac:dyDescent="0.35"/>
    <row r="528" ht="20.05" customHeight="1" x14ac:dyDescent="0.35"/>
    <row r="529" ht="20.05" customHeight="1" x14ac:dyDescent="0.35"/>
    <row r="530" ht="20.05" customHeight="1" x14ac:dyDescent="0.35"/>
    <row r="531" ht="20.05" customHeight="1" x14ac:dyDescent="0.35"/>
    <row r="532" ht="20.05" customHeight="1" x14ac:dyDescent="0.35"/>
    <row r="533" ht="20.05" customHeight="1" x14ac:dyDescent="0.35"/>
    <row r="534" ht="20.05" customHeight="1" x14ac:dyDescent="0.35"/>
    <row r="535" ht="20.05" customHeight="1" x14ac:dyDescent="0.35"/>
    <row r="536" ht="20.05" customHeight="1" x14ac:dyDescent="0.35"/>
    <row r="537" ht="20.05" customHeight="1" x14ac:dyDescent="0.35"/>
    <row r="538" ht="20.05" customHeight="1" x14ac:dyDescent="0.35"/>
    <row r="539" ht="20.05" customHeight="1" x14ac:dyDescent="0.35"/>
    <row r="540" ht="20.05" customHeight="1" x14ac:dyDescent="0.35"/>
    <row r="541" ht="20.05" customHeight="1" x14ac:dyDescent="0.35"/>
    <row r="542" ht="20.05" customHeight="1" x14ac:dyDescent="0.35"/>
    <row r="543" ht="20.05" customHeight="1" x14ac:dyDescent="0.35"/>
    <row r="544" ht="20.05" customHeight="1" x14ac:dyDescent="0.35"/>
    <row r="545" ht="20.05" customHeight="1" x14ac:dyDescent="0.35"/>
    <row r="546" ht="20.05" customHeight="1" x14ac:dyDescent="0.35"/>
    <row r="547" ht="20.05" customHeight="1" x14ac:dyDescent="0.35"/>
    <row r="548" ht="20.05" customHeight="1" x14ac:dyDescent="0.35"/>
    <row r="549" ht="20.05" customHeight="1" x14ac:dyDescent="0.35"/>
    <row r="550" ht="20.05" customHeight="1" x14ac:dyDescent="0.35"/>
    <row r="551" ht="16" customHeight="1" x14ac:dyDescent="0.35"/>
    <row r="552" ht="20.05" customHeight="1" x14ac:dyDescent="0.35"/>
    <row r="553" ht="16" customHeight="1" x14ac:dyDescent="0.35"/>
    <row r="554" ht="34" customHeight="1" x14ac:dyDescent="0.35"/>
    <row r="555" ht="20.05" customHeight="1" x14ac:dyDescent="0.35"/>
    <row r="556" ht="34" customHeight="1" x14ac:dyDescent="0.35"/>
    <row r="557" ht="20.05" customHeight="1" x14ac:dyDescent="0.35"/>
    <row r="558" ht="20.05" customHeight="1" x14ac:dyDescent="0.35"/>
    <row r="559" ht="20.05" customHeight="1" x14ac:dyDescent="0.35"/>
    <row r="560" ht="20.05" customHeight="1" x14ac:dyDescent="0.35"/>
    <row r="561" spans="7:7" ht="20.05" customHeight="1" x14ac:dyDescent="0.35"/>
    <row r="562" spans="7:7" ht="20.05" customHeight="1" x14ac:dyDescent="0.35"/>
    <row r="563" spans="7:7" ht="20.05" customHeight="1" x14ac:dyDescent="0.35"/>
    <row r="564" spans="7:7" ht="16" customHeight="1" x14ac:dyDescent="0.35"/>
    <row r="565" spans="7:7" ht="34" customHeight="1" x14ac:dyDescent="0.35"/>
    <row r="566" spans="7:7" ht="16" customHeight="1" x14ac:dyDescent="0.35"/>
    <row r="567" spans="7:7" ht="34" customHeight="1" x14ac:dyDescent="0.35"/>
    <row r="568" spans="7:7" ht="20.05" customHeight="1" x14ac:dyDescent="0.35">
      <c r="G568" s="27"/>
    </row>
    <row r="569" spans="7:7" ht="34" customHeight="1" x14ac:dyDescent="0.35"/>
    <row r="570" spans="7:7" ht="20.05" customHeight="1" x14ac:dyDescent="0.35"/>
    <row r="571" spans="7:7" ht="20.05" customHeight="1" x14ac:dyDescent="0.35"/>
    <row r="572" spans="7:7" ht="20.05" customHeight="1" x14ac:dyDescent="0.35"/>
    <row r="573" spans="7:7" ht="20.05" customHeight="1" x14ac:dyDescent="0.35">
      <c r="G573" s="27"/>
    </row>
    <row r="574" spans="7:7" ht="20.05" customHeight="1" x14ac:dyDescent="0.35"/>
    <row r="575" spans="7:7" ht="20.05" customHeight="1" x14ac:dyDescent="0.35"/>
    <row r="576" spans="7:7" ht="20.05" customHeight="1" x14ac:dyDescent="0.35"/>
    <row r="577" spans="7:7" ht="20.05" customHeight="1" x14ac:dyDescent="0.35"/>
    <row r="578" spans="7:7" ht="20.05" customHeight="1" x14ac:dyDescent="0.35"/>
    <row r="579" spans="7:7" ht="20.05" customHeight="1" x14ac:dyDescent="0.35"/>
    <row r="580" spans="7:7" ht="20.05" customHeight="1" x14ac:dyDescent="0.35"/>
    <row r="581" spans="7:7" ht="20.05" customHeight="1" x14ac:dyDescent="0.35">
      <c r="G581" s="27"/>
    </row>
    <row r="582" spans="7:7" ht="20.05" customHeight="1" x14ac:dyDescent="0.35"/>
    <row r="583" spans="7:7" ht="20.05" customHeight="1" x14ac:dyDescent="0.35">
      <c r="G583" s="27"/>
    </row>
    <row r="584" spans="7:7" ht="20.05" customHeight="1" x14ac:dyDescent="0.35"/>
    <row r="585" spans="7:7" ht="20.05" customHeight="1" x14ac:dyDescent="0.35"/>
    <row r="586" spans="7:7" ht="20.05" customHeight="1" x14ac:dyDescent="0.35"/>
    <row r="587" spans="7:7" ht="20.05" customHeight="1" x14ac:dyDescent="0.35"/>
    <row r="588" spans="7:7" ht="20.05" customHeight="1" x14ac:dyDescent="0.35"/>
    <row r="589" spans="7:7" ht="20.05" customHeight="1" x14ac:dyDescent="0.35"/>
    <row r="590" spans="7:7" ht="20.05" customHeight="1" x14ac:dyDescent="0.35">
      <c r="G590" s="27"/>
    </row>
    <row r="591" spans="7:7" ht="20.05" customHeight="1" x14ac:dyDescent="0.35"/>
    <row r="592" spans="7:7" ht="20.05" customHeight="1" x14ac:dyDescent="0.35"/>
    <row r="593" spans="7:7" ht="20.05" customHeight="1" x14ac:dyDescent="0.35"/>
    <row r="594" spans="7:7" ht="20.05" customHeight="1" x14ac:dyDescent="0.35"/>
    <row r="595" spans="7:7" ht="20.05" customHeight="1" x14ac:dyDescent="0.35"/>
    <row r="596" spans="7:7" ht="20.05" customHeight="1" x14ac:dyDescent="0.35">
      <c r="G596" s="27"/>
    </row>
    <row r="597" spans="7:7" ht="20.05" customHeight="1" x14ac:dyDescent="0.35"/>
    <row r="598" spans="7:7" ht="20.05" customHeight="1" x14ac:dyDescent="0.35"/>
    <row r="599" spans="7:7" ht="20.05" customHeight="1" x14ac:dyDescent="0.35"/>
    <row r="600" spans="7:7" ht="20.05" customHeight="1" x14ac:dyDescent="0.35"/>
    <row r="601" spans="7:7" ht="20.05" customHeight="1" x14ac:dyDescent="0.35"/>
    <row r="602" spans="7:7" ht="20.05" customHeight="1" x14ac:dyDescent="0.35">
      <c r="G602" s="27"/>
    </row>
    <row r="603" spans="7:7" ht="20.05" customHeight="1" x14ac:dyDescent="0.35"/>
    <row r="604" spans="7:7" ht="20.05" customHeight="1" x14ac:dyDescent="0.35"/>
    <row r="605" spans="7:7" ht="20.05" customHeight="1" x14ac:dyDescent="0.35"/>
    <row r="606" spans="7:7" ht="20.05" customHeight="1" x14ac:dyDescent="0.35"/>
    <row r="607" spans="7:7" ht="20.05" customHeight="1" x14ac:dyDescent="0.35"/>
    <row r="608" spans="7:7" ht="20.05" customHeight="1" x14ac:dyDescent="0.35"/>
    <row r="609" spans="7:7" ht="20.05" customHeight="1" x14ac:dyDescent="0.35"/>
    <row r="610" spans="7:7" ht="20.05" customHeight="1" x14ac:dyDescent="0.35"/>
    <row r="611" spans="7:7" ht="20.05" customHeight="1" x14ac:dyDescent="0.35"/>
    <row r="612" spans="7:7" ht="20.05" customHeight="1" x14ac:dyDescent="0.35">
      <c r="G612" s="27"/>
    </row>
    <row r="613" spans="7:7" ht="20.05" customHeight="1" x14ac:dyDescent="0.35"/>
    <row r="614" spans="7:7" ht="20.05" customHeight="1" x14ac:dyDescent="0.35"/>
    <row r="615" spans="7:7" ht="20.05" customHeight="1" x14ac:dyDescent="0.35">
      <c r="G615" s="27"/>
    </row>
    <row r="616" spans="7:7" ht="20.05" customHeight="1" x14ac:dyDescent="0.35"/>
    <row r="617" spans="7:7" ht="20.05" customHeight="1" x14ac:dyDescent="0.35"/>
    <row r="618" spans="7:7" ht="20.05" customHeight="1" x14ac:dyDescent="0.35"/>
    <row r="619" spans="7:7" ht="20.05" customHeight="1" x14ac:dyDescent="0.35">
      <c r="G619" s="27"/>
    </row>
    <row r="620" spans="7:7" ht="20.05" customHeight="1" x14ac:dyDescent="0.35"/>
    <row r="621" spans="7:7" ht="20.05" customHeight="1" x14ac:dyDescent="0.35"/>
    <row r="622" spans="7:7" ht="20.05" customHeight="1" x14ac:dyDescent="0.35">
      <c r="G622" s="27"/>
    </row>
    <row r="623" spans="7:7" ht="20.05" customHeight="1" x14ac:dyDescent="0.35"/>
    <row r="624" spans="7:7" ht="20.05" customHeight="1" x14ac:dyDescent="0.35">
      <c r="G624" s="27"/>
    </row>
    <row r="625" spans="7:7" ht="20.05" customHeight="1" x14ac:dyDescent="0.35"/>
    <row r="626" spans="7:7" ht="20.05" customHeight="1" x14ac:dyDescent="0.35"/>
    <row r="627" spans="7:7" ht="20.05" customHeight="1" x14ac:dyDescent="0.35"/>
    <row r="628" spans="7:7" ht="16" customHeight="1" x14ac:dyDescent="0.35"/>
    <row r="629" spans="7:7" ht="20.05" customHeight="1" x14ac:dyDescent="0.35"/>
    <row r="630" spans="7:7" ht="16" customHeight="1" x14ac:dyDescent="0.35"/>
    <row r="631" spans="7:7" ht="34" customHeight="1" x14ac:dyDescent="0.35"/>
    <row r="632" spans="7:7" ht="20.05" customHeight="1" x14ac:dyDescent="0.35"/>
    <row r="633" spans="7:7" ht="16" customHeight="1" x14ac:dyDescent="0.35"/>
    <row r="634" spans="7:7" ht="34" customHeight="1" x14ac:dyDescent="0.35"/>
    <row r="635" spans="7:7" ht="20.05" customHeight="1" x14ac:dyDescent="0.35"/>
    <row r="636" spans="7:7" ht="20.05" customHeight="1" x14ac:dyDescent="0.35"/>
    <row r="637" spans="7:7" ht="20.05" customHeight="1" x14ac:dyDescent="0.35"/>
    <row r="638" spans="7:7" ht="20.05" customHeight="1" x14ac:dyDescent="0.35"/>
    <row r="639" spans="7:7" ht="20.05" customHeight="1" x14ac:dyDescent="0.35"/>
    <row r="640" spans="7:7" ht="20.05" customHeight="1" x14ac:dyDescent="0.35">
      <c r="G640" s="27"/>
    </row>
    <row r="641" ht="20.05" customHeight="1" x14ac:dyDescent="0.35"/>
    <row r="642" ht="20.05" customHeight="1" x14ac:dyDescent="0.35"/>
    <row r="643" ht="20.05" customHeight="1" x14ac:dyDescent="0.35"/>
    <row r="644" ht="20.05" customHeight="1" x14ac:dyDescent="0.35"/>
    <row r="645" ht="20.05" customHeight="1" x14ac:dyDescent="0.35"/>
    <row r="646" ht="16" customHeight="1" x14ac:dyDescent="0.35"/>
    <row r="647" ht="34" customHeight="1" x14ac:dyDescent="0.35"/>
    <row r="648" ht="16" customHeight="1" x14ac:dyDescent="0.35"/>
    <row r="649" ht="34" customHeight="1" x14ac:dyDescent="0.35"/>
    <row r="650" ht="16" customHeight="1" x14ac:dyDescent="0.35"/>
    <row r="651" ht="34" customHeight="1" x14ac:dyDescent="0.35"/>
    <row r="652" ht="20.05" customHeight="1" x14ac:dyDescent="0.35"/>
    <row r="653" ht="20.05" customHeight="1" x14ac:dyDescent="0.35"/>
    <row r="654" ht="20.05" customHeight="1" x14ac:dyDescent="0.35"/>
    <row r="655" ht="20.05" customHeight="1" x14ac:dyDescent="0.35"/>
    <row r="656" ht="20.05" customHeight="1" x14ac:dyDescent="0.35"/>
    <row r="657" ht="20.05" customHeight="1" x14ac:dyDescent="0.35"/>
    <row r="658" ht="20.05" customHeight="1" x14ac:dyDescent="0.35"/>
    <row r="659" ht="20.05" customHeight="1" x14ac:dyDescent="0.35"/>
    <row r="660" ht="20.05" customHeight="1" x14ac:dyDescent="0.35"/>
    <row r="661" ht="20.05" customHeight="1" x14ac:dyDescent="0.35"/>
    <row r="662" ht="20.05" customHeight="1" x14ac:dyDescent="0.35"/>
    <row r="663" ht="16" customHeight="1" x14ac:dyDescent="0.35"/>
    <row r="664" ht="20.05" customHeight="1" x14ac:dyDescent="0.35"/>
    <row r="665" ht="16" customHeight="1" x14ac:dyDescent="0.35"/>
    <row r="666" ht="34" customHeight="1" x14ac:dyDescent="0.35"/>
    <row r="667" ht="20.05" customHeight="1" x14ac:dyDescent="0.35"/>
    <row r="668" ht="20.05" customHeight="1" x14ac:dyDescent="0.35"/>
    <row r="669" ht="20.05" customHeight="1" x14ac:dyDescent="0.35"/>
    <row r="670" ht="20.05" customHeight="1" x14ac:dyDescent="0.35"/>
    <row r="671" ht="20.05" customHeight="1" x14ac:dyDescent="0.35"/>
    <row r="672" ht="16" customHeight="1" x14ac:dyDescent="0.35"/>
    <row r="673" ht="34" customHeight="1" x14ac:dyDescent="0.35"/>
    <row r="674" ht="20.05" customHeight="1" x14ac:dyDescent="0.35"/>
    <row r="675" ht="20.05" customHeight="1" x14ac:dyDescent="0.35"/>
    <row r="676" ht="20.05" customHeight="1" x14ac:dyDescent="0.35"/>
    <row r="677" ht="20.05" customHeight="1" x14ac:dyDescent="0.35"/>
    <row r="678" ht="16" customHeight="1" x14ac:dyDescent="0.35"/>
    <row r="679" ht="34" customHeight="1" x14ac:dyDescent="0.35"/>
    <row r="680" ht="20.05" customHeight="1" x14ac:dyDescent="0.35"/>
    <row r="681" ht="20.05" customHeight="1" x14ac:dyDescent="0.35"/>
    <row r="682" ht="20.05" customHeight="1" x14ac:dyDescent="0.35"/>
    <row r="683" ht="20.05" customHeight="1" x14ac:dyDescent="0.35"/>
    <row r="684" ht="16" customHeight="1" x14ac:dyDescent="0.35"/>
    <row r="685" ht="34" customHeight="1" x14ac:dyDescent="0.35"/>
    <row r="686" ht="20.05" customHeight="1" x14ac:dyDescent="0.35"/>
    <row r="687" ht="20.05" customHeight="1" x14ac:dyDescent="0.35"/>
    <row r="688" ht="20.05" customHeight="1" x14ac:dyDescent="0.35"/>
    <row r="689" spans="7:7" ht="20.05" customHeight="1" x14ac:dyDescent="0.35"/>
    <row r="690" spans="7:7" ht="20.05" customHeight="1" x14ac:dyDescent="0.35"/>
    <row r="691" spans="7:7" ht="20.05" customHeight="1" x14ac:dyDescent="0.35"/>
    <row r="692" spans="7:7" ht="20.05" customHeight="1" x14ac:dyDescent="0.35"/>
    <row r="693" spans="7:7" ht="20.05" customHeight="1" x14ac:dyDescent="0.35"/>
    <row r="694" spans="7:7" ht="20.05" customHeight="1" x14ac:dyDescent="0.35">
      <c r="G694" s="27"/>
    </row>
    <row r="695" spans="7:7" ht="20.05" customHeight="1" x14ac:dyDescent="0.35"/>
    <row r="696" spans="7:7" ht="20.05" customHeight="1" x14ac:dyDescent="0.35"/>
    <row r="697" spans="7:7" ht="20.05" customHeight="1" x14ac:dyDescent="0.35"/>
    <row r="698" spans="7:7" ht="20.05" customHeight="1" x14ac:dyDescent="0.35"/>
    <row r="699" spans="7:7" ht="20.05" customHeight="1" x14ac:dyDescent="0.35"/>
    <row r="700" spans="7:7" ht="20.05" customHeight="1" x14ac:dyDescent="0.35"/>
    <row r="701" spans="7:7" ht="16" customHeight="1" x14ac:dyDescent="0.35"/>
    <row r="702" spans="7:7" ht="34" customHeight="1" x14ac:dyDescent="0.35"/>
    <row r="703" spans="7:7" ht="20.05" customHeight="1" x14ac:dyDescent="0.35"/>
    <row r="704" spans="7:7" ht="16" customHeight="1" x14ac:dyDescent="0.35"/>
    <row r="705" spans="7:7" ht="20.05" customHeight="1" x14ac:dyDescent="0.35"/>
    <row r="706" spans="7:7" ht="16" customHeight="1" x14ac:dyDescent="0.35"/>
    <row r="707" spans="7:7" ht="34" customHeight="1" x14ac:dyDescent="0.35"/>
    <row r="708" spans="7:7" ht="20.05" customHeight="1" x14ac:dyDescent="0.35"/>
    <row r="709" spans="7:7" ht="20.05" customHeight="1" x14ac:dyDescent="0.35"/>
    <row r="710" spans="7:7" ht="20.05" customHeight="1" x14ac:dyDescent="0.35"/>
    <row r="711" spans="7:7" ht="20.05" customHeight="1" x14ac:dyDescent="0.35">
      <c r="G711" s="27"/>
    </row>
    <row r="712" spans="7:7" ht="20.05" customHeight="1" x14ac:dyDescent="0.35"/>
    <row r="713" spans="7:7" ht="20.05" customHeight="1" x14ac:dyDescent="0.35"/>
    <row r="714" spans="7:7" ht="20.05" customHeight="1" x14ac:dyDescent="0.35"/>
    <row r="715" spans="7:7" ht="20.05" customHeight="1" x14ac:dyDescent="0.35"/>
    <row r="716" spans="7:7" ht="20.05" customHeight="1" x14ac:dyDescent="0.35"/>
    <row r="717" spans="7:7" ht="20.05" customHeight="1" x14ac:dyDescent="0.35"/>
    <row r="718" spans="7:7" ht="16" customHeight="1" x14ac:dyDescent="0.35"/>
    <row r="719" spans="7:7" ht="20.05" customHeight="1" x14ac:dyDescent="0.35">
      <c r="G719" s="27"/>
    </row>
    <row r="720" spans="7:7" ht="16" customHeight="1" x14ac:dyDescent="0.35"/>
    <row r="721" spans="7:7" ht="34" customHeight="1" x14ac:dyDescent="0.35"/>
    <row r="722" spans="7:7" ht="16" customHeight="1" x14ac:dyDescent="0.35"/>
    <row r="723" spans="7:7" ht="36" customHeight="1" x14ac:dyDescent="0.35"/>
    <row r="724" spans="7:7" ht="20.05" customHeight="1" x14ac:dyDescent="0.35"/>
    <row r="725" spans="7:7" ht="20.05" customHeight="1" x14ac:dyDescent="0.35">
      <c r="G725" s="27"/>
    </row>
    <row r="726" spans="7:7" ht="20.05" customHeight="1" x14ac:dyDescent="0.35"/>
    <row r="727" spans="7:7" ht="20.05" customHeight="1" x14ac:dyDescent="0.35"/>
    <row r="728" spans="7:7" ht="20.05" customHeight="1" x14ac:dyDescent="0.35"/>
    <row r="729" spans="7:7" ht="20.05" customHeight="1" x14ac:dyDescent="0.35">
      <c r="G729" s="27"/>
    </row>
    <row r="730" spans="7:7" ht="20.05" customHeight="1" x14ac:dyDescent="0.35"/>
    <row r="731" spans="7:7" ht="20.05" customHeight="1" x14ac:dyDescent="0.35"/>
    <row r="732" spans="7:7" ht="20.05" customHeight="1" x14ac:dyDescent="0.35"/>
    <row r="733" spans="7:7" ht="20.05" customHeight="1" x14ac:dyDescent="0.35"/>
    <row r="734" spans="7:7" ht="20.05" customHeight="1" x14ac:dyDescent="0.35"/>
    <row r="735" spans="7:7" ht="20.05" customHeight="1" x14ac:dyDescent="0.35"/>
    <row r="736" spans="7:7" ht="20.05" customHeight="1" x14ac:dyDescent="0.35">
      <c r="G736" s="27"/>
    </row>
    <row r="737" spans="7:7" ht="20.05" customHeight="1" x14ac:dyDescent="0.35"/>
    <row r="738" spans="7:7" ht="20.05" customHeight="1" x14ac:dyDescent="0.35"/>
    <row r="739" spans="7:7" ht="20.05" customHeight="1" x14ac:dyDescent="0.35"/>
    <row r="740" spans="7:7" ht="20.05" customHeight="1" x14ac:dyDescent="0.35"/>
    <row r="741" spans="7:7" ht="20.05" customHeight="1" x14ac:dyDescent="0.35"/>
    <row r="742" spans="7:7" ht="20.05" customHeight="1" x14ac:dyDescent="0.35"/>
    <row r="743" spans="7:7" ht="20.05" customHeight="1" x14ac:dyDescent="0.35">
      <c r="G743" s="27"/>
    </row>
    <row r="744" spans="7:7" ht="20.05" customHeight="1" x14ac:dyDescent="0.35"/>
    <row r="745" spans="7:7" ht="20.05" customHeight="1" x14ac:dyDescent="0.35"/>
    <row r="746" spans="7:7" ht="20.05" customHeight="1" x14ac:dyDescent="0.35"/>
    <row r="747" spans="7:7" ht="20.05" customHeight="1" x14ac:dyDescent="0.35"/>
    <row r="748" spans="7:7" ht="20.05" customHeight="1" x14ac:dyDescent="0.35"/>
    <row r="749" spans="7:7" ht="20.05" customHeight="1" x14ac:dyDescent="0.35"/>
    <row r="750" spans="7:7" ht="20.05" customHeight="1" x14ac:dyDescent="0.35"/>
    <row r="751" spans="7:7" ht="20.05" customHeight="1" x14ac:dyDescent="0.35"/>
    <row r="752" spans="7:7" ht="20.05" customHeight="1" x14ac:dyDescent="0.35">
      <c r="G752" s="27"/>
    </row>
    <row r="753" spans="7:7" ht="20.05" customHeight="1" x14ac:dyDescent="0.35"/>
    <row r="754" spans="7:7" ht="20.05" customHeight="1" x14ac:dyDescent="0.35"/>
    <row r="755" spans="7:7" ht="20.05" customHeight="1" x14ac:dyDescent="0.35"/>
    <row r="756" spans="7:7" ht="20.05" customHeight="1" x14ac:dyDescent="0.35"/>
    <row r="757" spans="7:7" ht="20.05" customHeight="1" x14ac:dyDescent="0.35">
      <c r="G757" s="27"/>
    </row>
    <row r="758" spans="7:7" ht="20.05" customHeight="1" x14ac:dyDescent="0.35"/>
    <row r="759" spans="7:7" ht="20.05" customHeight="1" x14ac:dyDescent="0.35"/>
    <row r="760" spans="7:7" ht="20.05" customHeight="1" x14ac:dyDescent="0.35"/>
    <row r="761" spans="7:7" ht="20.05" customHeight="1" x14ac:dyDescent="0.35"/>
    <row r="762" spans="7:7" ht="20.05" customHeight="1" x14ac:dyDescent="0.35"/>
    <row r="763" spans="7:7" ht="20.05" customHeight="1" x14ac:dyDescent="0.35"/>
    <row r="764" spans="7:7" ht="20.05" customHeight="1" x14ac:dyDescent="0.35"/>
    <row r="765" spans="7:7" ht="20.05" customHeight="1" x14ac:dyDescent="0.35"/>
    <row r="766" spans="7:7" ht="20.05" customHeight="1" x14ac:dyDescent="0.35"/>
    <row r="767" spans="7:7" ht="20.05" customHeight="1" x14ac:dyDescent="0.35"/>
    <row r="768" spans="7:7" ht="20.05" customHeight="1" x14ac:dyDescent="0.35">
      <c r="G768" s="27"/>
    </row>
    <row r="769" spans="7:7" ht="20.05" customHeight="1" x14ac:dyDescent="0.35"/>
    <row r="770" spans="7:7" ht="20.05" customHeight="1" x14ac:dyDescent="0.35"/>
    <row r="771" spans="7:7" ht="20.05" customHeight="1" x14ac:dyDescent="0.35"/>
    <row r="772" spans="7:7" ht="20.05" customHeight="1" x14ac:dyDescent="0.35"/>
    <row r="773" spans="7:7" ht="16" customHeight="1" x14ac:dyDescent="0.35"/>
    <row r="774" spans="7:7" ht="34" customHeight="1" x14ac:dyDescent="0.35"/>
    <row r="775" spans="7:7" ht="16" customHeight="1" x14ac:dyDescent="0.35"/>
    <row r="776" spans="7:7" ht="34" customHeight="1" x14ac:dyDescent="0.35"/>
    <row r="777" spans="7:7" ht="20.05" customHeight="1" x14ac:dyDescent="0.35"/>
    <row r="778" spans="7:7" ht="20.05" customHeight="1" x14ac:dyDescent="0.35"/>
    <row r="779" spans="7:7" ht="20.05" customHeight="1" x14ac:dyDescent="0.35"/>
    <row r="780" spans="7:7" ht="20.05" customHeight="1" x14ac:dyDescent="0.35"/>
    <row r="781" spans="7:7" ht="20.05" customHeight="1" x14ac:dyDescent="0.35"/>
    <row r="782" spans="7:7" ht="20.05" customHeight="1" x14ac:dyDescent="0.35"/>
    <row r="783" spans="7:7" ht="20.05" customHeight="1" x14ac:dyDescent="0.35">
      <c r="G783" s="27"/>
    </row>
    <row r="784" spans="7:7" ht="20.05" customHeight="1" x14ac:dyDescent="0.35"/>
    <row r="785" spans="7:7" ht="20.05" customHeight="1" x14ac:dyDescent="0.35"/>
    <row r="786" spans="7:7" ht="20.05" customHeight="1" x14ac:dyDescent="0.35"/>
    <row r="787" spans="7:7" ht="20.05" customHeight="1" x14ac:dyDescent="0.35"/>
    <row r="788" spans="7:7" ht="20.05" customHeight="1" x14ac:dyDescent="0.35"/>
    <row r="789" spans="7:7" ht="20.05" customHeight="1" x14ac:dyDescent="0.35"/>
    <row r="790" spans="7:7" ht="20.05" customHeight="1" x14ac:dyDescent="0.35"/>
    <row r="791" spans="7:7" ht="16" customHeight="1" x14ac:dyDescent="0.35">
      <c r="G791" s="27"/>
    </row>
    <row r="792" spans="7:7" ht="20.05" customHeight="1" x14ac:dyDescent="0.35"/>
    <row r="793" spans="7:7" ht="16" customHeight="1" x14ac:dyDescent="0.35"/>
    <row r="794" spans="7:7" ht="34" customHeight="1" x14ac:dyDescent="0.35"/>
    <row r="795" spans="7:7" ht="20.05" customHeight="1" x14ac:dyDescent="0.35"/>
    <row r="796" spans="7:7" ht="20.05" customHeight="1" x14ac:dyDescent="0.35"/>
    <row r="797" spans="7:7" ht="20.05" customHeight="1" x14ac:dyDescent="0.35">
      <c r="G797" s="27"/>
    </row>
    <row r="798" spans="7:7" ht="20.05" customHeight="1" x14ac:dyDescent="0.35"/>
    <row r="799" spans="7:7" ht="16" customHeight="1" x14ac:dyDescent="0.35"/>
    <row r="800" spans="7:7" ht="20.05" customHeight="1" x14ac:dyDescent="0.35"/>
    <row r="801" ht="16" customHeight="1" x14ac:dyDescent="0.35"/>
    <row r="802" ht="34" customHeight="1" x14ac:dyDescent="0.35"/>
    <row r="803" ht="20.05" customHeight="1" x14ac:dyDescent="0.35"/>
    <row r="804" ht="20.05" customHeight="1" x14ac:dyDescent="0.35"/>
    <row r="805" ht="16" customHeight="1" x14ac:dyDescent="0.35"/>
    <row r="806" ht="20.05" customHeight="1" x14ac:dyDescent="0.35"/>
    <row r="807" ht="16" customHeight="1" x14ac:dyDescent="0.35"/>
    <row r="808" ht="34" customHeight="1" x14ac:dyDescent="0.35"/>
    <row r="809" ht="16" customHeight="1" x14ac:dyDescent="0.35"/>
    <row r="810" ht="20.05" customHeight="1" x14ac:dyDescent="0.35"/>
    <row r="811" ht="16" customHeight="1" x14ac:dyDescent="0.35"/>
    <row r="812" ht="34" customHeight="1" x14ac:dyDescent="0.35"/>
    <row r="813" ht="20.05" customHeight="1" x14ac:dyDescent="0.35"/>
    <row r="814" ht="20.05" customHeight="1" x14ac:dyDescent="0.35"/>
    <row r="815" ht="20.05" customHeight="1" x14ac:dyDescent="0.35"/>
    <row r="816" ht="20.05" customHeight="1" x14ac:dyDescent="0.35"/>
    <row r="817" ht="20.05" customHeight="1" x14ac:dyDescent="0.35"/>
    <row r="818" ht="16" customHeight="1" x14ac:dyDescent="0.35"/>
    <row r="819" ht="34" customHeight="1" x14ac:dyDescent="0.35"/>
    <row r="820" ht="20.05" customHeight="1" x14ac:dyDescent="0.35"/>
    <row r="821" ht="20.05" customHeight="1" x14ac:dyDescent="0.35"/>
    <row r="822" ht="20.05" customHeight="1" x14ac:dyDescent="0.35"/>
    <row r="823" ht="16" customHeight="1" x14ac:dyDescent="0.35"/>
    <row r="824" ht="20.05" customHeight="1" x14ac:dyDescent="0.35"/>
    <row r="825" ht="20.05" customHeight="1" x14ac:dyDescent="0.35"/>
    <row r="826" ht="20.05" customHeight="1" x14ac:dyDescent="0.35"/>
    <row r="827" ht="20.05" customHeight="1" x14ac:dyDescent="0.35"/>
    <row r="828" ht="20.05" customHeight="1" x14ac:dyDescent="0.35"/>
    <row r="829" ht="20.05" customHeight="1" x14ac:dyDescent="0.35"/>
    <row r="830" ht="20.05" customHeight="1" x14ac:dyDescent="0.35"/>
    <row r="831" ht="20.05" customHeight="1" x14ac:dyDescent="0.35"/>
    <row r="832" ht="16" customHeight="1" x14ac:dyDescent="0.35"/>
    <row r="833" spans="7:7" ht="20.05" customHeight="1" x14ac:dyDescent="0.35"/>
    <row r="834" spans="7:7" ht="16" customHeight="1" x14ac:dyDescent="0.35"/>
    <row r="835" spans="7:7" ht="34" customHeight="1" x14ac:dyDescent="0.35"/>
    <row r="836" spans="7:7" ht="20.05" customHeight="1" x14ac:dyDescent="0.35"/>
    <row r="837" spans="7:7" ht="16" customHeight="1" x14ac:dyDescent="0.35"/>
    <row r="838" spans="7:7" ht="20.05" customHeight="1" x14ac:dyDescent="0.35"/>
    <row r="839" spans="7:7" ht="16" customHeight="1" x14ac:dyDescent="0.35"/>
    <row r="840" spans="7:7" ht="34" customHeight="1" x14ac:dyDescent="0.35">
      <c r="G840" s="27"/>
    </row>
    <row r="841" spans="7:7" ht="20.05" customHeight="1" x14ac:dyDescent="0.35"/>
    <row r="842" spans="7:7" ht="20.05" customHeight="1" x14ac:dyDescent="0.35"/>
    <row r="843" spans="7:7" ht="20.05" customHeight="1" x14ac:dyDescent="0.35"/>
    <row r="844" spans="7:7" ht="20.05" customHeight="1" x14ac:dyDescent="0.35"/>
    <row r="845" spans="7:7" ht="20.05" customHeight="1" x14ac:dyDescent="0.35"/>
    <row r="846" spans="7:7" ht="20.05" customHeight="1" x14ac:dyDescent="0.35">
      <c r="G846" s="27"/>
    </row>
    <row r="847" spans="7:7" ht="20.05" customHeight="1" x14ac:dyDescent="0.35"/>
    <row r="848" spans="7:7" ht="16" customHeight="1" x14ac:dyDescent="0.35"/>
    <row r="849" ht="20.05" customHeight="1" x14ac:dyDescent="0.35"/>
    <row r="850" ht="16" customHeight="1" x14ac:dyDescent="0.35"/>
    <row r="851" ht="34" customHeight="1" x14ac:dyDescent="0.35"/>
    <row r="852" ht="20.05" customHeight="1" x14ac:dyDescent="0.35"/>
    <row r="853" ht="20.05" customHeight="1" x14ac:dyDescent="0.35"/>
    <row r="854" ht="20.05" customHeight="1" x14ac:dyDescent="0.35"/>
    <row r="855" ht="20.05" customHeight="1" x14ac:dyDescent="0.35"/>
    <row r="856" ht="20.05" customHeight="1" x14ac:dyDescent="0.35"/>
    <row r="857" ht="20.05" customHeight="1" x14ac:dyDescent="0.35"/>
    <row r="858" ht="20.05" customHeight="1" x14ac:dyDescent="0.35"/>
    <row r="859" ht="20.05" customHeight="1" x14ac:dyDescent="0.35"/>
    <row r="860" ht="20.05" customHeight="1" x14ac:dyDescent="0.35"/>
    <row r="861" ht="20.05" customHeight="1" x14ac:dyDescent="0.35"/>
    <row r="862" ht="20.05" customHeight="1" x14ac:dyDescent="0.35"/>
    <row r="863" ht="16" customHeight="1" x14ac:dyDescent="0.35"/>
    <row r="864" ht="20.05" customHeight="1" x14ac:dyDescent="0.35"/>
    <row r="865" ht="16" customHeight="1" x14ac:dyDescent="0.35"/>
    <row r="866" ht="34" customHeight="1" x14ac:dyDescent="0.35"/>
    <row r="867" ht="20.05" customHeight="1" x14ac:dyDescent="0.35"/>
    <row r="868" ht="20.05" customHeight="1" x14ac:dyDescent="0.35"/>
    <row r="869" ht="20.05" customHeight="1" x14ac:dyDescent="0.35"/>
    <row r="870" ht="20.05" customHeight="1" x14ac:dyDescent="0.35"/>
    <row r="871" ht="16" customHeight="1" x14ac:dyDescent="0.35"/>
    <row r="872" ht="20.05" customHeight="1" x14ac:dyDescent="0.35"/>
    <row r="873" ht="16" customHeight="1" x14ac:dyDescent="0.35"/>
    <row r="874" ht="34" customHeight="1" x14ac:dyDescent="0.35"/>
    <row r="875" ht="20.05" customHeight="1" x14ac:dyDescent="0.35"/>
    <row r="876" ht="20.05" customHeight="1" x14ac:dyDescent="0.35"/>
    <row r="877" ht="16" customHeight="1" x14ac:dyDescent="0.35"/>
    <row r="878" ht="20.05" customHeight="1" x14ac:dyDescent="0.35"/>
    <row r="879" ht="16" customHeight="1" x14ac:dyDescent="0.35"/>
    <row r="880" ht="34" customHeight="1" x14ac:dyDescent="0.35"/>
    <row r="881" ht="20.05" customHeight="1" x14ac:dyDescent="0.35"/>
    <row r="882" ht="20.05" customHeight="1" x14ac:dyDescent="0.35"/>
    <row r="883" ht="20.05" customHeight="1" x14ac:dyDescent="0.35"/>
    <row r="884" ht="20.05" customHeight="1" x14ac:dyDescent="0.35"/>
    <row r="885" ht="20.05" customHeight="1" x14ac:dyDescent="0.35"/>
    <row r="886" ht="20.05" customHeight="1" x14ac:dyDescent="0.35"/>
    <row r="887" ht="20.05" customHeight="1" x14ac:dyDescent="0.35"/>
    <row r="888" ht="20.05" customHeight="1" x14ac:dyDescent="0.35"/>
    <row r="889" ht="20.05" customHeight="1" x14ac:dyDescent="0.35"/>
    <row r="890" ht="20.05" customHeight="1" x14ac:dyDescent="0.35"/>
    <row r="891" ht="20.05" customHeight="1" x14ac:dyDescent="0.35"/>
    <row r="892" ht="20.05" customHeight="1" x14ac:dyDescent="0.35"/>
    <row r="893" ht="20.05" customHeight="1" x14ac:dyDescent="0.35"/>
    <row r="894" ht="20.05" customHeight="1" x14ac:dyDescent="0.35"/>
    <row r="895" ht="20.05" customHeight="1" x14ac:dyDescent="0.35"/>
    <row r="896" ht="20.05" customHeight="1" x14ac:dyDescent="0.35"/>
    <row r="897" ht="20.05" customHeight="1" x14ac:dyDescent="0.35"/>
    <row r="898" ht="20.05" customHeight="1" x14ac:dyDescent="0.35"/>
    <row r="899" ht="20.05" customHeight="1" x14ac:dyDescent="0.35"/>
    <row r="900" ht="20.05" customHeight="1" x14ac:dyDescent="0.35"/>
    <row r="901" ht="20.05" customHeight="1" x14ac:dyDescent="0.35"/>
    <row r="902" ht="20.05" customHeight="1" x14ac:dyDescent="0.35"/>
    <row r="903" ht="20.05" customHeight="1" x14ac:dyDescent="0.35"/>
    <row r="904" ht="20.05" customHeight="1" x14ac:dyDescent="0.35"/>
    <row r="905" ht="20.05" customHeight="1" x14ac:dyDescent="0.35"/>
    <row r="906" ht="20.05" customHeight="1" x14ac:dyDescent="0.35"/>
    <row r="907" ht="20.05" customHeight="1" x14ac:dyDescent="0.35"/>
    <row r="908" ht="20.05" customHeight="1" x14ac:dyDescent="0.35"/>
    <row r="909" ht="20.05" customHeight="1" x14ac:dyDescent="0.35"/>
    <row r="910" ht="20.05" customHeight="1" x14ac:dyDescent="0.35"/>
    <row r="911" ht="20.05" customHeight="1" x14ac:dyDescent="0.35"/>
    <row r="912" ht="20.05" customHeight="1" x14ac:dyDescent="0.35"/>
    <row r="913" ht="20.05" customHeight="1" x14ac:dyDescent="0.35"/>
    <row r="914" ht="20.05" customHeight="1" x14ac:dyDescent="0.35"/>
    <row r="915" ht="20.05" customHeight="1" x14ac:dyDescent="0.35"/>
    <row r="916" ht="20.05" customHeight="1" x14ac:dyDescent="0.35"/>
    <row r="917" ht="20.05" customHeight="1" x14ac:dyDescent="0.35"/>
    <row r="918" ht="20.05" customHeight="1" x14ac:dyDescent="0.35"/>
    <row r="919" ht="20.05" customHeight="1" x14ac:dyDescent="0.35"/>
    <row r="920" ht="20.05" customHeight="1" x14ac:dyDescent="0.35"/>
    <row r="921" ht="20.05" customHeight="1" x14ac:dyDescent="0.35"/>
    <row r="922" ht="16" customHeight="1" x14ac:dyDescent="0.35"/>
    <row r="923" ht="34" customHeight="1" x14ac:dyDescent="0.35"/>
    <row r="924" ht="20.05" customHeight="1" x14ac:dyDescent="0.35"/>
    <row r="925" ht="20.05" customHeight="1" x14ac:dyDescent="0.35"/>
    <row r="926" ht="20.05" customHeight="1" x14ac:dyDescent="0.35"/>
    <row r="927" ht="20.05" customHeight="1" x14ac:dyDescent="0.35"/>
    <row r="928" ht="16" customHeight="1" x14ac:dyDescent="0.35"/>
    <row r="929" ht="34" customHeight="1" x14ac:dyDescent="0.35"/>
    <row r="930" ht="20.05" customHeight="1" x14ac:dyDescent="0.35"/>
    <row r="931" ht="20.05" customHeight="1" x14ac:dyDescent="0.35"/>
    <row r="932" ht="20.05" customHeight="1" x14ac:dyDescent="0.35"/>
    <row r="933" ht="20.05" customHeight="1" x14ac:dyDescent="0.35"/>
    <row r="934" ht="20.05" customHeight="1" x14ac:dyDescent="0.35"/>
  </sheetData>
  <sheetProtection algorithmName="SHA-512" hashValue="0WlI+tUoGpo/g/KHQCfEiHRn1eGzYNPsptHpvrtyihXH0WktmC+nLgQsD4HlXEY0GIUut2VkI5q/Mpoxle8eWA==" saltValue="GA59+GHyPOnb/gt1XwkE5w==" spinCount="100000" sheet="1" selectLockedCells="1"/>
  <mergeCells count="55">
    <mergeCell ref="B2:E2"/>
    <mergeCell ref="B62:E62"/>
    <mergeCell ref="B167:E167"/>
    <mergeCell ref="B170:E170"/>
    <mergeCell ref="B171:E171"/>
    <mergeCell ref="B3:E3"/>
    <mergeCell ref="B6:E6"/>
    <mergeCell ref="B20:E20"/>
    <mergeCell ref="B21:E21"/>
    <mergeCell ref="B25:E25"/>
    <mergeCell ref="B26:E26"/>
    <mergeCell ref="B52:E52"/>
    <mergeCell ref="B35:E35"/>
    <mergeCell ref="B36:E36"/>
    <mergeCell ref="B80:E80"/>
    <mergeCell ref="B92:E92"/>
    <mergeCell ref="B100:E100"/>
    <mergeCell ref="B54:E54"/>
    <mergeCell ref="B55:E55"/>
    <mergeCell ref="B81:E81"/>
    <mergeCell ref="B57:E57"/>
    <mergeCell ref="B84:E84"/>
    <mergeCell ref="B108:E108"/>
    <mergeCell ref="B249:E249"/>
    <mergeCell ref="B231:E231"/>
    <mergeCell ref="B211:E211"/>
    <mergeCell ref="B210:E210"/>
    <mergeCell ref="B198:E198"/>
    <mergeCell ref="B197:E197"/>
    <mergeCell ref="B230:E230"/>
    <mergeCell ref="B192:E192"/>
    <mergeCell ref="B191:E191"/>
    <mergeCell ref="B154:E154"/>
    <mergeCell ref="B143:E143"/>
    <mergeCell ref="B117:E117"/>
    <mergeCell ref="B118:E118"/>
    <mergeCell ref="B161:E161"/>
    <mergeCell ref="B146:E146"/>
    <mergeCell ref="B325:E325"/>
    <mergeCell ref="B323:E323"/>
    <mergeCell ref="B345:E345"/>
    <mergeCell ref="B357:E357"/>
    <mergeCell ref="B301:E301"/>
    <mergeCell ref="B371:E371"/>
    <mergeCell ref="B364:E364"/>
    <mergeCell ref="B350:E350"/>
    <mergeCell ref="B340:E340"/>
    <mergeCell ref="B330:E330"/>
    <mergeCell ref="B155:E155"/>
    <mergeCell ref="B160:E160"/>
    <mergeCell ref="B145:E145"/>
    <mergeCell ref="B313:E313"/>
    <mergeCell ref="B166:E166"/>
    <mergeCell ref="B296:E296"/>
    <mergeCell ref="B260:E260"/>
  </mergeCells>
  <phoneticPr fontId="9" type="noConversion"/>
  <conditionalFormatting sqref="B10">
    <cfRule type="expression" dxfId="1889" priority="293" stopIfTrue="1">
      <formula>wld_domain_chosen="Exclude"</formula>
    </cfRule>
    <cfRule type="expression" dxfId="1888" priority="292">
      <formula>OR((wld_domain_chosen="Deploy Workload Domain with a Single-Rack / Multi-Rack Layer 2 Cluster"),(wld_domain_chosen="Deploy Workload Domain with a Multi-Rack Layer 3 Cluster"),(wld_domain_chosen="Import Workload Domain"))</formula>
    </cfRule>
    <cfRule type="expression" dxfId="1887" priority="203">
      <formula>vcf_granular_option_chosen="VVF Deployment"</formula>
    </cfRule>
  </conditionalFormatting>
  <conditionalFormatting sqref="B11 D11">
    <cfRule type="expression" dxfId="1886" priority="171" stopIfTrue="1">
      <formula>(wld_compute_hosts_per_rack_chosen="Exclude")</formula>
    </cfRule>
    <cfRule type="expression" dxfId="1885" priority="173">
      <formula>(vcf_version_result="Excluded")</formula>
    </cfRule>
    <cfRule type="expression" dxfId="1884" priority="233">
      <formula>(vcf_version_chosen&lt;&gt;"Exclude")</formula>
    </cfRule>
  </conditionalFormatting>
  <conditionalFormatting sqref="B11 D11:E11">
    <cfRule type="expression" dxfId="1883" priority="168">
      <formula>wld_compute_total_number_hosts&gt;64</formula>
    </cfRule>
  </conditionalFormatting>
  <conditionalFormatting sqref="B11">
    <cfRule type="expression" dxfId="1882" priority="68">
      <formula>$E$11="Required: Minimum Number of hosts must be selected"</formula>
    </cfRule>
  </conditionalFormatting>
  <conditionalFormatting sqref="B12 D12">
    <cfRule type="expression" dxfId="1881" priority="67">
      <formula>(vcf_version_result="Excluded")</formula>
    </cfRule>
    <cfRule type="expression" dxfId="1880" priority="65">
      <formula>wld_multi_rack_count_chosen="Exclude"</formula>
    </cfRule>
    <cfRule type="expression" dxfId="1879" priority="169">
      <formula>(vcf_version_chosen&lt;&gt;"Exclude")</formula>
    </cfRule>
  </conditionalFormatting>
  <conditionalFormatting sqref="B12 D12:E12">
    <cfRule type="expression" dxfId="1878" priority="63">
      <formula>AND((wld_multi_rack_count_chosen&lt;&gt;"Exclude"),(wld_multi_rack_count_result="Excluded"))</formula>
    </cfRule>
  </conditionalFormatting>
  <conditionalFormatting sqref="B12">
    <cfRule type="expression" dxfId="1877" priority="62">
      <formula>AND((wld_domain_chosen="Deploy Workload Domain with a Multi-Rack Layer 3 Cluster"),(wld_multi_rack_count_chosen="Exclude"))</formula>
    </cfRule>
  </conditionalFormatting>
  <conditionalFormatting sqref="B13 D13:E13">
    <cfRule type="expression" dxfId="1876" priority="221">
      <formula>AND((wld_dpg_separation_chosen&lt;&gt;"Exclude"),(wld_dpg_separation_result="Excluded"))</formula>
    </cfRule>
  </conditionalFormatting>
  <conditionalFormatting sqref="B13">
    <cfRule type="expression" dxfId="1875" priority="291">
      <formula>wld_dpg_separation_chosen="Exclude"</formula>
    </cfRule>
    <cfRule type="expression" dxfId="1874" priority="290">
      <formula>wld_dpg_separation_chosen="Include"</formula>
    </cfRule>
  </conditionalFormatting>
  <conditionalFormatting sqref="B13:B18 D15">
    <cfRule type="expression" dxfId="1873" priority="283" stopIfTrue="1">
      <formula>wld_domain_result="Excluded"</formula>
    </cfRule>
  </conditionalFormatting>
  <conditionalFormatting sqref="B14 D14:E14">
    <cfRule type="expression" dxfId="1872" priority="21">
      <formula>$E$14="Cause: Multi Rack Configuration is only supported with vSAN as Principal Storage or with vSAN Compute Clusters"</formula>
    </cfRule>
  </conditionalFormatting>
  <conditionalFormatting sqref="B15 D15">
    <cfRule type="expression" dxfId="1871" priority="64">
      <formula>wld_az1_reuse_vcf_networkpool_result="Excluded"</formula>
    </cfRule>
  </conditionalFormatting>
  <conditionalFormatting sqref="B16 D16:E16">
    <cfRule type="expression" dxfId="1870" priority="204">
      <formula>AND((wld_secondary_storage_chosen&lt;&gt;"Exclude"),(wld_secondary_storage_result="Excluded"))</formula>
    </cfRule>
  </conditionalFormatting>
  <conditionalFormatting sqref="B16">
    <cfRule type="expression" dxfId="1869" priority="288" stopIfTrue="1">
      <formula>wld_secondary_storage_chosen="Exclude"</formula>
    </cfRule>
    <cfRule type="expression" dxfId="1868" priority="286" stopIfTrue="1">
      <formula>wld_secondary_storage_chosen&lt;&gt;"Exclude"</formula>
    </cfRule>
  </conditionalFormatting>
  <conditionalFormatting sqref="B16:B18 B13:B14">
    <cfRule type="expression" dxfId="1867" priority="287">
      <formula>wld_domain_chosen="Exclude"</formula>
    </cfRule>
  </conditionalFormatting>
  <conditionalFormatting sqref="B17 D17:E17">
    <cfRule type="expression" dxfId="1866" priority="284">
      <formula>AND((wld_esxi_external_certs_chosen&lt;&gt;"Exclude"),(wld_esxi_external_certs_result="Excluded"))</formula>
    </cfRule>
  </conditionalFormatting>
  <conditionalFormatting sqref="B17">
    <cfRule type="expression" dxfId="1865" priority="285">
      <formula>wld_esxi_external_certs_chosen="Exclude"</formula>
    </cfRule>
    <cfRule type="expression" dxfId="1864" priority="798">
      <formula>wld_esxi_external_certs_chosen="Include"</formula>
    </cfRule>
  </conditionalFormatting>
  <conditionalFormatting sqref="B18 D18">
    <cfRule type="expression" dxfId="1863" priority="268">
      <formula>wld_iaas_result="Excluded"</formula>
    </cfRule>
    <cfRule type="expression" dxfId="1862" priority="282">
      <formula>wld_iaas_chosen="Include"</formula>
    </cfRule>
  </conditionalFormatting>
  <conditionalFormatting sqref="B18 D18:E18">
    <cfRule type="expression" dxfId="1861" priority="26">
      <formula>$E$18="Cause: vSphere Supervisor should be enabled after the you completed the stretched cluster configuration"</formula>
    </cfRule>
  </conditionalFormatting>
  <conditionalFormatting sqref="D10">
    <cfRule type="expression" dxfId="1860" priority="372">
      <formula>(wld_domain_result="Excluded")</formula>
    </cfRule>
    <cfRule type="expression" dxfId="1859" priority="814">
      <formula>AND((wld_domain_chosen&lt;&gt;"Exclude"),(wld_domain_result="Included"))</formula>
    </cfRule>
  </conditionalFormatting>
  <conditionalFormatting sqref="D13">
    <cfRule type="expression" dxfId="1858" priority="1">
      <formula>wld_domain_result="Excluded"</formula>
    </cfRule>
    <cfRule type="expression" dxfId="1857" priority="781">
      <formula>(wld_dpg_separation_result="Included")</formula>
    </cfRule>
    <cfRule type="expression" dxfId="1856" priority="780" stopIfTrue="1">
      <formula>(wld_dpg_separation_result="Excluded")</formula>
    </cfRule>
  </conditionalFormatting>
  <conditionalFormatting sqref="D13:D14 D16">
    <cfRule type="expression" dxfId="1855" priority="736">
      <formula>(vcf_version_result="Excluded")</formula>
    </cfRule>
  </conditionalFormatting>
  <conditionalFormatting sqref="D14">
    <cfRule type="expression" dxfId="1854" priority="289">
      <formula>wld_principal_storage_result="Excluded"</formula>
    </cfRule>
    <cfRule type="expression" dxfId="1853" priority="750">
      <formula>wld_principal_storage_result="Included"</formula>
    </cfRule>
  </conditionalFormatting>
  <conditionalFormatting sqref="D16">
    <cfRule type="expression" dxfId="1852" priority="793">
      <formula>(wld_secondary_storage_chosen="Exclude")</formula>
    </cfRule>
    <cfRule type="expression" dxfId="1851" priority="794">
      <formula>AND((wld_secondary_storage_chosen&lt;&gt;"Exclude"),(wld_secondary_storage_result="Included"))</formula>
    </cfRule>
  </conditionalFormatting>
  <conditionalFormatting sqref="D17">
    <cfRule type="expression" dxfId="1850" priority="799">
      <formula>(wld_esxi_external_certs_chosen="Exclude")</formula>
    </cfRule>
    <cfRule type="expression" dxfId="1849" priority="800">
      <formula>wld_esxi_external_certs_result="Included"</formula>
    </cfRule>
  </conditionalFormatting>
  <conditionalFormatting sqref="D18 D16">
    <cfRule type="expression" dxfId="1848" priority="792">
      <formula>(wld_domain_chosen="Exclude")</formula>
    </cfRule>
  </conditionalFormatting>
  <conditionalFormatting sqref="D23 D28:D33 D38:D50 D58:D61 D63:D78 D83 D85:D91 D93:D99 D101:D107 D120:D141 D148:D152 D157:D158 D163:D164 D168 D173:D189 D194:D195 D200:D208 D213:D228 D233:D234 D239:D270 D278:D280 D297:D300 D302:D312 D314:D321 D326:D329 D331:D336 D341:D344 D349 D351:D356 D358:D363 D365:D370 D373 D375:D378">
    <cfRule type="notContainsBlanks" dxfId="1846" priority="4942">
      <formula>LEN(TRIM(D23))&gt;0</formula>
    </cfRule>
  </conditionalFormatting>
  <conditionalFormatting sqref="D23 D28:D33 D38:D50">
    <cfRule type="expression" dxfId="1845" priority="211">
      <formula>wld_domain_chosen&lt;&gt;"Import Workload Domain"</formula>
    </cfRule>
  </conditionalFormatting>
  <conditionalFormatting sqref="D38:D43 D47">
    <cfRule type="expression" dxfId="1844" priority="208">
      <formula>wld_bf_nsx_existing_chosen="Selected"</formula>
    </cfRule>
  </conditionalFormatting>
  <conditionalFormatting sqref="D39:D43 D47">
    <cfRule type="expression" dxfId="1843" priority="209">
      <formula>wld_bf_nsx_join_manager_chosen="Join existing NSX Manager Instance"</formula>
    </cfRule>
  </conditionalFormatting>
  <conditionalFormatting sqref="D42:D43">
    <cfRule type="expression" dxfId="1842" priority="210">
      <formula>wld_bf_nsx_ha_mode_chosen="Single NSX Manager Appliance"</formula>
    </cfRule>
  </conditionalFormatting>
  <conditionalFormatting sqref="D45">
    <cfRule type="expression" dxfId="1841" priority="207">
      <formula>wld_bf_nsx_existing_chosen="Unselected"</formula>
    </cfRule>
  </conditionalFormatting>
  <conditionalFormatting sqref="D48:D50">
    <cfRule type="expression" dxfId="1840" priority="205">
      <formula>wld_bf_nsx_create_passwords_chosen="Selected"</formula>
    </cfRule>
  </conditionalFormatting>
  <conditionalFormatting sqref="D58:D61 D85:D89">
    <cfRule type="expression" dxfId="1839" priority="515">
      <formula>wld_domain_result="Excluded"</formula>
    </cfRule>
  </conditionalFormatting>
  <conditionalFormatting sqref="D63:D78">
    <cfRule type="expression" dxfId="1838" priority="563">
      <formula>wld_domain_result="Excluded"</formula>
    </cfRule>
  </conditionalFormatting>
  <conditionalFormatting sqref="D64">
    <cfRule type="expression" dxfId="1837" priority="151">
      <formula>AND((wld_domain_chosen="Deploy Workload Domain with a Multi-Rack Layer 3 Cluster"),(wld_compute_hosts_per_rack_chosen&lt;2))</formula>
    </cfRule>
  </conditionalFormatting>
  <conditionalFormatting sqref="D65">
    <cfRule type="expression" dxfId="1836" priority="152">
      <formula>wld_compute_hosts_per_rack_chosen&lt;3</formula>
    </cfRule>
  </conditionalFormatting>
  <conditionalFormatting sqref="D66">
    <cfRule type="expression" dxfId="1835" priority="153">
      <formula>wld_compute_hosts_per_rack_chosen&lt;4</formula>
    </cfRule>
  </conditionalFormatting>
  <conditionalFormatting sqref="D67">
    <cfRule type="expression" dxfId="1834" priority="154">
      <formula>wld_compute_hosts_per_rack_chosen&lt;5</formula>
    </cfRule>
  </conditionalFormatting>
  <conditionalFormatting sqref="D68">
    <cfRule type="expression" dxfId="1833" priority="155">
      <formula>wld_compute_hosts_per_rack_chosen&lt;6</formula>
    </cfRule>
  </conditionalFormatting>
  <conditionalFormatting sqref="D69">
    <cfRule type="expression" dxfId="1832" priority="156">
      <formula>wld_compute_hosts_per_rack_chosen&lt;7</formula>
    </cfRule>
  </conditionalFormatting>
  <conditionalFormatting sqref="D70">
    <cfRule type="expression" dxfId="1831" priority="157">
      <formula>wld_compute_hosts_per_rack_chosen&lt;8</formula>
    </cfRule>
  </conditionalFormatting>
  <conditionalFormatting sqref="D71">
    <cfRule type="expression" dxfId="1830" priority="158">
      <formula>wld_compute_hosts_per_rack_chosen&lt;9</formula>
    </cfRule>
  </conditionalFormatting>
  <conditionalFormatting sqref="D72">
    <cfRule type="expression" dxfId="1829" priority="159">
      <formula>wld_compute_hosts_per_rack_chosen&lt;10</formula>
    </cfRule>
  </conditionalFormatting>
  <conditionalFormatting sqref="D73">
    <cfRule type="expression" dxfId="1828" priority="160">
      <formula>wld_compute_hosts_per_rack_chosen&lt;11</formula>
    </cfRule>
  </conditionalFormatting>
  <conditionalFormatting sqref="D74">
    <cfRule type="expression" dxfId="1827" priority="161">
      <formula>wld_compute_hosts_per_rack_chosen&lt;12</formula>
    </cfRule>
  </conditionalFormatting>
  <conditionalFormatting sqref="D75">
    <cfRule type="expression" dxfId="1826" priority="162">
      <formula>wld_compute_hosts_per_rack_chosen&lt;13</formula>
    </cfRule>
  </conditionalFormatting>
  <conditionalFormatting sqref="D76">
    <cfRule type="expression" dxfId="1825" priority="163">
      <formula>wld_compute_hosts_per_rack_chosen&lt;14</formula>
    </cfRule>
  </conditionalFormatting>
  <conditionalFormatting sqref="D77">
    <cfRule type="expression" dxfId="1824" priority="164">
      <formula>wld_compute_hosts_per_rack_chosen&lt;15</formula>
    </cfRule>
  </conditionalFormatting>
  <conditionalFormatting sqref="D78">
    <cfRule type="expression" dxfId="1823" priority="165">
      <formula>wld_compute_hosts_per_rack_chosen&lt;16</formula>
    </cfRule>
  </conditionalFormatting>
  <conditionalFormatting sqref="D85:D91 D93:D99 D101:D107 D109:D115 D58:D61 D63:D78 D83 D120:D141 D148:D152 D157:D158 D163:D164 D168 D173:D189 D194:D195 D200:D208 D213:D228 D233:D234 D239:D270 D277:D280 D341:D344 D346:D349 D351:D356 D358:D363 D365:D370 D373 D375:D378 D326:D329 D331:D336">
    <cfRule type="expression" dxfId="1822" priority="25" stopIfTrue="1">
      <formula>wld_domain_result="Excluded"</formula>
    </cfRule>
  </conditionalFormatting>
  <conditionalFormatting sqref="D85:D91 D93:D99 D101:D107 D109:D115">
    <cfRule type="expression" dxfId="1821" priority="24">
      <formula>wld_az1_reuse_vcf_networkpool_chosen="Re-use an existing VCF Network Pool"</formula>
    </cfRule>
  </conditionalFormatting>
  <conditionalFormatting sqref="D92">
    <cfRule type="containsBlanks" dxfId="1820" priority="465">
      <formula>LEN(TRIM(D92))=0</formula>
    </cfRule>
    <cfRule type="notContainsBlanks" dxfId="1819" priority="466">
      <formula>LEN(TRIM(D92))&gt;0</formula>
    </cfRule>
    <cfRule type="expression" dxfId="1818" priority="463">
      <formula>mgmt_domain_existing_vcenter_chosen="Selected"</formula>
    </cfRule>
    <cfRule type="expression" dxfId="1817" priority="462">
      <formula>input_mgmt_principal_storage_chosen="VMFS on Fibre Channel (FC)"</formula>
    </cfRule>
  </conditionalFormatting>
  <conditionalFormatting sqref="D93:D97">
    <cfRule type="expression" dxfId="1815" priority="476">
      <formula>wld_domain_result="Excluded"</formula>
    </cfRule>
  </conditionalFormatting>
  <conditionalFormatting sqref="D93:D99">
    <cfRule type="expression" dxfId="1814" priority="477">
      <formula>OR((wld_principal_storage_chosen="VMFS on Fibre Channel (FC)"),(wld_principal_storage_chosen="vSAN Storage Cluster"))</formula>
    </cfRule>
  </conditionalFormatting>
  <conditionalFormatting sqref="D98:D99">
    <cfRule type="expression" dxfId="1813" priority="331">
      <formula>wld_domain_result="Excluded"</formula>
    </cfRule>
  </conditionalFormatting>
  <conditionalFormatting sqref="D101:D107">
    <cfRule type="expression" dxfId="1812" priority="350" stopIfTrue="1">
      <formula>OR((wld_domain_result="Excluded"),(wld_secondary_storage_result="Excluded"))</formula>
    </cfRule>
  </conditionalFormatting>
  <conditionalFormatting sqref="D109:D115">
    <cfRule type="expression" dxfId="1811" priority="23">
      <formula>wld_principal_storage_chosen&lt;&gt;"vSAN Storage Cluster"</formula>
    </cfRule>
    <cfRule type="containsBlanks" dxfId="1810" priority="50">
      <formula>LEN(TRIM(D109))=0</formula>
    </cfRule>
    <cfRule type="notContainsBlanks" dxfId="1809" priority="4940">
      <formula>LEN(TRIM(D109))&gt;0</formula>
    </cfRule>
  </conditionalFormatting>
  <conditionalFormatting sqref="D120:D135">
    <cfRule type="expression" dxfId="1807" priority="117">
      <formula>wld_domain_result="Excluded"</formula>
    </cfRule>
    <cfRule type="expression" dxfId="1806" priority="679">
      <formula>wld_domain_result="Excluded"</formula>
    </cfRule>
  </conditionalFormatting>
  <conditionalFormatting sqref="D120:D141 D213:D228 D292:D295 D349 D58:D61 D63:D78 D83 D85:D91 D93:D99 D101:D107 D148:D152 D157:D158 D163:D164 D168 D173:D189 D194:D195 D200:D208 D233:D234 D239:D270 D277:D280 D326:D329 D331:D336 D341:D344 D351:D356 D358:D363 D365:D370 D373 D375:D378 D287:D290 D272:D275 D282:D285 D314:D321 D23 D28:D33 D38:D50 D297:D300 D302:D312 B373 B375:B378 B380:B395 D380:D395">
    <cfRule type="expression" dxfId="1805" priority="179">
      <formula>mgmt_domain_deployment_type_chosen="VMware vSphere Foundation"</formula>
    </cfRule>
  </conditionalFormatting>
  <conditionalFormatting sqref="D121">
    <cfRule type="expression" dxfId="1804" priority="102">
      <formula>AND((wld_domain_chosen="Deploy Workload Domain with a Multi-Rack Layer 3 Cluster"),(wld_compute_hosts_per_rack_chosen&lt;2))</formula>
    </cfRule>
  </conditionalFormatting>
  <conditionalFormatting sqref="D122">
    <cfRule type="expression" dxfId="1803" priority="103">
      <formula>wld_compute_hosts_per_rack_chosen&lt;3</formula>
    </cfRule>
  </conditionalFormatting>
  <conditionalFormatting sqref="D123">
    <cfRule type="expression" dxfId="1802" priority="104">
      <formula>wld_compute_hosts_per_rack_chosen&lt;4</formula>
    </cfRule>
  </conditionalFormatting>
  <conditionalFormatting sqref="D124">
    <cfRule type="expression" dxfId="1801" priority="105">
      <formula>wld_compute_hosts_per_rack_chosen&lt;5</formula>
    </cfRule>
  </conditionalFormatting>
  <conditionalFormatting sqref="D125">
    <cfRule type="expression" dxfId="1800" priority="106">
      <formula>wld_compute_hosts_per_rack_chosen&lt;6</formula>
    </cfRule>
  </conditionalFormatting>
  <conditionalFormatting sqref="D126">
    <cfRule type="expression" dxfId="1799" priority="107">
      <formula>wld_compute_hosts_per_rack_chosen&lt;7</formula>
    </cfRule>
  </conditionalFormatting>
  <conditionalFormatting sqref="D127">
    <cfRule type="expression" dxfId="1798" priority="108">
      <formula>wld_compute_hosts_per_rack_chosen&lt;8</formula>
    </cfRule>
  </conditionalFormatting>
  <conditionalFormatting sqref="D128">
    <cfRule type="expression" dxfId="1797" priority="109">
      <formula>wld_compute_hosts_per_rack_chosen&lt;9</formula>
    </cfRule>
  </conditionalFormatting>
  <conditionalFormatting sqref="D129">
    <cfRule type="expression" dxfId="1796" priority="110">
      <formula>wld_compute_hosts_per_rack_chosen&lt;10</formula>
    </cfRule>
  </conditionalFormatting>
  <conditionalFormatting sqref="D130">
    <cfRule type="expression" dxfId="1795" priority="111">
      <formula>wld_compute_hosts_per_rack_chosen&lt;11</formula>
    </cfRule>
  </conditionalFormatting>
  <conditionalFormatting sqref="D131">
    <cfRule type="expression" dxfId="1794" priority="112">
      <formula>wld_compute_hosts_per_rack_chosen&lt;12</formula>
    </cfRule>
  </conditionalFormatting>
  <conditionalFormatting sqref="D132">
    <cfRule type="expression" dxfId="1793" priority="113">
      <formula>wld_compute_hosts_per_rack_chosen&lt;13</formula>
    </cfRule>
  </conditionalFormatting>
  <conditionalFormatting sqref="D133">
    <cfRule type="expression" dxfId="1792" priority="114">
      <formula>wld_compute_hosts_per_rack_chosen&lt;14</formula>
    </cfRule>
  </conditionalFormatting>
  <conditionalFormatting sqref="D134">
    <cfRule type="expression" dxfId="1791" priority="115">
      <formula>wld_compute_hosts_per_rack_chosen&lt;15</formula>
    </cfRule>
  </conditionalFormatting>
  <conditionalFormatting sqref="D135">
    <cfRule type="expression" dxfId="1790" priority="116">
      <formula>wld_compute_hosts_per_rack_chosen&lt;16</formula>
    </cfRule>
  </conditionalFormatting>
  <conditionalFormatting sqref="D137:D138">
    <cfRule type="expression" dxfId="1789" priority="174">
      <formula>AND((wld_principal_storage_chosen&lt;&gt;"vSAN-ESA"),(wld_principal_storage_chosen&lt;&gt;"vSAN-OSA"),(wld_principal_storage_chosen&lt;&gt;"vSAN Storage Cluster"),(wld_principal_storage_chosen&lt;&gt;"vSAN Compute Cluster"))</formula>
    </cfRule>
  </conditionalFormatting>
  <conditionalFormatting sqref="D152 D158">
    <cfRule type="expression" dxfId="1788" priority="438">
      <formula>wld_domain_password_creation_chosen="Selected"</formula>
    </cfRule>
  </conditionalFormatting>
  <conditionalFormatting sqref="D164 D326:D329 D331:D336">
    <cfRule type="expression" dxfId="1787" priority="191">
      <formula>wld_iaas_result="Excluded"</formula>
    </cfRule>
  </conditionalFormatting>
  <conditionalFormatting sqref="D177:D180">
    <cfRule type="expression" dxfId="1786" priority="437">
      <formula>wld_nsx_ha_mode_chosen="Standard"</formula>
    </cfRule>
  </conditionalFormatting>
  <conditionalFormatting sqref="D186:D189">
    <cfRule type="expression" dxfId="1785" priority="567">
      <formula>wld_centralized_connectivity_chosen="Centralized Connectivity"</formula>
    </cfRule>
  </conditionalFormatting>
  <conditionalFormatting sqref="D195 D200">
    <cfRule type="expression" dxfId="1784" priority="177">
      <formula>AND((wld_principal_storage_chosen&lt;&gt;"vSAN-ESA"),(wld_principal_storage_chosen&lt;&gt;"vSAN Storage Cluster"))</formula>
    </cfRule>
  </conditionalFormatting>
  <conditionalFormatting sqref="D200:D208 D239:D270 D233:D234 D168 D173:D189 D194:D195 D297:D300 D302:D312 D314:D321 D120:D141 D326:D329 D331:D336 D63:D78 D58:D61 D85:D91 D93:D99 D148:D152 D157:D158 D101:D107 D278:D280 D23 D28:D33 D38:D50 D163:D164 D83 D213:D228 D341:D344 D349 D351:D356 D358:D363 D365:D370 D373 D375:D378">
    <cfRule type="containsBlanks" dxfId="1783" priority="1189">
      <formula>LEN(TRIM(D23))=0</formula>
    </cfRule>
  </conditionalFormatting>
  <conditionalFormatting sqref="D201">
    <cfRule type="expression" dxfId="1782" priority="568">
      <formula>AND((wld_principal_storage_chosen&lt;&gt;"vSAN-ESA"),(wld_principal_storage_chosen&lt;&gt;"vSAN-OSA"),(wld_principal_storage_chosen&lt;&gt;"vSAN Storage Cluster"))</formula>
    </cfRule>
  </conditionalFormatting>
  <conditionalFormatting sqref="D202">
    <cfRule type="expression" dxfId="1781" priority="269">
      <formula>$B$16&lt;&gt;"vSAN Storage Client Network"</formula>
    </cfRule>
  </conditionalFormatting>
  <conditionalFormatting sqref="D204">
    <cfRule type="expression" dxfId="1779" priority="694">
      <formula>(wld_principal_storage_chosen&lt;&gt;"vSAN-OSA")</formula>
    </cfRule>
  </conditionalFormatting>
  <conditionalFormatting sqref="D205">
    <cfRule type="expression" dxfId="1778" priority="689">
      <formula>OR((wld_domain_result="Excluded"),(wld_principal_storage_chosen&lt;&gt;"VMFS on Fibre Channel (FC)"))</formula>
    </cfRule>
  </conditionalFormatting>
  <conditionalFormatting sqref="D206:D208">
    <cfRule type="expression" dxfId="1777" priority="681">
      <formula>OR((wld_domain_result="Excluded"),(wld_principal_storage_chosen&lt;&gt;"NFSv3"))</formula>
    </cfRule>
  </conditionalFormatting>
  <conditionalFormatting sqref="D213:D228">
    <cfRule type="expression" dxfId="1776" priority="84">
      <formula>wld_domain_result="Excluded"</formula>
    </cfRule>
  </conditionalFormatting>
  <conditionalFormatting sqref="D214">
    <cfRule type="expression" dxfId="1775" priority="69">
      <formula>AND((wld_domain_chosen="Deploy Workload Domain with a Multi-Rack Layer 3 Cluster"),(wld_compute_hosts_per_rack_chosen&lt;2))</formula>
    </cfRule>
  </conditionalFormatting>
  <conditionalFormatting sqref="D215">
    <cfRule type="expression" dxfId="1774" priority="70">
      <formula>wld_compute_hosts_per_rack_chosen&lt;3</formula>
    </cfRule>
  </conditionalFormatting>
  <conditionalFormatting sqref="D216">
    <cfRule type="expression" dxfId="1773" priority="71">
      <formula>wld_compute_hosts_per_rack_chosen&lt;4</formula>
    </cfRule>
  </conditionalFormatting>
  <conditionalFormatting sqref="D217">
    <cfRule type="expression" dxfId="1772" priority="72">
      <formula>wld_compute_hosts_per_rack_chosen&lt;5</formula>
    </cfRule>
  </conditionalFormatting>
  <conditionalFormatting sqref="D218">
    <cfRule type="expression" dxfId="1771" priority="73">
      <formula>wld_compute_hosts_per_rack_chosen&lt;6</formula>
    </cfRule>
  </conditionalFormatting>
  <conditionalFormatting sqref="D219">
    <cfRule type="expression" dxfId="1770" priority="74">
      <formula>wld_compute_hosts_per_rack_chosen&lt;7</formula>
    </cfRule>
  </conditionalFormatting>
  <conditionalFormatting sqref="D220">
    <cfRule type="expression" dxfId="1769" priority="75">
      <formula>wld_compute_hosts_per_rack_chosen&lt;8</formula>
    </cfRule>
  </conditionalFormatting>
  <conditionalFormatting sqref="D221">
    <cfRule type="expression" dxfId="1768" priority="76">
      <formula>wld_compute_hosts_per_rack_chosen&lt;9</formula>
    </cfRule>
  </conditionalFormatting>
  <conditionalFormatting sqref="D222">
    <cfRule type="expression" dxfId="1767" priority="77">
      <formula>wld_compute_hosts_per_rack_chosen&lt;10</formula>
    </cfRule>
  </conditionalFormatting>
  <conditionalFormatting sqref="D223">
    <cfRule type="expression" dxfId="1766" priority="78">
      <formula>wld_compute_hosts_per_rack_chosen&lt;11</formula>
    </cfRule>
  </conditionalFormatting>
  <conditionalFormatting sqref="D224">
    <cfRule type="expression" dxfId="1765" priority="79">
      <formula>wld_compute_hosts_per_rack_chosen&lt;12</formula>
    </cfRule>
  </conditionalFormatting>
  <conditionalFormatting sqref="D225">
    <cfRule type="expression" dxfId="1764" priority="80">
      <formula>wld_compute_hosts_per_rack_chosen&lt;13</formula>
    </cfRule>
  </conditionalFormatting>
  <conditionalFormatting sqref="D226">
    <cfRule type="expression" dxfId="1763" priority="81">
      <formula>wld_compute_hosts_per_rack_chosen&lt;14</formula>
    </cfRule>
  </conditionalFormatting>
  <conditionalFormatting sqref="D227">
    <cfRule type="expression" dxfId="1762" priority="82">
      <formula>wld_compute_hosts_per_rack_chosen&lt;15</formula>
    </cfRule>
  </conditionalFormatting>
  <conditionalFormatting sqref="D228">
    <cfRule type="expression" dxfId="1761" priority="83">
      <formula>wld_compute_hosts_per_rack_chosen&lt;16</formula>
    </cfRule>
  </conditionalFormatting>
  <conditionalFormatting sqref="D239:D248 D250:D259">
    <cfRule type="expression" dxfId="1760" priority="637">
      <formula>wld_cl01_vds_profile_chosen="Custom Switch Configuration"</formula>
    </cfRule>
  </conditionalFormatting>
  <conditionalFormatting sqref="D239:D270 D287:D290 D272:D275 D277:D280 D282:D285 D314:D321 D11:D18 B11:B18 D58:D61 D63:D78 D83 D85:D91 D93:D99 D120:D141 D148:D152 D157:D158 D163:D164 D168 D173:D189 D194:D195 D200:D208 D213:D228 D233:D234 D292:D295 D297:D300 D302:D312 D341:D344 D349 D351:D356 D358:D363 D365:D370 B373 D373 B375:B378 D375:D378 B380:B395 D380:D395">
    <cfRule type="expression" dxfId="1759" priority="15">
      <formula>wld_domain_chosen="Import Workload Domain"</formula>
    </cfRule>
  </conditionalFormatting>
  <conditionalFormatting sqref="D242:D245">
    <cfRule type="expression" dxfId="1758" priority="14">
      <formula>wld_cl01_vds01_link_type_chosen="VDS Uplinks"</formula>
    </cfRule>
  </conditionalFormatting>
  <conditionalFormatting sqref="D248:D270 D234">
    <cfRule type="expression" dxfId="1757" priority="827">
      <formula>wld_domain_result="Excluded"</formula>
    </cfRule>
  </conditionalFormatting>
  <conditionalFormatting sqref="D248:D270 D297:D300 D304:D305 D168 D173:D180 D183:D189 D194:D195 D234">
    <cfRule type="expression" dxfId="1756" priority="826">
      <formula>wld_multirack_result="Included"</formula>
    </cfRule>
  </conditionalFormatting>
  <conditionalFormatting sqref="D249">
    <cfRule type="notContainsBlanks" dxfId="1755" priority="224" stopIfTrue="1">
      <formula>LEN(TRIM(D249))&gt;0</formula>
    </cfRule>
    <cfRule type="expression" dxfId="1754" priority="223">
      <formula>mgmt_host_overlay_addressing_chosen&lt;&gt;"IP Pool"</formula>
    </cfRule>
    <cfRule type="containsBlanks" dxfId="1753" priority="225">
      <formula>LEN(TRIM(D249))=0</formula>
    </cfRule>
  </conditionalFormatting>
  <conditionalFormatting sqref="D250:D258">
    <cfRule type="expression" dxfId="1752" priority="638" stopIfTrue="1">
      <formula>wld_cl01_vds_profile_chosen="Default"</formula>
    </cfRule>
  </conditionalFormatting>
  <conditionalFormatting sqref="D253:D256">
    <cfRule type="expression" dxfId="1751" priority="13">
      <formula>wld_cl01_vds02_link_type_chosen="VDS Uplinks"</formula>
    </cfRule>
  </conditionalFormatting>
  <conditionalFormatting sqref="D261:D269">
    <cfRule type="expression" dxfId="1750" priority="635">
      <formula>wld_cl01_vds_profile_chosen="Default"</formula>
    </cfRule>
    <cfRule type="expression" dxfId="1749" priority="634">
      <formula>wld_cl01_vds_profile_chosen="Storage Traffic Separation"</formula>
    </cfRule>
    <cfRule type="expression" dxfId="1748" priority="631">
      <formula>wld_cl01_vds_profile_chosen="NSX Traffic Separation"</formula>
    </cfRule>
  </conditionalFormatting>
  <conditionalFormatting sqref="D261:D270">
    <cfRule type="expression" dxfId="1747" priority="183">
      <formula>wld_cl01_vds_profile_chosen="vSAN Max Storage Traffic Separation"</formula>
    </cfRule>
    <cfRule type="expression" dxfId="1746" priority="630">
      <formula>wld_cl01_vds_profile_chosen="Custom Switch Configuration"</formula>
    </cfRule>
  </conditionalFormatting>
  <conditionalFormatting sqref="D264:D267">
    <cfRule type="expression" dxfId="1745" priority="12">
      <formula>wld_cl01_vds03_link_type_chosen="VDS Uplinks"</formula>
    </cfRule>
  </conditionalFormatting>
  <conditionalFormatting sqref="D270 D259">
    <cfRule type="expression" dxfId="1744" priority="1132">
      <formula>wld_cl01_vds_profile_chosen="Default"</formula>
    </cfRule>
  </conditionalFormatting>
  <conditionalFormatting sqref="D270 D297:D300 D304:D305 D316:D321 D203:D208">
    <cfRule type="expression" dxfId="1743" priority="680" stopIfTrue="1">
      <formula>wld_domain_result="Excluded"</formula>
    </cfRule>
  </conditionalFormatting>
  <conditionalFormatting sqref="D270">
    <cfRule type="expression" dxfId="1742" priority="1164">
      <formula xml:space="preserve"> wld_cl01_vds_profile_chosen ="NSX Traffic Separation"</formula>
    </cfRule>
    <cfRule type="expression" dxfId="1741" priority="1182">
      <formula xml:space="preserve"> wld_cl01_vds_profile_chosen ="Storage Traffic Separation"</formula>
    </cfRule>
  </conditionalFormatting>
  <conditionalFormatting sqref="D272:D275">
    <cfRule type="expression" dxfId="1740" priority="236" stopIfTrue="1">
      <formula>wld_domain_result="Excluded"</formula>
    </cfRule>
    <cfRule type="containsBlanks" dxfId="1739" priority="245">
      <formula>LEN(TRIM(D272))=0</formula>
    </cfRule>
    <cfRule type="notContainsBlanks" dxfId="1737" priority="647">
      <formula>LEN(TRIM(D272))&gt;0</formula>
    </cfRule>
  </conditionalFormatting>
  <conditionalFormatting sqref="D273:D275 D278:D280 D283:D285">
    <cfRule type="expression" dxfId="1736" priority="7">
      <formula>wld_cl01_vds01_link_type_chosen="VDS Lag"</formula>
    </cfRule>
  </conditionalFormatting>
  <conditionalFormatting sqref="D277">
    <cfRule type="notContainsBlanks" dxfId="1734" priority="270">
      <formula>LEN(TRIM(D277))&gt;0</formula>
    </cfRule>
    <cfRule type="containsBlanks" dxfId="1733" priority="267">
      <formula>LEN(TRIM(D277))=0</formula>
    </cfRule>
  </conditionalFormatting>
  <conditionalFormatting sqref="D282">
    <cfRule type="expression" dxfId="1732" priority="235">
      <formula>wld_cl01_vds_profile_chosen="custom"</formula>
    </cfRule>
  </conditionalFormatting>
  <conditionalFormatting sqref="D282:D285">
    <cfRule type="expression" dxfId="1731" priority="234" stopIfTrue="1">
      <formula>wld_domain_result="Excluded"</formula>
    </cfRule>
    <cfRule type="notContainsBlanks" dxfId="1730" priority="244">
      <formula>LEN(TRIM(D282))&gt;0</formula>
    </cfRule>
    <cfRule type="containsBlanks" dxfId="1728" priority="242">
      <formula>LEN(TRIM(D282))=0</formula>
    </cfRule>
  </conditionalFormatting>
  <conditionalFormatting sqref="D287">
    <cfRule type="expression" dxfId="1727" priority="232">
      <formula>wld_cl01_vds_profile_chosen="custom"</formula>
    </cfRule>
  </conditionalFormatting>
  <conditionalFormatting sqref="D287:D290 D292:D295">
    <cfRule type="expression" dxfId="1726" priority="231" stopIfTrue="1">
      <formula>wld_domain_result="Excluded"</formula>
    </cfRule>
    <cfRule type="notContainsBlanks" dxfId="1725" priority="241">
      <formula>LEN(TRIM(D287))&gt;0</formula>
    </cfRule>
    <cfRule type="containsBlanks" dxfId="1724" priority="239">
      <formula>LEN(TRIM(D287))=0</formula>
    </cfRule>
  </conditionalFormatting>
  <conditionalFormatting sqref="D288:D290">
    <cfRule type="expression" dxfId="1722" priority="8">
      <formula>AND((wld_cl01_vds_profile_chosen="Default"),(wld_cl01_vds01_link_type_chosen="VDS Lag"))</formula>
    </cfRule>
    <cfRule type="expression" dxfId="1721" priority="9">
      <formula>AND((wld_cl01_vds_profile_chosen="NSX Traffic Separation"),(wld_cl01_vds01_link_type_chosen="VDS Lag"))</formula>
    </cfRule>
    <cfRule type="expression" dxfId="1720" priority="10">
      <formula>AND((wld_cl01_vds_profile_chosen="Storage Traffic and NSX Traffic Separation"),(wld_cl01_vds02_link_type_chosen="VDS Lag"))</formula>
    </cfRule>
    <cfRule type="expression" dxfId="1719" priority="11">
      <formula>AND((wld_cl01_vds_profile_chosen="Storage Traffic Separation"),(wld_cl01_vds02_link_type_chosen="VDS Lag"))</formula>
    </cfRule>
  </conditionalFormatting>
  <conditionalFormatting sqref="D292">
    <cfRule type="expression" dxfId="1718" priority="182">
      <formula>wld_cl01_vds_profile_chosen="custom"</formula>
    </cfRule>
  </conditionalFormatting>
  <conditionalFormatting sqref="D292:D295">
    <cfRule type="expression" dxfId="1717" priority="48">
      <formula>OR((wld_domain_result="Excluded"),(wld_secondary_storage_result="Excluded"))</formula>
    </cfRule>
  </conditionalFormatting>
  <conditionalFormatting sqref="D297:D300 D302:D312 D314:D321 B373 B375:B378 B380:B395 D380:D395">
    <cfRule type="expression" dxfId="1716" priority="260" stopIfTrue="1">
      <formula>wld_domain_result="Excluded"</formula>
    </cfRule>
  </conditionalFormatting>
  <conditionalFormatting sqref="D298:D300">
    <cfRule type="expression" dxfId="1715" priority="436">
      <formula>wld_nsx_default_operation_mode_chosen="Selected"</formula>
    </cfRule>
  </conditionalFormatting>
  <conditionalFormatting sqref="D302">
    <cfRule type="expression" dxfId="1714" priority="226">
      <formula>wld_domain_result="Excluded"</formula>
    </cfRule>
  </conditionalFormatting>
  <conditionalFormatting sqref="D302:D311">
    <cfRule type="expression" dxfId="1713" priority="19">
      <formula>wld_nsx_overlay_transport_zone_chosen="Unselected"</formula>
    </cfRule>
  </conditionalFormatting>
  <conditionalFormatting sqref="D304">
    <cfRule type="expression" dxfId="1712" priority="17">
      <formula>wld_cl01_vds_copy_profile_chosen="Unselected"</formula>
    </cfRule>
  </conditionalFormatting>
  <conditionalFormatting sqref="D305">
    <cfRule type="expression" dxfId="1711" priority="200" stopIfTrue="1">
      <formula>wld_domain_result="Excluded"</formula>
    </cfRule>
  </conditionalFormatting>
  <conditionalFormatting sqref="D305:D312 D314:D321 D240:D247 D251:D252 D257:D258 D262:D263 D268:D269 D273:D275 D278:D280 D283:D285 D288:D290 D293:D295 D297 D302">
    <cfRule type="expression" dxfId="1710" priority="227">
      <formula>wld_cl01_vds_copy_profile_chosen="Unselected"</formula>
    </cfRule>
  </conditionalFormatting>
  <conditionalFormatting sqref="D305:D312 D314:D321">
    <cfRule type="expression" dxfId="1709" priority="435">
      <formula>wld_host_overlay_addressing_chosen="DHCP"</formula>
    </cfRule>
  </conditionalFormatting>
  <conditionalFormatting sqref="D309:D310">
    <cfRule type="expression" dxfId="1708" priority="569">
      <formula>wld_domain_result="Excluded"</formula>
    </cfRule>
  </conditionalFormatting>
  <conditionalFormatting sqref="D312">
    <cfRule type="expression" dxfId="1707" priority="20">
      <formula>wld_nsx_vlan_transport_zone_chosen="Unselected"</formula>
    </cfRule>
  </conditionalFormatting>
  <conditionalFormatting sqref="D314:D321 D307:D312">
    <cfRule type="expression" dxfId="1706" priority="181">
      <formula>input_wld_az1_host_overlay_new_pool_chosen="Re-use an existing Pool"</formula>
    </cfRule>
  </conditionalFormatting>
  <conditionalFormatting sqref="D319:D321">
    <cfRule type="expression" dxfId="1705" priority="4">
      <formula>AND((wld_cl01_vds_profile_chosen="Storage Traffic and NSX Traffic Separation"),(wld_cl01_vds03_link_type_chosen="VDS Lag"))</formula>
    </cfRule>
    <cfRule type="expression" dxfId="1704" priority="5">
      <formula>AND((wld_cl01_vds_profile_chosen="Storage Traffic Separation"),(wld_cl01_vds01_link_type_chosen="VDS Lag"))</formula>
    </cfRule>
    <cfRule type="expression" dxfId="1703" priority="2">
      <formula>AND((wld_cl01_vds_profile_chosen="Default"),(wld_cl01_vds01_link_type_chosen="VDS Lag"))</formula>
    </cfRule>
    <cfRule type="expression" dxfId="1702" priority="3">
      <formula>AND((wld_cl01_vds_profile_chosen="NSX Traffic Separation"),(wld_cl01_vds02_link_type_chosen="VDS Lag"))</formula>
    </cfRule>
  </conditionalFormatting>
  <conditionalFormatting sqref="D321">
    <cfRule type="expression" dxfId="1701" priority="192" stopIfTrue="1">
      <formula>wld_domain_result="Excluded"</formula>
    </cfRule>
  </conditionalFormatting>
  <conditionalFormatting sqref="D326:D329 D331:D336">
    <cfRule type="expression" dxfId="1700" priority="606">
      <formula>wld_domain_result="Excluded"</formula>
    </cfRule>
  </conditionalFormatting>
  <conditionalFormatting sqref="D330">
    <cfRule type="expression" dxfId="1699" priority="265">
      <formula>mgmt_domain_existing_vcenter_chosen="Selected"</formula>
    </cfRule>
  </conditionalFormatting>
  <conditionalFormatting sqref="D346">
    <cfRule type="notContainsBlanks" dxfId="1697" priority="42">
      <formula>LEN(TRIM(D346))&gt;0</formula>
    </cfRule>
    <cfRule type="containsBlanks" dxfId="1696" priority="40">
      <formula>LEN(TRIM(D346))=0</formula>
    </cfRule>
  </conditionalFormatting>
  <conditionalFormatting sqref="D347">
    <cfRule type="notContainsBlanks" dxfId="1695" priority="34">
      <formula>LEN(TRIM(D347))&gt;0</formula>
    </cfRule>
    <cfRule type="expression" dxfId="1694" priority="28">
      <formula>mgmt_domain_deployment_type_chosen="VMware vSphere Foundation"</formula>
    </cfRule>
    <cfRule type="containsBlanks" dxfId="1693" priority="33">
      <formula>LEN(TRIM(D347))=0</formula>
    </cfRule>
  </conditionalFormatting>
  <conditionalFormatting sqref="D348:D349">
    <cfRule type="notContainsBlanks" dxfId="1691" priority="38">
      <formula>LEN(TRIM(D348))&gt;0</formula>
    </cfRule>
    <cfRule type="containsBlanks" dxfId="1689" priority="36">
      <formula>LEN(TRIM(D348))=0</formula>
    </cfRule>
  </conditionalFormatting>
  <conditionalFormatting sqref="D357">
    <cfRule type="expression" dxfId="1688" priority="511">
      <formula>input_mgmt_principal_storage_chosen="VMFS on Fibre Channel (FC)"</formula>
    </cfRule>
    <cfRule type="expression" dxfId="1687" priority="512">
      <formula>mgmt_domain_existing_vcenter_chosen="Selected"</formula>
    </cfRule>
    <cfRule type="containsBlanks" dxfId="1685" priority="514">
      <formula>LEN(TRIM(D357))=0</formula>
    </cfRule>
  </conditionalFormatting>
  <conditionalFormatting sqref="D364 D340">
    <cfRule type="expression" dxfId="1684" priority="541">
      <formula>mgmt_domain_existing_vcenter_chosen="Selected"</formula>
    </cfRule>
  </conditionalFormatting>
  <conditionalFormatting sqref="D364 D357">
    <cfRule type="notContainsBlanks" dxfId="1683" priority="543">
      <formula>LEN(TRIM(D357))&gt;0</formula>
    </cfRule>
  </conditionalFormatting>
  <conditionalFormatting sqref="D364">
    <cfRule type="containsBlanks" dxfId="1682" priority="544">
      <formula>LEN(TRIM(D364))=0</formula>
    </cfRule>
    <cfRule type="expression" dxfId="1680" priority="540">
      <formula>input_mgmt_principal_storage_chosen="VMFS on Fibre Channel (FC)"</formula>
    </cfRule>
  </conditionalFormatting>
  <conditionalFormatting sqref="D380:D395">
    <cfRule type="notContainsBlanks" dxfId="1679" priority="263">
      <formula>LEN(TRIM(D380))&gt;0</formula>
    </cfRule>
    <cfRule type="containsBlanks" dxfId="1678" priority="261">
      <formula>LEN(TRIM(D380))=0</formula>
    </cfRule>
  </conditionalFormatting>
  <conditionalFormatting sqref="D10:E10">
    <cfRule type="expression" dxfId="1676" priority="180">
      <formula>AND((wld_domain_chosen&lt;&gt;"Exclude"),(wld_domain_result="Excluded"))</formula>
    </cfRule>
  </conditionalFormatting>
  <conditionalFormatting sqref="D11:E11 B11">
    <cfRule type="expression" dxfId="1675" priority="49">
      <formula>$E$11="Cause: Minimum number of hosts for storage type not selected"</formula>
    </cfRule>
  </conditionalFormatting>
  <conditionalFormatting sqref="D11:E11">
    <cfRule type="expression" dxfId="1674" priority="16">
      <formula>$E$11="Cause Number of Racks not selected"</formula>
    </cfRule>
  </conditionalFormatting>
  <conditionalFormatting sqref="E11">
    <cfRule type="expression" dxfId="1671" priority="172">
      <formula>vcf_version_result="Excluded"</formula>
    </cfRule>
  </conditionalFormatting>
  <conditionalFormatting sqref="E15">
    <cfRule type="expression" dxfId="1670" priority="58">
      <formula>AND((cluster_secondary_storage_chosen&lt;&gt;"Exclude"),(cluster_secondary_storage_result="Excluded"))</formula>
    </cfRule>
  </conditionalFormatting>
  <conditionalFormatting sqref="E120:E135">
    <cfRule type="expression" dxfId="1668" priority="1196">
      <formula>OR((wld_vlcm_model_result="Excluded"),(wld_vlcm_model_chosen="Baselines"))</formula>
    </cfRule>
  </conditionalFormatting>
  <dataValidations count="29">
    <dataValidation type="list" allowBlank="1" showInputMessage="1" showErrorMessage="1" sqref="B13 B17:B18" xr:uid="{C69FA742-5038-9D45-BD6D-BB0D8DB6294F}">
      <formula1>"Include,Exclude"</formula1>
    </dataValidation>
    <dataValidation type="list" allowBlank="1" showInputMessage="1" showErrorMessage="1" sqref="B14" xr:uid="{D6D56BCB-BAC8-144A-BD1D-A17A62BB989D}">
      <formula1>table_vcf_version5x_wld_storage_type</formula1>
    </dataValidation>
    <dataValidation type="list" allowBlank="1" showInputMessage="1" showErrorMessage="1" sqref="D304" xr:uid="{EF3D963A-7663-544F-9EB3-8674082828F8}">
      <formula1>"DHCP,Static IP Pool"</formula1>
    </dataValidation>
    <dataValidation type="list" allowBlank="1" showInputMessage="1" showErrorMessage="1" sqref="D203" xr:uid="{50D86D43-8A2F-1C4D-AA6C-86B248D68CD8}">
      <formula1>storage_ftt</formula1>
    </dataValidation>
    <dataValidation type="list" allowBlank="1" showInputMessage="1" showErrorMessage="1" sqref="D45:D47 D151 D297 D234 D320:D321 D328 D204 D33" xr:uid="{DB1D3E94-76BC-7344-8465-8A08CA5B4D29}">
      <formula1>"Selected,Unselected"</formula1>
    </dataValidation>
    <dataValidation type="list" allowBlank="1" showInputMessage="1" showErrorMessage="1" sqref="D233" xr:uid="{24B50E16-71D5-D841-B7DF-D531900D7528}">
      <formula1>IF(wld_secondary_storage_chosen="vSAN Storage Client Network",wld_cl01_vds_vsanmax_preconfigured_profiles,wld_cl01_vds_standard_preconfigured_profiles)</formula1>
    </dataValidation>
    <dataValidation type="list" allowBlank="1" showInputMessage="1" showErrorMessage="1" sqref="D173" xr:uid="{7DC9F679-6AD0-7540-9D33-1A7F10D7D460}">
      <formula1>"Standard,High-Availability"</formula1>
    </dataValidation>
    <dataValidation type="list" allowBlank="1" showInputMessage="1" showErrorMessage="1" sqref="D174 D40" xr:uid="{39CFA6FA-D26E-3940-84FC-1698E5665786}">
      <formula1>"Medium,Large,Extra Large"</formula1>
    </dataValidation>
    <dataValidation type="list" allowBlank="1" showInputMessage="1" showErrorMessage="1" sqref="D185" xr:uid="{58E0498D-D09F-EA41-9794-C509CC262887}">
      <formula1>"Centralized Connectivity,Distributed Connectivity"</formula1>
    </dataValidation>
    <dataValidation type="list" allowBlank="1" showInputMessage="1" showErrorMessage="1" sqref="D298" xr:uid="{BE00C3CF-0EC7-3747-924D-1005FFC1B4A5}">
      <formula1>"Standard,Enhanced Datapath Standard,Enhanced Datapath Dedicated"</formula1>
    </dataValidation>
    <dataValidation type="list" allowBlank="1" showInputMessage="1" showErrorMessage="1" sqref="D319" xr:uid="{F83EFE87-B6BC-5B43-B9E6-363D1FF8D82A}">
      <formula1>"Load Balance Source,Failover Order,Load Balance Source MAC Address"</formula1>
    </dataValidation>
    <dataValidation type="list" allowBlank="1" showInputMessage="1" showErrorMessage="1" sqref="D273 D278 D283 D288 D293" xr:uid="{B083993B-9EF9-E041-9BEC-A73EFC409C62}">
      <formula1>"Route based on IP hash,Route based on source MAC hash,Route based on the source of the port ID,Use explicit failover order,Route Based on Physical NIC Load"</formula1>
    </dataValidation>
    <dataValidation type="list" allowBlank="1" showInputMessage="1" showErrorMessage="1" sqref="D274:D275 D279:D280 D284:D285 D289:D290 D294:D295" xr:uid="{BB7A99B6-B8E2-294A-94C3-B85D84BE5402}">
      <formula1>"Active,Standby,Unused"</formula1>
    </dataValidation>
    <dataValidation type="list" allowBlank="1" showInputMessage="1" showErrorMessage="1" sqref="C278" xr:uid="{9936D866-552B-B54E-87E8-6CC6125ED39D}">
      <formula1>"sample_mgmt_az1_cl01_mgmt_vm_lbt"</formula1>
    </dataValidation>
    <dataValidation type="list" allowBlank="1" showInputMessage="1" showErrorMessage="1" sqref="B10" xr:uid="{C3E82A3E-227D-7645-9A07-82062784062D}">
      <formula1>"Deploy Workload Domain with a Single-Rack / Multi-Rack Layer 2 Cluster,Deploy Workload Domain with a Multi-Rack Layer 3 Cluster,Import Workload Domain,Exclude"</formula1>
    </dataValidation>
    <dataValidation type="list" allowBlank="1" showInputMessage="1" showErrorMessage="1" sqref="D28" xr:uid="{9C10E4F4-6566-F347-A2D8-6EADC5ED1E01}">
      <formula1>"Select an existing standalone vCenter from the inventory,Specify an external vCenter"</formula1>
    </dataValidation>
    <dataValidation type="list" allowBlank="1" showInputMessage="1" showErrorMessage="1" sqref="D39" xr:uid="{87F64821-FCB3-264E-8521-0E2C18CD4E09}">
      <formula1>"Single NSX Manager Appliance,NSX Management Cluster"</formula1>
    </dataValidation>
    <dataValidation type="list" allowBlank="1" showInputMessage="1" showErrorMessage="1" sqref="D38" xr:uid="{5FB74951-652E-0540-95C0-4DD86575C66A}">
      <formula1>"Create new NSX Manager Instance,Join existing NSX Manager Instance"</formula1>
    </dataValidation>
    <dataValidation type="list" allowBlank="1" showInputMessage="1" showErrorMessage="1" sqref="B16" xr:uid="{4DCCB31F-5D38-DB4E-93F7-B7F9C5DC73D3}">
      <formula1>" Exclude,Secondary NFS Storage Network,vSAN Storage Client Network"</formula1>
    </dataValidation>
    <dataValidation type="list" allowBlank="1" showInputMessage="1" showErrorMessage="1" sqref="D305" xr:uid="{8B83AFD7-FD78-344E-9866-017561F5F3B5}">
      <formula1>"Re-use an existing Pool,Create New Static IP Pool"</formula1>
    </dataValidation>
    <dataValidation type="list" allowBlank="1" showInputMessage="1" showErrorMessage="1" sqref="B11" xr:uid="{58537510-C98B-154F-AF78-F31218AD69E8}">
      <formula1>"Exclude,1,2,3,4,5,6,7,8,9,10,11,12,13,14,15,16"</formula1>
    </dataValidation>
    <dataValidation type="list" allowBlank="1" showInputMessage="1" showErrorMessage="1" sqref="B12" xr:uid="{C5C624E1-83A7-974B-A650-2D93B34AFB89}">
      <formula1>"Exclude,3,4,5,6,7"</formula1>
    </dataValidation>
    <dataValidation type="list" allowBlank="1" showInputMessage="1" showErrorMessage="1" sqref="B15" xr:uid="{BF978FB1-2794-EC4D-992C-119DEA877D33}">
      <formula1>"Re-use an existing VCF Network Pool,Create a new VCF Network Pool"</formula1>
    </dataValidation>
    <dataValidation type="list" allowBlank="1" showInputMessage="1" showErrorMessage="1" sqref="D299:D300" xr:uid="{836A9167-0E1E-474B-AD1E-7DEFBAD967B6}">
      <formula1>"Selected, Unselected"</formula1>
    </dataValidation>
    <dataValidation type="list" allowBlank="1" showInputMessage="1" showErrorMessage="1" sqref="D88 D96 D104 D112" xr:uid="{A1A8BE56-E46B-2042-987B-6F5E41FDEBFA}">
      <formula1>table_masks</formula1>
    </dataValidation>
    <dataValidation type="list" allowBlank="1" showInputMessage="1" showErrorMessage="1" sqref="D241 D252 D263" xr:uid="{3BD18319-FA0D-AE40-8167-7F1880082CD2}">
      <formula1>"VDS Uplinks, VDS LAG"</formula1>
    </dataValidation>
    <dataValidation type="list" allowBlank="1" showInputMessage="1" showErrorMessage="1" sqref="D244 D255 D266" xr:uid="{12A1A6EA-2AB4-2E49-A69A-2230A1640E6A}">
      <formula1>lag_load_balancing</formula1>
    </dataValidation>
    <dataValidation type="list" allowBlank="1" showInputMessage="1" showErrorMessage="1" sqref="D243 D254 D265" xr:uid="{C087399E-F9C0-604F-BD5E-2F7DC58E9CD7}">
      <formula1>"Active,Passive"</formula1>
    </dataValidation>
    <dataValidation type="list" allowBlank="1" showInputMessage="1" showErrorMessage="1" sqref="D245 D256 D267" xr:uid="{4AB0891C-451C-E744-9F77-65F0EB53197F}">
      <formula1>"Slow,Fast"</formula1>
    </dataValidation>
  </dataValidations>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1371" operator="containsText" id="{E1A0FA54-7B60-F140-9638-1278718DE86D}">
            <xm:f>NOT(ISERROR(SEARCH("Value Missing",D23)))</xm:f>
            <xm:f>"Value Missing"</xm:f>
            <x14:dxf>
              <fill>
                <patternFill>
                  <bgColor rgb="FFFFBE29"/>
                </patternFill>
              </fill>
            </x14:dxf>
          </x14:cfRule>
          <xm:sqref>D23 D28:D33 D38:D50 D58:D61 D63:D78 D83 D85:D91 D93:D99 D101:D107 D120:D141 D148:D152 D157:D158 D163:D164 D168 D173:D189 D194:D195 D200:D208 D213:D228 D233:D234 D239:D270 D278:D280 D297:D300 D302:D312 D314:D321 D326:D329 D331:D336 D341:D344 D349 D351:D356 D358:D363 D365:D370 D373 D375:D378</xm:sqref>
        </x14:conditionalFormatting>
        <x14:conditionalFormatting xmlns:xm="http://schemas.microsoft.com/office/excel/2006/main">
          <x14:cfRule type="containsText" priority="464" stopIfTrue="1" operator="containsText" id="{40434B6A-0257-0E46-B224-9CF37A75A142}">
            <xm:f>NOT(ISERROR(SEARCH("Value Missing",D92)))</xm:f>
            <xm:f>"Value Missing"</xm:f>
            <x14:dxf>
              <font>
                <color rgb="FF0E223A"/>
              </font>
              <fill>
                <patternFill>
                  <bgColor rgb="FFFFBE29"/>
                </patternFill>
              </fill>
            </x14:dxf>
          </x14:cfRule>
          <xm:sqref>D92</xm:sqref>
        </x14:conditionalFormatting>
        <x14:conditionalFormatting xmlns:xm="http://schemas.microsoft.com/office/excel/2006/main">
          <x14:cfRule type="containsText" priority="248" operator="containsText" id="{9416E50C-0FE8-164F-8DE0-A04DDD0F3DCE}">
            <xm:f>NOT(ISERROR(SEARCH("Value Missing",D109)))</xm:f>
            <xm:f>"Value Missing"</xm:f>
            <x14:dxf>
              <font>
                <color theme="1"/>
              </font>
              <fill>
                <patternFill>
                  <bgColor rgb="FFFFBE29"/>
                </patternFill>
              </fill>
            </x14:dxf>
          </x14:cfRule>
          <xm:sqref>D109:D115</xm:sqref>
        </x14:conditionalFormatting>
        <x14:conditionalFormatting xmlns:xm="http://schemas.microsoft.com/office/excel/2006/main">
          <x14:cfRule type="expression" priority="1188" stopIfTrue="1" id="{2AEFE8D6-BC38-944A-9C22-A50A87DBBA80}">
            <xm:f>IF(AND(wld_principal_storage_chosen&lt;&gt;"vSAN-OSA"),('Configure Workload Domain'!D$129&lt;&gt;"Included"))</xm:f>
            <x14:dxf>
              <font>
                <color rgb="FF4F5F69"/>
              </font>
              <fill>
                <patternFill>
                  <bgColor rgb="FF4F5F69"/>
                </patternFill>
              </fill>
            </x14:dxf>
          </x14:cfRule>
          <xm:sqref>D203</xm:sqref>
        </x14:conditionalFormatting>
        <x14:conditionalFormatting xmlns:xm="http://schemas.microsoft.com/office/excel/2006/main">
          <x14:cfRule type="containsText" priority="247" operator="containsText" id="{35D48073-BC1D-5F4B-9122-E2D774E9C5F2}">
            <xm:f>NOT(ISERROR(SEARCH("Value Missing",D272)))</xm:f>
            <xm:f>"Value Missing"</xm:f>
            <x14:dxf>
              <fill>
                <patternFill>
                  <bgColor rgb="FFFFBE29"/>
                </patternFill>
              </fill>
            </x14:dxf>
          </x14:cfRule>
          <xm:sqref>D272:D275</xm:sqref>
        </x14:conditionalFormatting>
        <x14:conditionalFormatting xmlns:xm="http://schemas.microsoft.com/office/excel/2006/main">
          <x14:cfRule type="containsText" priority="249" operator="containsText" id="{BA044D7F-9E71-9240-BF31-C51D76291FCF}">
            <xm:f>NOT(ISERROR(SEARCH("Value Missing",D277)))</xm:f>
            <xm:f>"Value Missing"</xm:f>
            <x14:dxf>
              <font>
                <color theme="1"/>
              </font>
              <fill>
                <patternFill>
                  <bgColor rgb="FFFFBE29"/>
                </patternFill>
              </fill>
            </x14:dxf>
          </x14:cfRule>
          <xm:sqref>D277</xm:sqref>
        </x14:conditionalFormatting>
        <x14:conditionalFormatting xmlns:xm="http://schemas.microsoft.com/office/excel/2006/main">
          <x14:cfRule type="containsText" priority="243" operator="containsText" id="{A00CB58A-0D87-E848-9778-9AB37B5B2B62}">
            <xm:f>NOT(ISERROR(SEARCH("Value Missing",D282)))</xm:f>
            <xm:f>"Value Missing"</xm:f>
            <x14:dxf>
              <fill>
                <patternFill>
                  <bgColor rgb="FFFFBE29"/>
                </patternFill>
              </fill>
            </x14:dxf>
          </x14:cfRule>
          <xm:sqref>D282:D285</xm:sqref>
        </x14:conditionalFormatting>
        <x14:conditionalFormatting xmlns:xm="http://schemas.microsoft.com/office/excel/2006/main">
          <x14:cfRule type="containsText" priority="240" operator="containsText" id="{6FFD0C25-8BE2-5347-9C99-40B2ED3B1F3C}">
            <xm:f>NOT(ISERROR(SEARCH("Value Missing",D287)))</xm:f>
            <xm:f>"Value Missing"</xm:f>
            <x14:dxf>
              <fill>
                <patternFill>
                  <bgColor rgb="FFFFBE29"/>
                </patternFill>
              </fill>
            </x14:dxf>
          </x14:cfRule>
          <xm:sqref>D287:D290 D292:D295</xm:sqref>
        </x14:conditionalFormatting>
        <x14:conditionalFormatting xmlns:xm="http://schemas.microsoft.com/office/excel/2006/main">
          <x14:cfRule type="containsText" priority="41" operator="containsText" id="{79E1736D-9BD8-F749-92AA-E3FB2D10062E}">
            <xm:f>NOT(ISERROR(SEARCH("Value Missing",D346)))</xm:f>
            <xm:f>"Value Missing"</xm:f>
            <x14:dxf>
              <font>
                <color theme="1"/>
              </font>
              <fill>
                <patternFill>
                  <bgColor rgb="FFFFBE29"/>
                </patternFill>
              </fill>
            </x14:dxf>
          </x14:cfRule>
          <xm:sqref>D346</xm:sqref>
        </x14:conditionalFormatting>
        <x14:conditionalFormatting xmlns:xm="http://schemas.microsoft.com/office/excel/2006/main">
          <x14:cfRule type="containsText" priority="32" operator="containsText" id="{0D9B1FEE-ADF1-274D-9B0B-A60A5D72D714}">
            <xm:f>NOT(ISERROR(SEARCH("Value Missing",D347)))</xm:f>
            <xm:f>"Value Missing"</xm:f>
            <x14:dxf>
              <font>
                <color theme="1"/>
              </font>
              <fill>
                <patternFill>
                  <bgColor rgb="FFFFBE29"/>
                </patternFill>
              </fill>
            </x14:dxf>
          </x14:cfRule>
          <xm:sqref>D347</xm:sqref>
        </x14:conditionalFormatting>
        <x14:conditionalFormatting xmlns:xm="http://schemas.microsoft.com/office/excel/2006/main">
          <x14:cfRule type="containsText" priority="37" operator="containsText" id="{3CFB8FD4-19FE-014B-8F2C-336C95E92B0B}">
            <xm:f>NOT(ISERROR(SEARCH("Value Missing",D348)))</xm:f>
            <xm:f>"Value Missing"</xm:f>
            <x14:dxf>
              <font>
                <color theme="1"/>
              </font>
              <fill>
                <patternFill>
                  <bgColor rgb="FFFFBE29"/>
                </patternFill>
              </fill>
            </x14:dxf>
          </x14:cfRule>
          <xm:sqref>D348:D349</xm:sqref>
        </x14:conditionalFormatting>
        <x14:conditionalFormatting xmlns:xm="http://schemas.microsoft.com/office/excel/2006/main">
          <x14:cfRule type="containsText" priority="513" stopIfTrue="1" operator="containsText" id="{90F7590E-4447-E241-8E55-3945C5247009}">
            <xm:f>NOT(ISERROR(SEARCH("Value Missing",D357)))</xm:f>
            <xm:f>"Value Missing"</xm:f>
            <x14:dxf>
              <font>
                <color rgb="FF0E223A"/>
              </font>
              <fill>
                <patternFill>
                  <bgColor rgb="FFFFBE29"/>
                </patternFill>
              </fill>
            </x14:dxf>
          </x14:cfRule>
          <xm:sqref>D357</xm:sqref>
        </x14:conditionalFormatting>
        <x14:conditionalFormatting xmlns:xm="http://schemas.microsoft.com/office/excel/2006/main">
          <x14:cfRule type="containsText" priority="542" stopIfTrue="1" operator="containsText" id="{179192EE-6811-0D4C-A396-53C1717ABC7F}">
            <xm:f>NOT(ISERROR(SEARCH("Value Missing",D364)))</xm:f>
            <xm:f>"Value Missing"</xm:f>
            <x14:dxf>
              <font>
                <color rgb="FF0E223A"/>
              </font>
              <fill>
                <patternFill>
                  <bgColor rgb="FFFFBE29"/>
                </patternFill>
              </fill>
            </x14:dxf>
          </x14:cfRule>
          <xm:sqref>D364</xm:sqref>
        </x14:conditionalFormatting>
        <x14:conditionalFormatting xmlns:xm="http://schemas.microsoft.com/office/excel/2006/main">
          <x14:cfRule type="containsText" priority="262" operator="containsText" id="{5FFCC205-222C-C24B-B5F6-082C59B24C76}">
            <xm:f>NOT(ISERROR(SEARCH("Value Missing",D380)))</xm:f>
            <xm:f>"Value Missing"</xm:f>
            <x14:dxf>
              <fill>
                <patternFill>
                  <bgColor rgb="FFFFBE29"/>
                </patternFill>
              </fill>
            </x14:dxf>
          </x14:cfRule>
          <xm:sqref>D380:D395</xm:sqref>
        </x14:conditionalFormatting>
        <x14:conditionalFormatting xmlns:xm="http://schemas.microsoft.com/office/excel/2006/main">
          <x14:cfRule type="containsText" priority="18" operator="containsText" id="{1B6A5898-BA4E-A044-A1B2-B80EE537A58D}">
            <xm:f>NOT(ISERROR(SEARCH("Create VI Workload Domain or Deploy a new VCF fleet not selected on VCF &amp; VVF Planning Tab",E10)))</xm:f>
            <xm:f>"Create VI Workload Domain or Deploy a new VCF fleet not selected on VCF &amp; VVF Planning Tab"</xm:f>
            <x14:dxf>
              <fill>
                <patternFill>
                  <bgColor rgb="FFFFBE29"/>
                </patternFill>
              </fill>
            </x14:dxf>
          </x14:cfRule>
          <x14:cfRule type="containsText" priority="176" operator="containsText" id="{FEA29B4C-9953-AB4F-9ED7-02567C8A09D3}">
            <xm:f>NOT(ISERROR(SEARCH("Workload Domain will be deployed with a Multi-Rack Layer 3 Cluster - Additional Racks Tab must also be filled out",E10)))</xm:f>
            <xm:f>"Workload Domain will be deployed with a Multi-Rack Layer 3 Cluster - Additional Racks Tab must also be filled out"</xm:f>
            <x14:dxf>
              <font>
                <color theme="1"/>
              </font>
              <fill>
                <patternFill>
                  <bgColor rgb="FFFFBE29"/>
                </patternFill>
              </fill>
            </x14:dxf>
          </x14:cfRule>
          <xm:sqref>E10</xm:sqref>
        </x14:conditionalFormatting>
        <x14:conditionalFormatting xmlns:xm="http://schemas.microsoft.com/office/excel/2006/main">
          <x14:cfRule type="containsText" priority="27" operator="containsText" id="{1B123833-BB07-ED4E-A4CD-979CB605AFA0}">
            <xm:f>NOT(ISERROR(SEARCH("Note only Single Zone vSphere Supervisor with NSX VPC Networking can be deployed during WLD Creation",E18)))</xm:f>
            <xm:f>"Note only Single Zone vSphere Supervisor with NSX VPC Networking can be deployed during WLD Creation"</xm:f>
            <x14:dxf>
              <font>
                <color theme="1"/>
              </font>
              <fill>
                <patternFill>
                  <bgColor rgb="FFFFBE29"/>
                </patternFill>
              </fill>
            </x14:dxf>
          </x14:cfRule>
          <xm:sqref>E18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732C6-4551-7E4C-9C98-306D32A434DF}">
  <sheetPr codeName="Sheet20"/>
  <dimension ref="A1:U79"/>
  <sheetViews>
    <sheetView zoomScale="150" workbookViewId="0">
      <selection activeCell="P22" sqref="P22"/>
    </sheetView>
  </sheetViews>
  <sheetFormatPr defaultColWidth="10.85546875" defaultRowHeight="15" x14ac:dyDescent="0.35"/>
  <cols>
    <col min="1" max="1" width="45.85546875" style="8" bestFit="1" customWidth="1"/>
    <col min="2" max="2" width="25.140625" style="8" bestFit="1" customWidth="1"/>
    <col min="3" max="3" width="15.5" style="8" bestFit="1" customWidth="1"/>
    <col min="4" max="4" width="11.85546875" style="8" bestFit="1" customWidth="1"/>
    <col min="5" max="15" width="10.85546875" style="8" customWidth="1"/>
    <col min="16" max="16" width="31" style="8" customWidth="1"/>
    <col min="17" max="17" width="14.35546875" style="8" bestFit="1" customWidth="1"/>
    <col min="18" max="18" width="15.5" style="8" bestFit="1" customWidth="1"/>
    <col min="19" max="19" width="21.140625" style="8" bestFit="1" customWidth="1"/>
    <col min="20" max="24" width="10.85546875" style="8" customWidth="1"/>
    <col min="25" max="16384" width="10.85546875" style="8"/>
  </cols>
  <sheetData>
    <row r="1" spans="1:19" ht="15.45" x14ac:dyDescent="0.4">
      <c r="A1" s="323" t="s">
        <v>959</v>
      </c>
    </row>
    <row r="2" spans="1:19" x14ac:dyDescent="0.35">
      <c r="A2" s="8" t="s">
        <v>960</v>
      </c>
      <c r="B2" s="329">
        <v>1825</v>
      </c>
    </row>
    <row r="3" spans="1:19" x14ac:dyDescent="0.35">
      <c r="A3" s="8" t="s">
        <v>961</v>
      </c>
      <c r="B3" s="8" t="str">
        <f>IF(flt_custom_network_chosen="Shared Management Network",IF(mgmt_dpg_reuse_result="Included",CONCATENATE(prefix_mgmt_az1_cidr,"10.0/24"),CONCATENATE(prefix_mgmt_az1_cidr,"11.0/24")),IF(flt_custom_network_chosen="Overlay",CONCATENATE(prefix_xreg_cidr,".0/24"),CONCATENATE(prefix_flt_shared_cidr,".0/24")))</f>
        <v>10.11.10.0/24</v>
      </c>
    </row>
    <row r="4" spans="1:19" x14ac:dyDescent="0.35">
      <c r="A4" s="8" t="s">
        <v>962</v>
      </c>
      <c r="B4" s="8" t="str">
        <f>IF(flt_custom_network_chosen="Shared Management Network",IF(mgmt_dpg_reuse_result="Included",CONCATENATE(prefix_mgmt_az1_cidr,"10.0"),CONCATENATE(prefix_mgmt_az1_cidr,"11.0")),IF(flt_custom_network_chosen="Overlay",CONCATENATE(prefix_xreg_cidr,".0"),CONCATENATE(prefix_flt_shared_cidr,".0")))</f>
        <v>10.11.10.0</v>
      </c>
      <c r="P4" s="8" t="s">
        <v>963</v>
      </c>
    </row>
    <row r="5" spans="1:19" x14ac:dyDescent="0.35">
      <c r="A5" s="8" t="s">
        <v>964</v>
      </c>
      <c r="B5" s="8" t="str">
        <f>IF(flt_custom_network_chosen="Shared Management Network",IF(mgmt_dpg_reuse_result="Included",CONCATENATE(prefix_mgmt_az1_cidr,"10.1"),CONCATENATE(prefix_mgmt_az1_cidr,"11.1")),IF(flt_custom_network_chosen="Overlay",CONCATENATE(prefix_xreg_cidr,".1"),CONCATENATE(prefix_flt_shared_cidr,".1")))</f>
        <v>10.11.10.1</v>
      </c>
      <c r="P5" s="8" t="s">
        <v>965</v>
      </c>
    </row>
    <row r="6" spans="1:19" x14ac:dyDescent="0.35">
      <c r="A6" s="8" t="s">
        <v>966</v>
      </c>
      <c r="B6" s="8" t="s">
        <v>128</v>
      </c>
      <c r="P6" s="8" t="s">
        <v>967</v>
      </c>
      <c r="Q6" s="8" t="s">
        <v>968</v>
      </c>
      <c r="R6" s="8" t="s">
        <v>969</v>
      </c>
    </row>
    <row r="7" spans="1:19" ht="17.600000000000001" x14ac:dyDescent="0.35">
      <c r="A7" s="8" t="s">
        <v>970</v>
      </c>
      <c r="B7" s="8">
        <v>1500</v>
      </c>
      <c r="P7" s="407" t="s">
        <v>971</v>
      </c>
      <c r="Q7" s="408"/>
      <c r="R7" s="408"/>
      <c r="S7" s="409"/>
    </row>
    <row r="8" spans="1:19" x14ac:dyDescent="0.35">
      <c r="A8" s="8" t="s">
        <v>972</v>
      </c>
      <c r="B8" s="8" t="str">
        <f>CONCATENATE(MID(B5, FIND(".",B5)+1, FIND(".",B5,FIND(".",B5)+1) - FIND(".",B5) - 1),MID(B5, FIND(".", B5, FIND(".", B5)+1)+1, FIND(".", B5, FIND(".", B5, FIND(".", B5)+1)+1) - (FIND(".", B5, FIND(".", B5)+1)+1) ))</f>
        <v>1110</v>
      </c>
      <c r="P8" s="80" t="str">
        <f>IF(mgmt_vcf_management_network_chosen="Use VM management network",IF(mgmt_dpg_reuse_result="Included",CONCATENATE(prefix_mgmt_az1_cidr,"10.50"),CONCATENATE(prefix_mgmt_az1_cidr,"11.50")),CONCATENATE(prefix_flt_shared_cidr,".50"))</f>
        <v>10.11.10.50</v>
      </c>
      <c r="Q8" s="347"/>
      <c r="R8" s="241" t="str">
        <f>IF(ISBLANK(input_xreg_vra_nodee_ip),"Value Missing",input_xreg_vra_nodee_ip)</f>
        <v>Value Missing</v>
      </c>
    </row>
    <row r="9" spans="1:19" x14ac:dyDescent="0.35">
      <c r="A9" s="8" t="str">
        <f>CONCATENATE(this_instance,"-m01-cl01-vds01-pg-vcf-mgmt")</f>
        <v>sfo-m01-cl01-vds01-pg-vcf-mgmt</v>
      </c>
      <c r="B9" s="347"/>
      <c r="C9" s="241" t="str">
        <f>IF(ISBLANK(input_mgmt_cl01_az1_vcf_mgmt_pg),"Value Missing",input_mgmt_cl01_az1_vcf_mgmt_pg)</f>
        <v>Value Missing</v>
      </c>
      <c r="P9" s="80" t="str">
        <f>IF(mgmt_vcf_management_network_chosen="Use VM management network",IF(mgmt_dpg_reuse_result="Included",CONCATENATE(prefix_mgmt_az1_cidr,"10.51"),CONCATENATE(prefix_mgmt_az1_cidr,"11.51")),CONCATENATE(prefix_flt_shared_cidr,".51"))</f>
        <v>10.11.10.51</v>
      </c>
      <c r="Q9" s="347"/>
      <c r="R9" s="241" t="str">
        <f>IF(ISBLANK(input_xreg_vra_nodef_ip),"Value Missing",input_xreg_vra_nodef_ip)</f>
        <v>Value Missing</v>
      </c>
    </row>
    <row r="10" spans="1:19" ht="17.600000000000001" x14ac:dyDescent="0.4">
      <c r="A10" s="323" t="s">
        <v>973</v>
      </c>
      <c r="P10" s="407" t="s">
        <v>974</v>
      </c>
      <c r="Q10" s="408"/>
      <c r="R10" s="408"/>
      <c r="S10" s="409"/>
    </row>
    <row r="11" spans="1:19" ht="15.45" x14ac:dyDescent="0.35">
      <c r="A11" s="4" t="s">
        <v>975</v>
      </c>
      <c r="B11" s="80" t="str">
        <f>CONCATENATE(this_instance,".rainpole.io")</f>
        <v>sfo.rainpole.io</v>
      </c>
      <c r="C11" s="347"/>
      <c r="P11" s="80" t="str">
        <f>IF(flt_custom_network_chosen="Shared Management Network",IF(mgmt_dpg_reuse_result="Included",CONCATENATE(prefix_mgmt_az1_cidr,"10.50"),CONCATENATE(prefix_mgmt_az1_cidr,"11.50")),IF(flt_custom_network_chosen="NSX Overlay Segment",CONCATENATE(prefix_xreg_cidr,".50"),CONCATENATE(prefix_flt_shared_cidr,".50")))</f>
        <v>10.11.10.50</v>
      </c>
      <c r="Q11" s="347"/>
      <c r="R11" s="241" t="str">
        <f>IF(ISBLANK(input_flt_custom_network_auto_nodee_ip),"Value Missing",input_flt_custom_network_auto_nodee_ip)</f>
        <v>Value Missing</v>
      </c>
    </row>
    <row r="12" spans="1:19" ht="15.45" x14ac:dyDescent="0.35">
      <c r="A12" s="4" t="s">
        <v>976</v>
      </c>
      <c r="B12" s="80" t="str">
        <f>CONCATENATE(other_instance,".rainpole.io")</f>
        <v>lax.rainpole.io</v>
      </c>
      <c r="C12" s="347"/>
      <c r="P12" s="80"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Q12" s="347"/>
      <c r="R12" s="241" t="str">
        <f>IF(ISBLANK(input_flt_custom_network_auto_nodef_ip),"Value Missing",input_flt_custom_network_auto_nodef_ip)</f>
        <v>Value Missing</v>
      </c>
    </row>
    <row r="13" spans="1:19" ht="17.600000000000001" x14ac:dyDescent="0.35">
      <c r="A13" s="4" t="s">
        <v>977</v>
      </c>
      <c r="B13" s="80" t="str">
        <f>IF(mgmt_dpg_reuse_result="Included",CONCATENATE(prefix_mgmt_az1_cidr,"10.4"),CONCATENATE(prefix_mgmt_az1_cidr,"11.4"))</f>
        <v>10.11.10.4</v>
      </c>
      <c r="C13" s="347"/>
      <c r="P13" s="407" t="s">
        <v>576</v>
      </c>
      <c r="Q13" s="408"/>
      <c r="R13" s="408"/>
      <c r="S13" s="409"/>
    </row>
    <row r="14" spans="1:19" ht="15.45" x14ac:dyDescent="0.35">
      <c r="A14" s="4" t="s">
        <v>978</v>
      </c>
      <c r="B14" s="80" t="str">
        <f>IF(mgmt_dpg_reuse_result="Included",CONCATENATE(prefix_mgmt_az1_cidr,"10.5"),CONCATENATE(prefix_mgmt_az1_cidr,"11.5"))</f>
        <v>10.11.10.5</v>
      </c>
      <c r="C14" s="347"/>
      <c r="P14" s="80" t="str">
        <f>IF(flt_custom_network_chosen="Shared Management Network",IF(mgmt_dpg_reuse_result="Included",CONCATENATE(prefix_mgmt_az1_cidr,"10.50"),CONCATENATE(prefix_mgmt_az1_cidr,"11.50")),IF(flt_custom_network_chosen="NSX Overlay Segment",CONCATENATE(prefix_xreg_cidr,".50"),CONCATENATE(prefix_flt_shared_cidr,".50")))</f>
        <v>10.11.10.50</v>
      </c>
      <c r="Q14" s="347"/>
      <c r="R14" s="241" t="str">
        <f>IF(ISBLANK(input_vcf_automation_nodee_ip),"Value Missing",input_vcf_automation_nodee_ip)</f>
        <v>Value Missing</v>
      </c>
    </row>
    <row r="15" spans="1:19" ht="15.45" x14ac:dyDescent="0.35">
      <c r="A15" s="4" t="s">
        <v>979</v>
      </c>
      <c r="B15" s="80" t="str">
        <f>CONCATENATE(this_instance,"-ad01")</f>
        <v>sfo-ad01</v>
      </c>
      <c r="C15" s="347"/>
      <c r="P15" s="80"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Q15" s="347"/>
      <c r="R15" s="241" t="str">
        <f>IF(ISBLANK(input_vcf_automation_nodef_ip),"Value Missing",input_vcf_automation_nodef_ip)</f>
        <v>Value Missing</v>
      </c>
    </row>
    <row r="16" spans="1:19" ht="17.600000000000001" x14ac:dyDescent="0.35">
      <c r="A16" s="4" t="s">
        <v>980</v>
      </c>
      <c r="B16" s="80" t="s">
        <v>981</v>
      </c>
      <c r="C16" s="347"/>
      <c r="P16" s="407" t="s">
        <v>982</v>
      </c>
      <c r="Q16" s="408"/>
      <c r="R16" s="408"/>
      <c r="S16" s="409"/>
    </row>
    <row r="17" spans="1:20" ht="15.45" x14ac:dyDescent="0.35">
      <c r="A17" s="4" t="s">
        <v>983</v>
      </c>
      <c r="B17" s="80">
        <v>25</v>
      </c>
      <c r="C17" s="347"/>
      <c r="P17" s="80" t="str">
        <f>IF(mgmt_dpg_reuse_result="Included",CONCATENATE(prefix_mgmt_az1_cidr,"10.75"),CONCATENATE(prefix_mgmt_az1_cidr,"11.75"))</f>
        <v>10.11.10.75</v>
      </c>
      <c r="Q17" s="347"/>
      <c r="R17" s="241" t="str">
        <f>IF(ISBLANK(input_mgmt_az1_en1_mgmt_ip),"Value Missing",input_mgmt_az1_en1_mgmt_ip)</f>
        <v>Value Missing</v>
      </c>
    </row>
    <row r="18" spans="1:20" ht="15.45" x14ac:dyDescent="0.35">
      <c r="A18" s="4" t="s">
        <v>984</v>
      </c>
      <c r="B18" s="80" t="str">
        <f>CONCATENATE("ntp.",this_instance,".rainpole.io")</f>
        <v>ntp.sfo.rainpole.io</v>
      </c>
      <c r="C18" s="347"/>
      <c r="P18" s="80" t="str">
        <f>IF(mgmt_dpg_reuse_result="Included",CONCATENATE(prefix_mgmt_az1_cidr,"10.76"),CONCATENATE(prefix_mgmt_az1_cidr,"11.76"))</f>
        <v>10.11.10.76</v>
      </c>
      <c r="Q18" s="347"/>
      <c r="R18" s="241" t="str">
        <f>IF(ISBLANK(input_mgmt_az1_en2_mgmt_ip),"Value Missing",input_mgmt_az1_en2_mgmt_ip)</f>
        <v>Value Missing</v>
      </c>
    </row>
    <row r="19" spans="1:20" ht="15.45" x14ac:dyDescent="0.35">
      <c r="A19" s="4" t="s">
        <v>985</v>
      </c>
      <c r="B19" s="80" t="str">
        <f>CONCATENATE("ntp.",other_instance,".rainpole.io")</f>
        <v>ntp.lax.rainpole.io</v>
      </c>
      <c r="C19" s="241"/>
      <c r="P19" s="80" t="str">
        <f>IF(wld_dpg_separation_result="Included",CONCATENATE(prefix_wld_az1_cidr,"10.135"),CONCATENATE(prefix_wld_az1_cidr,"11.135"))</f>
        <v>10.13.10.135</v>
      </c>
      <c r="Q19" s="347"/>
      <c r="R19" s="241" t="str">
        <f>IF(ISBLANK(input_wld_az1_en1_mgmt_ip),"Value Missing",input_wld_az1_en1_mgmt_ip)</f>
        <v>Value Missing</v>
      </c>
    </row>
    <row r="20" spans="1:20" x14ac:dyDescent="0.35">
      <c r="A20" s="2"/>
      <c r="B20" s="9" t="str">
        <f>CONCATENATE(prefix_wld_az1_rack_cidr,"23.0/24")</f>
        <v>10.13.23.0/24</v>
      </c>
      <c r="C20" s="347"/>
      <c r="P20" s="80" t="str">
        <f>IF(wld_dpg_separation_result="Included",CONCATENATE(prefix_wld_az1_cidr,"10.136"),CONCATENATE(prefix_wld_az1_cidr,"11.136"))</f>
        <v>10.13.10.136</v>
      </c>
      <c r="Q20" s="347"/>
      <c r="R20" s="241" t="str">
        <f>IF(ISBLANK(input_wld_az1_en2_mgmt_ip),"Value Missing",input_wld_az1_en2_mgmt_ip)</f>
        <v>Value Missing</v>
      </c>
    </row>
    <row r="21" spans="1:20" ht="17.600000000000001" x14ac:dyDescent="0.35">
      <c r="A21" s="2"/>
      <c r="B21" s="9" t="str">
        <f>CONCATENATE(prefix_wld_az1_rack_cidr,"24.0/24")</f>
        <v>10.13.24.0/24</v>
      </c>
      <c r="C21" s="347"/>
      <c r="P21" s="407" t="s">
        <v>986</v>
      </c>
      <c r="Q21" s="408"/>
      <c r="R21" s="408"/>
      <c r="S21" s="409"/>
    </row>
    <row r="22" spans="1:20" x14ac:dyDescent="0.35">
      <c r="A22" s="2"/>
      <c r="B22" s="9" t="str">
        <f>CONCATENATE(prefix_wld_az1_rack_cidr,"26.0/24")</f>
        <v>10.13.26.0/24</v>
      </c>
      <c r="C22" s="347"/>
      <c r="P22" s="33" t="str">
        <f>IF(mgmt_vcf_management_network_chosen="Use VM management network",IF(mgmt_dpg_reuse_result="Included",CONCATENATE(prefix_mgmt_az1_cidr,"10.22"),CONCATENATE(prefix_mgmt_az1_cidr,"11.22")),CONCATENATE(prefix_flt_shared_cidr,".22"))</f>
        <v>10.11.10.22</v>
      </c>
      <c r="Q22" s="347"/>
      <c r="R22" s="241" t="str">
        <f>IF(ISBLANK(input_flt_lc_ip),"Value Missing",input_flt_lc_ip)</f>
        <v>Value Missing</v>
      </c>
      <c r="S22" s="8" t="s">
        <v>987</v>
      </c>
    </row>
    <row r="23" spans="1:20" x14ac:dyDescent="0.35">
      <c r="A23" s="2"/>
      <c r="B23" s="9" t="str">
        <f>CONCATENATE(prefix_wld_az1_rack_cidr,"25.0/24")</f>
        <v>10.13.25.0/24</v>
      </c>
      <c r="C23" s="347"/>
      <c r="P23" s="33" t="str">
        <f>IF(mgmt_vcf_management_network_chosen="Use VM management network",IF(mgmt_dpg_reuse_result="Included",CONCATENATE(prefix_mgmt_az1_cidr,"10.10"),CONCATENATE(prefix_mgmt_az1_cidr,"11.10")),CONCATENATE(prefix_flt_shared_cidr,".10"))</f>
        <v>10.11.10.10</v>
      </c>
      <c r="Q23" s="347"/>
      <c r="R23" s="241" t="str">
        <f>IF(ISBLANK(input_flt_sr_ip),"Value Missing",input_flt_sr_ip)</f>
        <v>Value Missing</v>
      </c>
      <c r="S23" s="8" t="s">
        <v>988</v>
      </c>
    </row>
    <row r="24" spans="1:20" x14ac:dyDescent="0.35">
      <c r="A24" s="2"/>
      <c r="B24" s="9" t="str">
        <f>CONCATENATE(prefix_wld_az1_rack_cidr,"34.0/24")</f>
        <v>10.13.34.0/24</v>
      </c>
      <c r="C24" s="347"/>
      <c r="P24" s="33" t="str">
        <f>IF(mgmt_vcf_management_network_chosen="Use VM management network",IF(mgmt_dpg_reuse_result="Included",CONCATENATE(prefix_mgmt_az1_cidr,"10.11"),CONCATENATE(prefix_mgmt_az1_cidr,"11.11")),CONCATENATE(prefix_flt_shared_cidr,".11"))</f>
        <v>10.11.10.11</v>
      </c>
      <c r="Q24" s="347"/>
      <c r="R24" s="241" t="str">
        <f>IF(ISBLANK(input_flt_ic_ip),"Value Missing",input_flt_ic_ip)</f>
        <v>Value Missing</v>
      </c>
      <c r="S24" s="8" t="s">
        <v>989</v>
      </c>
    </row>
    <row r="25" spans="1:20" x14ac:dyDescent="0.35">
      <c r="A25" s="2"/>
      <c r="B25" s="9" t="str">
        <f>CONCATENATE(prefix_wld_az1_rack_cidr,"35.0/24")</f>
        <v>10.13.35.0/24</v>
      </c>
      <c r="C25" s="347"/>
      <c r="P25" s="33" t="str">
        <f>IF(mgmt_vcf_management_network_chosen="Use VM management network",IF(mgmt_dpg_reuse_result="Included",CONCATENATE(prefix_mgmt_az1_cidr,"10.20"),CONCATENATE(prefix_mgmt_az1_cidr,"11.20")),CONCATENATE(prefix_flt_shared_cidr,".20"))</f>
        <v>10.11.10.20</v>
      </c>
      <c r="Q25" s="347"/>
      <c r="R25" s="241" t="str">
        <f>IF(ISBLANK(input_flt_auto_sr_ip),"Value Missing",input_flt_auto_sr_ip)</f>
        <v>Value Missing</v>
      </c>
      <c r="S25" s="8" t="s">
        <v>990</v>
      </c>
    </row>
    <row r="26" spans="1:20" x14ac:dyDescent="0.35">
      <c r="A26" s="2"/>
      <c r="B26" s="9" t="str">
        <f>CONCATENATE(prefix_wld_az1_rack_cidr,"37.0/24")</f>
        <v>10.13.37.0/24</v>
      </c>
      <c r="C26" s="347"/>
      <c r="P26" s="33" t="str">
        <f>IF(AND(mgmt_domain_ops_automation_later_chosen="Unselected",mgmt_vcf_management_network_chosen="Use VM management network"),IF(mgmt_dpg_reuse_result="Included",CONCATENATE(prefix_mgmt_az1_cidr,"10.24"),CONCATENATE(prefix_mgmt_az1_cidr,"11.24")),IF(flt_custom_network_chosen="Shared Management Network",IF(mgmt_dpg_reuse_result="Included",CONCATENATE(prefix_mgmt_az1_cidr,"10.24"),CONCATENATE(prefix_mgmt_az1_cidr,"11.24")),IF(flt_custom_network_chosen="NSX Overlay Segment",CONCATENATE(prefix_xreg_cidr,".24"),CONCATENATE(prefix_flt_shared_cidr,".24"))))</f>
        <v>10.11.10.24</v>
      </c>
      <c r="Q26" s="347"/>
      <c r="R26" s="241" t="str">
        <f>IF(ISBLANK(input_flt_auto_sr_ip),"Value Missing",input_flt_auto_sr_ip)</f>
        <v>Value Missing</v>
      </c>
      <c r="S26" s="8" t="s">
        <v>991</v>
      </c>
      <c r="T26" s="8" t="s">
        <v>992</v>
      </c>
    </row>
    <row r="27" spans="1:20" ht="17.600000000000001" x14ac:dyDescent="0.35">
      <c r="A27" s="2"/>
      <c r="B27" s="9" t="str">
        <f>CONCATENATE(prefix_wld_az1_rack_cidr,"36.0/24")</f>
        <v>10.13.36.0/24</v>
      </c>
      <c r="C27" s="347"/>
      <c r="P27" s="340" t="s">
        <v>993</v>
      </c>
      <c r="Q27" s="341"/>
      <c r="R27" s="341"/>
      <c r="S27" s="342"/>
    </row>
    <row r="28" spans="1:20" x14ac:dyDescent="0.35">
      <c r="A28" s="2"/>
      <c r="B28" s="9" t="str">
        <f>CONCATENATE(prefix_wld_az1_rack_cidr,"45.0/24")</f>
        <v>10.13.45.0/24</v>
      </c>
      <c r="C28" s="347"/>
      <c r="P28" s="33" t="str">
        <f>CONCATENATE(prefix_portable_component,"-lc01.",sample_parent_dns_zone)</f>
        <v>flt-lc01.rainpole.io</v>
      </c>
      <c r="Q28" s="347"/>
      <c r="R28" s="241" t="str">
        <f>IF(ISBLANK(input_flt_lc_fqdn),"Value Missing",input_flt_lc_fqdn)</f>
        <v>Value Missing</v>
      </c>
      <c r="S28" s="8" t="s">
        <v>987</v>
      </c>
    </row>
    <row r="29" spans="1:20" x14ac:dyDescent="0.35">
      <c r="A29" s="2"/>
      <c r="B29" s="9" t="str">
        <f>CONCATENATE(prefix_wld_az1_rack_cidr,"46.0/24")</f>
        <v>10.13.46.0/24</v>
      </c>
      <c r="C29" s="347"/>
      <c r="P29" s="33" t="str">
        <f>CONCATENATE(this_instance,"-sr01.",sample_child_dns_zone)</f>
        <v>sfo-sr01.sfo.rainpole.io</v>
      </c>
      <c r="Q29" s="347"/>
      <c r="R29" s="241" t="str">
        <f>IF(ISBLANK(input_flt_sr_fqdn),"Value Missing",input_flt_sr_fqdn)</f>
        <v>Value Missing</v>
      </c>
      <c r="S29" s="8" t="s">
        <v>988</v>
      </c>
    </row>
    <row r="30" spans="1:20" x14ac:dyDescent="0.35">
      <c r="A30" s="2"/>
      <c r="B30" s="9" t="str">
        <f>CONCATENATE(prefix_wld_az1_rack_cidr,"48.0/24")</f>
        <v>10.13.48.0/24</v>
      </c>
      <c r="C30" s="347"/>
      <c r="P30" s="33" t="str">
        <f>CONCATENATE(this_instance,"-ic01.",sample_child_dns_zone)</f>
        <v>sfo-ic01.sfo.rainpole.io</v>
      </c>
      <c r="Q30" s="347"/>
      <c r="R30" s="241" t="str">
        <f>IF(ISBLANK(input_flt_ic_fqdn),"Value Missing",input_flt_ic_fqdn)</f>
        <v>Value Missing</v>
      </c>
      <c r="S30" s="8" t="s">
        <v>989</v>
      </c>
    </row>
    <row r="31" spans="1:20" x14ac:dyDescent="0.35">
      <c r="A31" s="2"/>
      <c r="B31" s="9" t="str">
        <f>CONCATENATE(prefix_wld_az1_rack_cidr,"47.0/24")</f>
        <v>10.13.47.0/24</v>
      </c>
      <c r="C31" s="347"/>
      <c r="P31" s="33" t="str">
        <f>CONCATENATE(prefix_portable_component,"-fc01.",sample_parent_dns_zone)</f>
        <v>flt-fc01.rainpole.io</v>
      </c>
      <c r="Q31" s="347"/>
      <c r="R31" s="241" t="str">
        <f>IF(ISBLANK(input_flt_fc_fqdn),"Value Missing",input_flt_fc_fqdn)</f>
        <v>Value Missing</v>
      </c>
      <c r="S31" s="8" t="s">
        <v>990</v>
      </c>
    </row>
    <row r="32" spans="1:20" x14ac:dyDescent="0.35">
      <c r="A32" s="2"/>
      <c r="B32" s="9" t="str">
        <f>CONCATENATE(prefix_wld_az1_rack_cidr,"56.0/24")</f>
        <v>10.13.56.0/24</v>
      </c>
      <c r="C32" s="347"/>
      <c r="P32" s="33" t="s">
        <v>994</v>
      </c>
      <c r="Q32" s="347"/>
      <c r="R32" s="241" t="str">
        <f>IF(ISBLANK(input_flt_auto_sr_fqdn),"Value Missing",input_flt_auto_sr_fqdn)</f>
        <v>Value Missing</v>
      </c>
      <c r="S32" s="8" t="s">
        <v>991</v>
      </c>
    </row>
    <row r="33" spans="1:19" ht="17.600000000000001" x14ac:dyDescent="0.35">
      <c r="A33" s="2"/>
      <c r="B33" s="9" t="str">
        <f>CONCATENATE(prefix_wld_az1_rack_cidr,"57.0/24")</f>
        <v>10.13.57.0/24</v>
      </c>
      <c r="C33" s="347"/>
      <c r="P33" s="357" t="s">
        <v>995</v>
      </c>
      <c r="Q33" s="357"/>
      <c r="R33" s="357"/>
      <c r="S33" s="357"/>
    </row>
    <row r="34" spans="1:19" ht="15.45" x14ac:dyDescent="0.35">
      <c r="A34" s="2"/>
      <c r="B34" s="9" t="str">
        <f>CONCATENATE(prefix_wld_az1_rack_cidr,"59.0/24")</f>
        <v>10.13.59.0/24</v>
      </c>
      <c r="C34" s="347"/>
      <c r="P34" s="33" t="str">
        <f>IF(flt_custom_network_chosen="Shared Management Network",IF(mgmt_dpg_reuse_result="Included",CONCATENATE(prefix_mgmt_az1_cidr,"10.46"),CONCATENATE(prefix_mgmt_az1_cidr,"11.46")),IF(flt_custom_network_chosen="NSX Overlay Segment",CONCATENATE(prefix_xreg_cidr,".46"),CONCATENATE(prefix_flt_shared_cidr,".46")))</f>
        <v>10.11.10.46</v>
      </c>
      <c r="Q34" s="347"/>
      <c r="R34" s="241" t="str">
        <f>IF(ISBLANK(input_flt_auto_node_pool_start_ip),"Value Missing",input_flt_auto_node_pool_start_ip)</f>
        <v>Value Missing</v>
      </c>
      <c r="S34" s="4" t="s">
        <v>996</v>
      </c>
    </row>
    <row r="35" spans="1:19" ht="15.45" x14ac:dyDescent="0.35">
      <c r="A35" s="2"/>
      <c r="B35" s="9" t="str">
        <f>CONCATENATE(prefix_wld_az1_rack_cidr,"58.0/24")</f>
        <v>10.13.58.0/24</v>
      </c>
      <c r="C35" s="347"/>
      <c r="P35" s="33"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Q35" s="347"/>
      <c r="R35" s="241" t="str">
        <f>IF(ISBLANK(input_flt_auto_node_pool_end_ip),"Value Missing",input_flt_auto_node_pool_end_ip)</f>
        <v>Value Missing</v>
      </c>
      <c r="S35" s="4" t="s">
        <v>997</v>
      </c>
    </row>
    <row r="36" spans="1:19" ht="17.600000000000001" x14ac:dyDescent="0.35">
      <c r="A36" s="2"/>
      <c r="B36" s="9" t="str">
        <f>CONCATENATE(prefix_wld_az1_rack_cidr,"67.0/24")</f>
        <v>10.13.67.0/24</v>
      </c>
      <c r="C36" s="347"/>
      <c r="P36" s="357" t="s">
        <v>995</v>
      </c>
      <c r="Q36" s="357"/>
      <c r="R36" s="357"/>
      <c r="S36" s="357"/>
    </row>
    <row r="37" spans="1:19" ht="15.45" x14ac:dyDescent="0.35">
      <c r="A37" s="2"/>
      <c r="B37" s="9" t="str">
        <f>CONCATENATE(prefix_wld_az1_rack_cidr,"68.0/24")</f>
        <v>10.13.68.0/24</v>
      </c>
      <c r="C37" s="347"/>
      <c r="P37" s="33" t="str">
        <f>IF(flt_custom_network_chosen="Shared Management Network",IF(mgmt_dpg_reuse_result="Included",CONCATENATE(prefix_mgmt_az1_cidr,"10.46"),CONCATENATE(prefix_mgmt_az1_cidr,"11.46")),IF(flt_custom_network_chosen="NSX Overlay Segment",CONCATENATE(prefix_xreg_cidr,".46"),CONCATENATE(prefix_flt_shared_cidr,".46")))</f>
        <v>10.11.10.46</v>
      </c>
      <c r="Q37" s="347"/>
      <c r="R37" s="241" t="str">
        <f>IF(ISBLANK(input_xreg_vra_node_pool_start_ip),"Value Missing",input_xreg_vra_node_pool_start_ip)</f>
        <v>Value Missing</v>
      </c>
      <c r="S37" s="4" t="s">
        <v>996</v>
      </c>
    </row>
    <row r="38" spans="1:19" ht="15.45" x14ac:dyDescent="0.35">
      <c r="A38" s="2"/>
      <c r="B38" s="9" t="str">
        <f>CONCATENATE(prefix_wld_az1_rack_cidr,"70.0/24")</f>
        <v>10.13.70.0/24</v>
      </c>
      <c r="C38" s="347"/>
      <c r="P38" s="33"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Q38" s="347"/>
      <c r="R38" s="241" t="str">
        <f>IF(ISBLANK(input_xreg_vra_node_pool_end_ip),"Value Missing",input_xreg_vra_node_pool_end_ip)</f>
        <v>Value Missing</v>
      </c>
      <c r="S38" s="4" t="s">
        <v>997</v>
      </c>
    </row>
    <row r="39" spans="1:19" ht="17.600000000000001" x14ac:dyDescent="0.35">
      <c r="A39" s="2"/>
      <c r="B39" s="9" t="str">
        <f>CONCATENATE(prefix_wld_az1_rack_cidr,"69.0/24")</f>
        <v>10.13.69.0/24</v>
      </c>
      <c r="C39" s="347"/>
      <c r="P39" s="357" t="s">
        <v>998</v>
      </c>
      <c r="Q39" s="357"/>
      <c r="R39" s="357"/>
      <c r="S39" s="357"/>
    </row>
    <row r="40" spans="1:19" ht="15.45" x14ac:dyDescent="0.35">
      <c r="A40" s="2"/>
      <c r="B40" s="9" t="str">
        <f>CONCATENATE(prefix_wld_az1_rack_cidr,"78.0/24")</f>
        <v>10.13.78.0/24</v>
      </c>
      <c r="C40" s="347"/>
      <c r="P40" s="33" t="str">
        <f>IF(mgmt_vcf_management_network_chosen="Use VM management network",IF(mgmt_dpg_reuse_result="Included",CONCATENATE(prefix_mgmt_az1_cidr,"10.31"),CONCATENATE(prefix_mgmt_az1_cidr,"11.31")),CONCATENATE(prefix_flt_shared_cidr,".31"))</f>
        <v>10.11.10.31</v>
      </c>
      <c r="Q40" s="347"/>
      <c r="R40" s="241" t="str">
        <f>IF(ISBLANK(input_flt_vcfms_node_pool_start_ip),"Value Missing",input_flt_vcfms_node_pool_start_ip)</f>
        <v>Value Missing</v>
      </c>
      <c r="S40" s="4" t="s">
        <v>996</v>
      </c>
    </row>
    <row r="41" spans="1:19" ht="15.45" x14ac:dyDescent="0.35">
      <c r="A41" s="2"/>
      <c r="B41" s="9" t="str">
        <f>CONCATENATE(prefix_wld_az1_rack_cidr,"79.0/24")</f>
        <v>10.13.79.0/24</v>
      </c>
      <c r="C41" s="347"/>
      <c r="P41" s="33" t="str">
        <f>IF(mgmt_vcf_management_network_chosen="Use VM management network",IF(mgmt_dpg_reuse_result="Included",CONCATENATE(prefix_mgmt_az1_cidr,"10.45"),CONCATENATE(prefix_mgmt_az1_cidr,"11.45")),CONCATENATE(prefix_flt_shared_cidr,".45"))</f>
        <v>10.11.10.45</v>
      </c>
      <c r="Q41" s="347"/>
      <c r="R41" s="241" t="str">
        <f>IF(ISBLANK(input_flt_vcfms_node_pool_end_ip),"Value Missing",input_flt_vcfms_node_pool_end_ip)</f>
        <v>Value Missing</v>
      </c>
      <c r="S41" s="4" t="s">
        <v>997</v>
      </c>
    </row>
    <row r="42" spans="1:19" ht="17.600000000000001" x14ac:dyDescent="0.35">
      <c r="A42" s="2"/>
      <c r="B42" s="9" t="str">
        <f>CONCATENATE(prefix_wld_az1_rack_cidr,"81.0/24")</f>
        <v>10.13.81.0/24</v>
      </c>
      <c r="C42" s="347"/>
      <c r="P42" s="357" t="s">
        <v>999</v>
      </c>
      <c r="Q42" s="357"/>
      <c r="R42" s="357"/>
      <c r="S42" s="357"/>
    </row>
    <row r="43" spans="1:19" x14ac:dyDescent="0.35">
      <c r="A43" s="2"/>
      <c r="B43" s="9" t="str">
        <f>CONCATENATE(prefix_wld_az1_rack_cidr,"80.0/24")</f>
        <v>10.13.80.0/24</v>
      </c>
      <c r="C43" s="347"/>
      <c r="P43" s="33" t="str">
        <f>IF(wld_dpg_separation_result="Included",CONCATENATE(prefix_wld_az1_cidr,"10.137"),CONCATENATE(prefix_wld_az1_cidr,"11.137"))</f>
        <v>10.13.10.137</v>
      </c>
      <c r="Q43" s="347"/>
      <c r="R43" s="241" t="str">
        <f>IF(ISBLANK(input_wld_vnaa_ip),"Value Missing",input_wld_vnaa_ip)</f>
        <v>Value Missing</v>
      </c>
      <c r="S43" s="32"/>
    </row>
    <row r="44" spans="1:19" x14ac:dyDescent="0.35">
      <c r="A44" s="2"/>
      <c r="B44" s="9" t="str">
        <f>CONCATENATE(prefix_wld_az1_rack_cidr,"89.0/24")</f>
        <v>10.13.89.0/24</v>
      </c>
      <c r="C44" s="347"/>
      <c r="P44" s="33" t="str">
        <f>IF(wld_dpg_separation_result="Included",CONCATENATE(prefix_wld_az1_cidr,"10.138"),CONCATENATE(prefix_wld_az1_cidr,"11.138"))</f>
        <v>10.13.10.138</v>
      </c>
      <c r="Q44" s="347"/>
      <c r="R44" s="241" t="str">
        <f>IF(ISBLANK(input_wld_vnab_ip),"Value Missing",input_wld_vnab_ip)</f>
        <v>Value Missing</v>
      </c>
      <c r="S44" s="32"/>
    </row>
    <row r="45" spans="1:19" x14ac:dyDescent="0.35">
      <c r="A45" s="2"/>
      <c r="B45" s="9" t="str">
        <f>CONCATENATE(prefix_wld_az1_rack_cidr,"90.0/24")</f>
        <v>10.13.90.0/24</v>
      </c>
      <c r="C45" s="347"/>
      <c r="P45" s="33" t="str">
        <f>CONCATENATE(this_instance,"-w0",wld_domain_number_chosen,"-vna01a",".",sample_child_dns_zone)</f>
        <v>sfo-w01-vna01a.sfo.rainpole.io</v>
      </c>
      <c r="Q45" s="347"/>
      <c r="R45" s="241" t="str">
        <f>IF(ISBLANK(input_wld_vnaa_fqdn),"Value Missing",input_wld_vnaa_fqdn)</f>
        <v>Value Missing</v>
      </c>
      <c r="S45" s="32"/>
    </row>
    <row r="46" spans="1:19" x14ac:dyDescent="0.35">
      <c r="A46" s="2"/>
      <c r="B46" s="9" t="str">
        <f>CONCATENATE(prefix_wld_az1_rack_cidr,"92.0/24")</f>
        <v>10.13.92.0/24</v>
      </c>
      <c r="C46" s="347"/>
      <c r="P46" s="33" t="str">
        <f>CONCATENATE(this_instance,"-w0",wld_domain_number_chosen,"-vna01b",".",sample_child_dns_zone)</f>
        <v>sfo-w01-vna01b.sfo.rainpole.io</v>
      </c>
      <c r="Q46" s="347"/>
      <c r="R46" s="241" t="str">
        <f>IF(ISBLANK(input_wld_vnab_fqdn),"Value Missing",input_wld_vnab_fqdn)</f>
        <v>Value Missing</v>
      </c>
      <c r="S46" s="32"/>
    </row>
    <row r="47" spans="1:19" x14ac:dyDescent="0.35">
      <c r="A47" s="2"/>
      <c r="B47" s="9" t="str">
        <f>CONCATENATE(prefix_wld_az1_rack_cidr,"91.0/24")</f>
        <v>10.13.91.0/24</v>
      </c>
      <c r="C47" s="347"/>
      <c r="P47" s="289" t="str">
        <f>IF(mgmt_dpg_reuse_result="Excluded",CONCATENATE(prefix_mgmt_az1_cidr,"11.77"),CONCATENATE(prefix_mgmt_az1_cidr,"10.77"))</f>
        <v>10.11.10.77</v>
      </c>
      <c r="Q47" s="284"/>
      <c r="R47" s="400" t="str">
        <f>IF(ISBLANK(input_mgmt_vnaa_ip),"Value Missing",input_mgmt_vnaa_ip)</f>
        <v>Value Missing</v>
      </c>
      <c r="S47" s="401"/>
    </row>
    <row r="48" spans="1:19" x14ac:dyDescent="0.35">
      <c r="A48" s="2"/>
      <c r="B48" s="2"/>
      <c r="C48" s="2"/>
      <c r="P48" s="402" t="str">
        <f>IF(mgmt_dpg_reuse_result="Excluded",CONCATENATE(prefix_mgmt_az1_cidr,"11.78"),CONCATENATE(prefix_mgmt_az1_cidr,"10.78"))</f>
        <v>10.11.10.78</v>
      </c>
      <c r="Q48" s="284"/>
      <c r="R48" s="403" t="str">
        <f>IF(ISBLANK(input_mgmt_vnab_ip),"Value Missing",input_mgmt_vnab_ip)</f>
        <v>Value Missing</v>
      </c>
      <c r="S48" s="160"/>
    </row>
    <row r="49" spans="1:21" x14ac:dyDescent="0.35">
      <c r="A49" s="2"/>
      <c r="B49" s="2" t="s">
        <v>1000</v>
      </c>
      <c r="C49" s="2" t="str">
        <f>IF(ISBLANK(input_mgmt_existing_active_nsx_gm),"Value Missing",input_mgmt_existing_active_nsx_gm)</f>
        <v>Value Missing</v>
      </c>
      <c r="P49" s="402" t="str">
        <f>CONCATENATE(this_instance,"-m01-vna01a.",sample_child_dns_zone)</f>
        <v>sfo-m01-vna01a.sfo.rainpole.io</v>
      </c>
      <c r="Q49" s="284"/>
      <c r="R49" s="403" t="str">
        <f>IF(ISBLANK(input_mgmt_vnaa_fqdn),"Value Missing",input_mgmt_vnaa_fqdn)</f>
        <v>Value Missing</v>
      </c>
      <c r="S49" s="160"/>
    </row>
    <row r="50" spans="1:21" x14ac:dyDescent="0.35">
      <c r="A50" s="2"/>
      <c r="B50" s="2" t="s">
        <v>1001</v>
      </c>
      <c r="C50" s="2" t="str">
        <f>IF(ISBLANK(input_mgmt_existing_cross_instance_t0_name),"Value Missing",input_mgmt_existing_cross_instance_t0_name)</f>
        <v>Value Missing</v>
      </c>
      <c r="P50" s="402" t="str">
        <f>CONCATENATE(this_instance,"-m01-vna01b.",sample_child_dns_zone)</f>
        <v>sfo-m01-vna01b.sfo.rainpole.io</v>
      </c>
      <c r="Q50" s="284"/>
      <c r="R50" s="403" t="str">
        <f>IF(ISBLANK(input_mgmt_vnab_fqdn),"Value Missing",input_mgmt_vnab_fqdn)</f>
        <v>Value Missing</v>
      </c>
      <c r="S50" s="160"/>
    </row>
    <row r="55" spans="1:21" ht="15.9" x14ac:dyDescent="0.45">
      <c r="B55" s="8" t="s">
        <v>1002</v>
      </c>
      <c r="C55" s="8" t="s">
        <v>1003</v>
      </c>
      <c r="E55" s="8" t="s">
        <v>1004</v>
      </c>
      <c r="F55" s="8" t="s">
        <v>1003</v>
      </c>
      <c r="H55" s="324" t="s">
        <v>1005</v>
      </c>
      <c r="I55" s="8" t="s">
        <v>1003</v>
      </c>
      <c r="K55" s="324" t="s">
        <v>1006</v>
      </c>
      <c r="L55" s="8" t="s">
        <v>1003</v>
      </c>
      <c r="N55" s="324" t="s">
        <v>1007</v>
      </c>
      <c r="O55" s="8" t="s">
        <v>1003</v>
      </c>
      <c r="Q55" s="324" t="s">
        <v>1008</v>
      </c>
      <c r="R55" s="8" t="s">
        <v>1003</v>
      </c>
      <c r="T55" s="324" t="s">
        <v>1009</v>
      </c>
      <c r="U55" s="8" t="s">
        <v>1003</v>
      </c>
    </row>
    <row r="56" spans="1:21" x14ac:dyDescent="0.35">
      <c r="A56" s="8" t="s">
        <v>1010</v>
      </c>
      <c r="B56" s="8" t="str">
        <f>IF(cluster_wld_domain_chosen="VI Workload Domain",(CONCATENATE(prefix_wld_az1_vlan,"28")),(CONCATENATE(prefix_mgmt_az1_vlan,"28")))</f>
        <v>1328</v>
      </c>
      <c r="E56" s="8" t="str">
        <f>IF(cluster_wld_domain_chosen="VI Workload Domain",(CONCATENATE(prefix_wld_az1_vlan,"39")),(CONCATENATE(prefix_mgmt_az1_vlan,"39")))</f>
        <v>1339</v>
      </c>
      <c r="H56" s="8" t="str">
        <f>IF(cluster_wld_domain_chosen="VI Workload Domain",(CONCATENATE(prefix_wld_az1_vlan,"50")),(CONCATENATE(prefix_mgmt_az1_vlan,"50")))</f>
        <v>1350</v>
      </c>
      <c r="K56" s="8" t="str">
        <f>IF(cluster_wld_domain_chosen="VI Workload Domain",(CONCATENATE(prefix_wld_az1_vlan,"61")),(CONCATENATE(prefix_mgmt_az1_vlan,"61")))</f>
        <v>1361</v>
      </c>
      <c r="N56" s="8" t="str">
        <f>IF(cluster_wld_domain_chosen="VI Workload Domain",(CONCATENATE(prefix_wld_az1_vlan,"72")),(CONCATENATE(prefix_mgmt_az1_vlan,"72")))</f>
        <v>1372</v>
      </c>
      <c r="Q56" s="8" t="str">
        <f>IF(cluster_wld_domain_chosen="VI Workload Domain",(CONCATENATE(prefix_wld_az1_vlan,"83")),(CONCATENATE(prefix_mgmt_az1_vlan,"83")))</f>
        <v>1383</v>
      </c>
      <c r="T56" s="8" t="str">
        <f>IF(cluster_wld_domain_chosen="VI Workload Domain",(CONCATENATE(prefix_wld_az1_vlan,"94")),(CONCATENATE(prefix_mgmt_az1_vlan,"94")))</f>
        <v>1394</v>
      </c>
    </row>
    <row r="57" spans="1:21" x14ac:dyDescent="0.35">
      <c r="A57" s="8" t="s">
        <v>1011</v>
      </c>
      <c r="B57" s="8" t="str">
        <f>IF(cluster_wld_domain_chosen="VI Workload Domain",(CONCATENATE(prefix_wld_az1_vlan,"29")),(CONCATENATE(prefix_mgmt_az1_vlan,"29")))</f>
        <v>1329</v>
      </c>
      <c r="E57" s="8" t="str">
        <f>IF(cluster_wld_domain_chosen="VI Workload Domain",(CONCATENATE(prefix_wld_az1_vlan,"40")),(CONCATENATE(prefix_mgmt_az1_vlan,"40")))</f>
        <v>1340</v>
      </c>
      <c r="H57" s="8" t="str">
        <f>IF(cluster_wld_domain_chosen="VI Workload Domain",(CONCATENATE(prefix_wld_az1_vlan,"51")),(CONCATENATE(prefix_mgmt_az1_vlan,"51")))</f>
        <v>1351</v>
      </c>
      <c r="K57" s="8" t="str">
        <f>IF(cluster_wld_domain_chosen="VI Workload Domain",(CONCATENATE(prefix_wld_az1_vlan,"62")),(CONCATENATE(prefix_mgmt_az1_vlan,"62")))</f>
        <v>1362</v>
      </c>
      <c r="N57" s="8" t="str">
        <f>IF(cluster_wld_domain_chosen="VI Workload Domain",(CONCATENATE(prefix_wld_az1_vlan,"73")),(CONCATENATE(prefix_mgmt_az1_vlan,"73")))</f>
        <v>1373</v>
      </c>
      <c r="Q57" s="8" t="str">
        <f>IF(cluster_wld_domain_chosen="VI Workload Domain",(CONCATENATE(prefix_wld_az1_vlan,"84")),(CONCATENATE(prefix_mgmt_az1_vlan,"84")))</f>
        <v>1384</v>
      </c>
      <c r="T57" s="8" t="str">
        <f>IF(cluster_wld_domain_chosen="VI Workload Domain",(CONCATENATE(prefix_wld_az1_vlan,"95")),(CONCATENATE(prefix_mgmt_az1_vlan,"95")))</f>
        <v>1395</v>
      </c>
    </row>
    <row r="58" spans="1:21" x14ac:dyDescent="0.35">
      <c r="A58" s="8" t="s">
        <v>1012</v>
      </c>
      <c r="B58" s="8" t="str">
        <f>IF(cluster_wld_domain_chosen="VI Workload Domain",(CONCATENATE(prefix_wld_az1_vlan,"30")),(CONCATENATE(prefix_mgmt_az1_vlan,"30")))</f>
        <v>1330</v>
      </c>
      <c r="E58" s="8" t="str">
        <f>IF(cluster_wld_domain_chosen="VI Workload Domain",(CONCATENATE(prefix_wld_az1_vlan,"41")),(CONCATENATE(prefix_mgmt_az1_vlan,"41")))</f>
        <v>1341</v>
      </c>
      <c r="H58" s="8" t="str">
        <f>IF(cluster_wld_domain_chosen="VI Workload Domain",(CONCATENATE(prefix_wld_az1_vlan,"52")),(CONCATENATE(prefix_mgmt_az1_vlan,"52")))</f>
        <v>1352</v>
      </c>
      <c r="K58" s="8" t="str">
        <f>IF(cluster_wld_domain_chosen="VI Workload Domain",(CONCATENATE(prefix_wld_az1_vlan,"63")),(CONCATENATE(prefix_mgmt_az1_vlan,"63")))</f>
        <v>1363</v>
      </c>
      <c r="N58" s="8" t="str">
        <f>IF(cluster_wld_domain_chosen="VI Workload Domain",(CONCATENATE(prefix_wld_az1_vlan,"74")),(CONCATENATE(prefix_mgmt_az1_vlan,"74")))</f>
        <v>1374</v>
      </c>
      <c r="Q58" s="8" t="str">
        <f>IF(cluster_wld_domain_chosen="VI Workload Domain",(CONCATENATE(prefix_wld_az1_vlan,"85")),(CONCATENATE(prefix_mgmt_az1_vlan,"85")))</f>
        <v>1385</v>
      </c>
      <c r="T58" s="8" t="str">
        <f>IF(cluster_wld_domain_chosen="VI Workload Domain",(CONCATENATE(prefix_wld_az1_vlan,"96")),(CONCATENATE(prefix_mgmt_az1_vlan,"96")))</f>
        <v>1396</v>
      </c>
    </row>
    <row r="59" spans="1:21" x14ac:dyDescent="0.35">
      <c r="A59" s="8" t="s">
        <v>1013</v>
      </c>
      <c r="B59" s="8" t="str">
        <f>IF(cluster_wld_domain_chosen="VI Workload Domain",CONCATENATE(prefix_wld_az1_cidr,"28.0"),CONCATENATE(prefix_mgmt_az1_cidr,"28.0"))</f>
        <v>10.13.28.0</v>
      </c>
      <c r="E59" s="8" t="str">
        <f>IF(cluster_wld_domain_chosen="VI Workload Domain",CONCATENATE(prefix_wld_az1_cidr,"39.0"),CONCATENATE(prefix_mgmt_az1_cidr,"39.0"))</f>
        <v>10.13.39.0</v>
      </c>
      <c r="H59" s="8" t="str">
        <f>IF(cluster_wld_domain_chosen="VI Workload Domain",CONCATENATE(prefix_wld_az1_cidr,"50.0"),CONCATENATE(prefix_mgmt_az1_cidr,"50.0"))</f>
        <v>10.13.50.0</v>
      </c>
      <c r="K59" s="8" t="str">
        <f>IF(cluster_wld_domain_chosen="VI Workload Domain",CONCATENATE(prefix_wld_az1_cidr,"61.0"),CONCATENATE(prefix_mgmt_az1_cidr,"61.0"))</f>
        <v>10.13.61.0</v>
      </c>
      <c r="N59" s="8" t="str">
        <f>IF(cluster_wld_domain_chosen="VI Workload Domain",CONCATENATE(prefix_wld_az1_cidr,"72.0"),CONCATENATE(prefix_mgmt_az1_cidr,"72.0"))</f>
        <v>10.13.72.0</v>
      </c>
      <c r="Q59" s="8" t="str">
        <f>IF(cluster_wld_domain_chosen="VI Workload Domain",CONCATENATE(prefix_wld_az1_cidr,"83.0"),CONCATENATE(prefix_mgmt_az1_cidr,"83.0"))</f>
        <v>10.13.83.0</v>
      </c>
      <c r="T59" s="8" t="str">
        <f>IF(cluster_wld_domain_chosen="VI Workload Domain",CONCATENATE(prefix_wld_az1_cidr,"94.0"),CONCATENATE(prefix_mgmt_az1_cidr,"94.0"))</f>
        <v>10.13.94.0</v>
      </c>
    </row>
    <row r="60" spans="1:21" x14ac:dyDescent="0.35">
      <c r="A60" s="8" t="s">
        <v>1014</v>
      </c>
      <c r="B60" s="8" t="str">
        <f>IF(cluster_wld_domain_chosen="VI Workload Domain",CONCATENATE(prefix_wld_az1_cidr,"29.0"),CONCATENATE(prefix_mgmt_az1_cidr,"29.0"))</f>
        <v>10.13.29.0</v>
      </c>
      <c r="E60" s="8" t="str">
        <f>IF(cluster_wld_domain_chosen="VI Workload Domain",CONCATENATE(prefix_wld_az1_cidr,"40.0"),CONCATENATE(prefix_mgmt_az1_cidr,"40.0"))</f>
        <v>10.13.40.0</v>
      </c>
      <c r="H60" s="8" t="str">
        <f>IF(cluster_wld_domain_chosen="VI Workload Domain",CONCATENATE(prefix_wld_az1_cidr,"51.0"),CONCATENATE(prefix_mgmt_az1_cidr,"51.0"))</f>
        <v>10.13.51.0</v>
      </c>
      <c r="K60" s="8" t="str">
        <f>IF(cluster_wld_domain_chosen="VI Workload Domain",CONCATENATE(prefix_wld_az1_cidr,"62.0"),CONCATENATE(prefix_mgmt_az1_cidr,"62.0"))</f>
        <v>10.13.62.0</v>
      </c>
      <c r="N60" s="8" t="str">
        <f>IF(cluster_wld_domain_chosen="VI Workload Domain",CONCATENATE(prefix_wld_az1_cidr,"73.0"),CONCATENATE(prefix_mgmt_az1_cidr,"73.0"))</f>
        <v>10.13.73.0</v>
      </c>
      <c r="Q60" s="8" t="str">
        <f>IF(cluster_wld_domain_chosen="VI Workload Domain",CONCATENATE(prefix_wld_az1_cidr,"84.0"),CONCATENATE(prefix_mgmt_az1_cidr,"84.0"))</f>
        <v>10.13.84.0</v>
      </c>
      <c r="T60" s="8" t="str">
        <f>IF(cluster_wld_domain_chosen="VI Workload Domain",CONCATENATE(prefix_wld_az1_cidr,"95.0"),CONCATENATE(prefix_mgmt_az1_cidr,"95.0"))</f>
        <v>10.13.95.0</v>
      </c>
    </row>
    <row r="61" spans="1:21" x14ac:dyDescent="0.35">
      <c r="A61" s="8" t="s">
        <v>1015</v>
      </c>
      <c r="B61" s="8" t="str">
        <f>IF(cluster_wld_domain_chosen="VI Workload Domain",CONCATENATE(prefix_wld_az1_cidr,"30.0"),CONCATENATE(prefix_mgmt_az1_cidr,"30.0"))</f>
        <v>10.13.30.0</v>
      </c>
      <c r="E61" s="8" t="str">
        <f>IF(cluster_wld_domain_chosen="VI Workload Domain",CONCATENATE(prefix_wld_az1_cidr,"41.0"),CONCATENATE(prefix_mgmt_az1_cidr,"41.0"))</f>
        <v>10.13.41.0</v>
      </c>
      <c r="H61" s="8" t="str">
        <f>IF(cluster_wld_domain_chosen="VI Workload Domain",CONCATENATE(prefix_wld_az1_cidr,"52.0"),CONCATENATE(prefix_mgmt_az1_cidr,"52.0"))</f>
        <v>10.13.52.0</v>
      </c>
      <c r="K61" s="8" t="str">
        <f>IF(cluster_wld_domain_chosen="VI Workload Domain",CONCATENATE(prefix_wld_az1_cidr,"63.0"),CONCATENATE(prefix_mgmt_az1_cidr,"63.0"))</f>
        <v>10.13.63.0</v>
      </c>
      <c r="N61" s="8" t="str">
        <f>IF(cluster_wld_domain_chosen="VI Workload Domain",CONCATENATE(prefix_wld_az1_cidr,"74.0"),CONCATENATE(prefix_mgmt_az1_cidr,"74.0"))</f>
        <v>10.13.74.0</v>
      </c>
      <c r="Q61" s="8" t="str">
        <f>IF(cluster_wld_domain_chosen="VI Workload Domain",CONCATENATE(prefix_wld_az1_cidr,"85.0"),CONCATENATE(prefix_mgmt_az1_cidr,"85.0"))</f>
        <v>10.13.85.0</v>
      </c>
      <c r="T61" s="8" t="str">
        <f>IF(cluster_wld_domain_chosen="VI Workload Domain",CONCATENATE(prefix_wld_az1_cidr,"96.0"),CONCATENATE(prefix_mgmt_az1_cidr,"96.0"))</f>
        <v>10.13.96.0</v>
      </c>
    </row>
    <row r="62" spans="1:21" x14ac:dyDescent="0.35">
      <c r="A62" s="8" t="s">
        <v>1016</v>
      </c>
      <c r="B62" s="8" t="str">
        <f>IF(cluster_wld_domain_chosen="VI Workload Domain",CONCATENATE(prefix_wld_az1_cidr,"28.1"),CONCATENATE(prefix_mgmt_az1_cidr,"28.1"))</f>
        <v>10.13.28.1</v>
      </c>
      <c r="E62" s="8" t="str">
        <f>IF(cluster_wld_domain_chosen="VI Workload Domain",CONCATENATE(prefix_wld_az1_cidr,"39.1"),CONCATENATE(prefix_mgmt_az1_cidr,"39.1"))</f>
        <v>10.13.39.1</v>
      </c>
      <c r="H62" s="8" t="str">
        <f>IF(cluster_wld_domain_chosen="VI Workload Domain",CONCATENATE(prefix_wld_az1_cidr,"50.1"),CONCATENATE(prefix_mgmt_az1_cidr,"50.1"))</f>
        <v>10.13.50.1</v>
      </c>
      <c r="K62" s="8" t="str">
        <f>IF(cluster_wld_domain_chosen="VI Workload Domain",CONCATENATE(prefix_wld_az1_cidr,"61.1"),CONCATENATE(prefix_mgmt_az1_cidr,"61.1"))</f>
        <v>10.13.61.1</v>
      </c>
      <c r="N62" s="8" t="str">
        <f>IF(cluster_wld_domain_chosen="VI Workload Domain",CONCATENATE(prefix_wld_az1_cidr,"72.1"),CONCATENATE(prefix_mgmt_az1_cidr,"72.1"))</f>
        <v>10.13.72.1</v>
      </c>
      <c r="Q62" s="8" t="str">
        <f>IF(cluster_wld_domain_chosen="VI Workload Domain",CONCATENATE(prefix_wld_az1_cidr,"83.1"),CONCATENATE(prefix_mgmt_az1_cidr,"83.1"))</f>
        <v>10.13.83.1</v>
      </c>
      <c r="T62" s="8" t="str">
        <f>IF(cluster_wld_domain_chosen="VI Workload Domain",CONCATENATE(prefix_wld_az1_cidr,"94.1"),CONCATENATE(prefix_mgmt_az1_cidr,"94.1"))</f>
        <v>10.13.94.1</v>
      </c>
    </row>
    <row r="63" spans="1:21" x14ac:dyDescent="0.35">
      <c r="A63" s="8" t="s">
        <v>1017</v>
      </c>
      <c r="B63" s="8" t="str">
        <f>IF(cluster_wld_domain_chosen="VI Workload Domain",CONCATENATE(prefix_wld_az1_cidr,"29.1"),CONCATENATE(prefix_mgmt_az1_cidr,"29.1"))</f>
        <v>10.13.29.1</v>
      </c>
      <c r="E63" s="8" t="str">
        <f>IF(cluster_wld_domain_chosen="VI Workload Domain",CONCATENATE(prefix_wld_az1_cidr,"40.1"),CONCATENATE(prefix_mgmt_az1_cidr,"40.1"))</f>
        <v>10.13.40.1</v>
      </c>
      <c r="H63" s="8" t="str">
        <f>IF(cluster_wld_domain_chosen="VI Workload Domain",CONCATENATE(prefix_wld_az1_cidr,"51.1"),CONCATENATE(prefix_mgmt_az1_cidr,"51.1"))</f>
        <v>10.13.51.1</v>
      </c>
      <c r="K63" s="8" t="str">
        <f>IF(cluster_wld_domain_chosen="VI Workload Domain",CONCATENATE(prefix_wld_az1_cidr,"62.1"),CONCATENATE(prefix_mgmt_az1_cidr,"62.1"))</f>
        <v>10.13.62.1</v>
      </c>
      <c r="N63" s="8" t="str">
        <f>IF(cluster_wld_domain_chosen="VI Workload Domain",CONCATENATE(prefix_wld_az1_cidr,"73.1"),CONCATENATE(prefix_mgmt_az1_cidr,"73.1"))</f>
        <v>10.13.73.1</v>
      </c>
      <c r="Q63" s="8" t="str">
        <f>IF(cluster_wld_domain_chosen="VI Workload Domain",CONCATENATE(prefix_wld_az1_cidr,"84.1"),CONCATENATE(prefix_mgmt_az1_cidr,"84.1"))</f>
        <v>10.13.84.1</v>
      </c>
      <c r="T63" s="8" t="str">
        <f>IF(cluster_wld_domain_chosen="VI Workload Domain",CONCATENATE(prefix_wld_az1_cidr,"95.1"),CONCATENATE(prefix_mgmt_az1_cidr,"95.1"))</f>
        <v>10.13.95.1</v>
      </c>
    </row>
    <row r="64" spans="1:21" x14ac:dyDescent="0.35">
      <c r="A64" s="8" t="s">
        <v>1018</v>
      </c>
      <c r="B64" s="8" t="str">
        <f>IF(cluster_wld_domain_chosen="VI Workload Domain",CONCATENATE(prefix_wld_az1_cidr,"30.1"),CONCATENATE(prefix_mgmt_az1_cidr,"30.1"))</f>
        <v>10.13.30.1</v>
      </c>
      <c r="E64" s="8" t="str">
        <f>IF(cluster_wld_domain_chosen="VI Workload Domain",CONCATENATE(prefix_wld_az1_cidr,"41.1"),CONCATENATE(prefix_mgmt_az1_cidr,"41.1"))</f>
        <v>10.13.41.1</v>
      </c>
      <c r="H64" s="8" t="str">
        <f>IF(cluster_wld_domain_chosen="VI Workload Domain",CONCATENATE(prefix_wld_az1_cidr,"52.1"),CONCATENATE(prefix_mgmt_az1_cidr,"52.1"))</f>
        <v>10.13.52.1</v>
      </c>
      <c r="K64" s="8" t="str">
        <f>IF(cluster_wld_domain_chosen="VI Workload Domain",CONCATENATE(prefix_wld_az1_cidr,"63.1"),CONCATENATE(prefix_mgmt_az1_cidr,"63.1"))</f>
        <v>10.13.63.1</v>
      </c>
      <c r="N64" s="8" t="str">
        <f>IF(cluster_wld_domain_chosen="VI Workload Domain",CONCATENATE(prefix_wld_az1_cidr,"74.1"),CONCATENATE(prefix_mgmt_az1_cidr,"74.1"))</f>
        <v>10.13.74.1</v>
      </c>
      <c r="Q64" s="8" t="str">
        <f>IF(cluster_wld_domain_chosen="VI Workload Domain",CONCATENATE(prefix_wld_az1_cidr,"85.1"),CONCATENATE(prefix_mgmt_az1_cidr,"85.1"))</f>
        <v>10.13.85.1</v>
      </c>
      <c r="T64" s="8" t="str">
        <f>IF(cluster_wld_domain_chosen="VI Workload Domain",CONCATENATE(prefix_wld_az1_cidr,"96.1"),CONCATENATE(prefix_mgmt_az1_cidr,"96.1"))</f>
        <v>10.13.96.1</v>
      </c>
    </row>
    <row r="65" spans="1:20" x14ac:dyDescent="0.35">
      <c r="A65" s="8" t="s">
        <v>1019</v>
      </c>
      <c r="B65" s="8" t="s">
        <v>128</v>
      </c>
      <c r="E65" s="8" t="s">
        <v>128</v>
      </c>
      <c r="H65" s="8" t="s">
        <v>128</v>
      </c>
      <c r="K65" s="8" t="s">
        <v>128</v>
      </c>
      <c r="N65" s="8" t="s">
        <v>128</v>
      </c>
      <c r="Q65" s="8" t="s">
        <v>128</v>
      </c>
      <c r="T65" s="8" t="s">
        <v>128</v>
      </c>
    </row>
    <row r="66" spans="1:20" x14ac:dyDescent="0.35">
      <c r="A66" s="8" t="s">
        <v>1020</v>
      </c>
      <c r="B66" s="8" t="s">
        <v>128</v>
      </c>
      <c r="E66" s="8" t="s">
        <v>128</v>
      </c>
      <c r="H66" s="8" t="s">
        <v>128</v>
      </c>
      <c r="K66" s="8" t="s">
        <v>128</v>
      </c>
      <c r="N66" s="8" t="s">
        <v>128</v>
      </c>
      <c r="Q66" s="8" t="s">
        <v>128</v>
      </c>
      <c r="T66" s="8" t="s">
        <v>128</v>
      </c>
    </row>
    <row r="67" spans="1:20" x14ac:dyDescent="0.35">
      <c r="A67" s="8" t="s">
        <v>1021</v>
      </c>
      <c r="B67" s="8" t="s">
        <v>128</v>
      </c>
      <c r="E67" s="8" t="s">
        <v>128</v>
      </c>
      <c r="H67" s="8" t="s">
        <v>128</v>
      </c>
      <c r="K67" s="8" t="s">
        <v>128</v>
      </c>
      <c r="N67" s="8" t="s">
        <v>128</v>
      </c>
      <c r="Q67" s="8" t="s">
        <v>128</v>
      </c>
      <c r="T67" s="8" t="s">
        <v>128</v>
      </c>
    </row>
    <row r="68" spans="1:20" ht="15.9" x14ac:dyDescent="0.45">
      <c r="A68" s="8" t="s">
        <v>1022</v>
      </c>
      <c r="B68" s="325">
        <v>9000</v>
      </c>
      <c r="C68" s="325"/>
      <c r="D68" s="325"/>
      <c r="E68" s="325">
        <v>9000</v>
      </c>
      <c r="F68" s="325"/>
      <c r="G68" s="325"/>
      <c r="H68" s="325">
        <v>9000</v>
      </c>
      <c r="I68" s="325"/>
      <c r="J68" s="325"/>
      <c r="K68" s="325">
        <v>9000</v>
      </c>
      <c r="L68" s="325"/>
      <c r="M68" s="325"/>
      <c r="N68" s="325">
        <v>9000</v>
      </c>
      <c r="O68" s="325"/>
      <c r="Q68" s="325">
        <v>9000</v>
      </c>
      <c r="R68" s="325"/>
      <c r="T68" s="325">
        <v>9000</v>
      </c>
    </row>
    <row r="69" spans="1:20" ht="15.9" x14ac:dyDescent="0.45">
      <c r="A69" s="8" t="s">
        <v>1023</v>
      </c>
      <c r="B69" s="325">
        <v>9000</v>
      </c>
      <c r="C69" s="325"/>
      <c r="D69" s="325"/>
      <c r="E69" s="325">
        <v>9000</v>
      </c>
      <c r="F69" s="325"/>
      <c r="G69" s="325"/>
      <c r="H69" s="325">
        <v>9000</v>
      </c>
      <c r="I69" s="325"/>
      <c r="J69" s="325"/>
      <c r="K69" s="325">
        <v>9000</v>
      </c>
      <c r="L69" s="325"/>
      <c r="M69" s="325"/>
      <c r="N69" s="325">
        <v>9000</v>
      </c>
      <c r="O69" s="325"/>
      <c r="Q69" s="325">
        <v>9000</v>
      </c>
      <c r="R69" s="325"/>
      <c r="T69" s="325">
        <v>9000</v>
      </c>
    </row>
    <row r="70" spans="1:20" ht="15.9" x14ac:dyDescent="0.45">
      <c r="A70" s="8" t="s">
        <v>1024</v>
      </c>
      <c r="B70" s="325">
        <v>9000</v>
      </c>
      <c r="C70" s="325"/>
      <c r="D70" s="325"/>
      <c r="E70" s="325">
        <v>9000</v>
      </c>
      <c r="F70" s="325"/>
      <c r="G70" s="325"/>
      <c r="H70" s="325">
        <v>9000</v>
      </c>
      <c r="I70" s="325"/>
      <c r="J70" s="325"/>
      <c r="K70" s="325">
        <v>9000</v>
      </c>
      <c r="L70" s="325"/>
      <c r="M70" s="325"/>
      <c r="N70" s="325">
        <v>9000</v>
      </c>
      <c r="O70" s="325"/>
      <c r="Q70" s="325">
        <v>9000</v>
      </c>
      <c r="R70" s="325"/>
      <c r="T70" s="325">
        <v>9000</v>
      </c>
    </row>
    <row r="71" spans="1:20" ht="15.9" x14ac:dyDescent="0.45">
      <c r="A71" s="28" t="s">
        <v>122</v>
      </c>
      <c r="B71" s="8" t="str">
        <f>IF(cluster_wld_domain_chosen="VI Workload Domain",CONCATENATE(prefix_wld_az1_cidr,"30.2"),CONCATENATE(prefix_mgmt_az1_cidr,"30.2"))</f>
        <v>10.13.30.2</v>
      </c>
      <c r="E71" s="8" t="str">
        <f>IF(cluster_wld_domain_chosen="VI Workload Domain",CONCATENATE(prefix_wld_az1_cidr,"41.2"),CONCATENATE(prefix_mgmt_az1_cidr,"41.2"))</f>
        <v>10.13.41.2</v>
      </c>
      <c r="H71" s="8" t="str">
        <f>IF(cluster_wld_domain_chosen="VI Workload Domain",CONCATENATE(prefix_wld_az1_cidr,"52.2"),CONCATENATE(prefix_mgmt_az1_cidr,"52.2"))</f>
        <v>10.13.52.2</v>
      </c>
      <c r="K71" s="8" t="str">
        <f>IF(cluster_wld_domain_chosen="VI Workload Domain",CONCATENATE(prefix_wld_az1_cidr,"63.2"),CONCATENATE(prefix_mgmt_az1_cidr,"63.2"))</f>
        <v>10.13.63.2</v>
      </c>
      <c r="N71" s="8" t="str">
        <f>IF(cluster_wld_domain_chosen="VI Workload Domain",CONCATENATE(prefix_wld_az1_cidr,"74.2"),CONCATENATE(prefix_mgmt_az1_cidr,"74.2"))</f>
        <v>10.13.74.2</v>
      </c>
      <c r="P71" s="325"/>
      <c r="Q71" s="8" t="str">
        <f>IF(cluster_wld_domain_chosen="VI Workload Domain",CONCATENATE(prefix_wld_az1_cidr,"85.2"),CONCATENATE(prefix_mgmt_az1_cidr,"85.2"))</f>
        <v>10.13.85.2</v>
      </c>
      <c r="S71" s="325"/>
      <c r="T71" s="8" t="str">
        <f>IF(cluster_wld_domain_chosen="VI Workload Domain",CONCATENATE(prefix_wld_az1_cidr,"96.2"),CONCATENATE(prefix_mgmt_az1_cidr,"96.2"))</f>
        <v>10.13.96.2</v>
      </c>
    </row>
    <row r="72" spans="1:20" ht="34" customHeight="1" x14ac:dyDescent="0.45">
      <c r="A72" s="261" t="s">
        <v>123</v>
      </c>
      <c r="B72" s="8" t="str">
        <f>IF(cluster_wld_domain_chosen="VI Workload Domain",CONCATENATE(prefix_wld_az1_cidr,"30.5"),CONCATENATE(prefix_mgmt_az1_cidr,"30.5"))</f>
        <v>10.13.30.5</v>
      </c>
      <c r="E72" s="8" t="str">
        <f>IF(cluster_wld_domain_chosen="VI Workload Domain",CONCATENATE(prefix_wld_az1_cidr,"41.5"),CONCATENATE(prefix_mgmt_az1_cidr,"41.5"))</f>
        <v>10.13.41.5</v>
      </c>
      <c r="H72" s="8" t="str">
        <f>IF(cluster_wld_domain_chosen="VI Workload Domain",CONCATENATE(prefix_wld_az1_cidr,"52.5"),CONCATENATE(prefix_mgmt_az1_cidr,"52.5"))</f>
        <v>10.13.52.5</v>
      </c>
      <c r="K72" s="8" t="str">
        <f>IF(cluster_wld_domain_chosen="VI Workload Domain",CONCATENATE(prefix_wld_az1_cidr,"63.5"),CONCATENATE(prefix_mgmt_az1_cidr,"63.5"))</f>
        <v>10.13.63.5</v>
      </c>
      <c r="N72" s="8" t="str">
        <f>IF(cluster_wld_domain_chosen="VI Workload Domain",CONCATENATE(prefix_wld_az1_cidr,"74.5"),CONCATENATE(prefix_mgmt_az1_cidr,"74.5"))</f>
        <v>10.13.74.5</v>
      </c>
      <c r="P72" s="325"/>
      <c r="Q72" s="8" t="str">
        <f>IF(cluster_wld_domain_chosen="VI Workload Domain",CONCATENATE(prefix_wld_az1_cidr,"85.5"),CONCATENATE(prefix_mgmt_az1_cidr,"85.5"))</f>
        <v>10.13.85.5</v>
      </c>
      <c r="S72" s="325"/>
      <c r="T72" s="8" t="str">
        <f>IF(cluster_wld_domain_chosen="VI Workload Domain",CONCATENATE(prefix_wld_az1_cidr,"96.5"),CONCATENATE(prefix_mgmt_az1_cidr,"96.5"))</f>
        <v>10.13.96.5</v>
      </c>
    </row>
    <row r="73" spans="1:20" ht="15.9" x14ac:dyDescent="0.45">
      <c r="A73" s="4" t="s">
        <v>1025</v>
      </c>
      <c r="B73" s="8" t="str">
        <f>IF(cluster_wld_domain_chosen="VI Workload Domain",IF(mgmt_domain_chosen="First Instance","65102",IF(wld_nsxt_federation_result="Included","65202","65102")),IF(mgmt_domain_chosen="First Instance","65101",IF(mgmt_nsxt_federation_result="Included","65201","65101")))</f>
        <v>65102</v>
      </c>
      <c r="E73" s="8" t="str">
        <f>IF(cluster_wld_domain_chosen="VI Workload Domain",IF(mgmt_domain_chosen="First Instance","65102",IF(wld_nsxt_federation_result="Included","65202","65102")),IF(mgmt_domain_chosen="First Instance","65101",IF(mgmt_nsxt_federation_result="Included","65201","65101")))</f>
        <v>65102</v>
      </c>
      <c r="H73" s="8" t="str">
        <f>IF(cluster_wld_domain_chosen="VI Workload Domain",IF(mgmt_domain_chosen="First Instance","65102",IF(wld_nsxt_federation_result="Included","65202","65102")),IF(mgmt_domain_chosen="First Instance","65101",IF(mgmt_nsxt_federation_result="Included","65201","65101")))</f>
        <v>65102</v>
      </c>
      <c r="K73" s="8" t="str">
        <f>IF(cluster_wld_domain_chosen="VI Workload Domain",IF(mgmt_domain_chosen="First Instance","65102",IF(wld_nsxt_federation_result="Included","65202","65102")),IF(mgmt_domain_chosen="First Instance","65101",IF(mgmt_nsxt_federation_result="Included","65201","65101")))</f>
        <v>65102</v>
      </c>
      <c r="N73" s="8" t="str">
        <f>IF(cluster_wld_domain_chosen="VI Workload Domain",IF(mgmt_domain_chosen="First Instance","65102",IF(wld_nsxt_federation_result="Included","65202","65102")),IF(mgmt_domain_chosen="First Instance","65101",IF(mgmt_nsxt_federation_result="Included","65201","65101")))</f>
        <v>65102</v>
      </c>
      <c r="P73" s="325"/>
      <c r="Q73" s="8" t="str">
        <f>IF(cluster_wld_domain_chosen="VI Workload Domain",IF(mgmt_domain_chosen="First Instance","65102",IF(wld_nsxt_federation_result="Included","65202","65102")),IF(mgmt_domain_chosen="First Instance","65101",IF(mgmt_nsxt_federation_result="Included","65201","65101")))</f>
        <v>65102</v>
      </c>
      <c r="S73" s="325"/>
      <c r="T73" s="8" t="str">
        <f>IF(cluster_wld_domain_chosen="VI Workload Domain",IF(mgmt_domain_chosen="First Instance","65102",IF(wld_nsxt_federation_result="Included","65202","65102")),IF(mgmt_domain_chosen="First Instance","65101",IF(mgmt_nsxt_federation_result="Included","65201","65101")))</f>
        <v>65102</v>
      </c>
    </row>
    <row r="74" spans="1:20" ht="15.45" x14ac:dyDescent="0.35">
      <c r="A74" s="4" t="s">
        <v>168</v>
      </c>
      <c r="B74" s="8" t="str">
        <f>IF(cluster_wld_domain_chosen="VI Workload Domain",CONCATENATE(prefix_wld_az1_cidr,"28.10"),CONCATENATE(prefix_mgmt_az1_cidr,"28.10"))</f>
        <v>10.13.28.10</v>
      </c>
      <c r="E74" s="8" t="str">
        <f>IF(cluster_wld_domain_chosen="VI Workload Domain",CONCATENATE(prefix_wld_az1_cidr,"39.10"),CONCATENATE(prefix_mgmt_az1_cidr,"39.10"))</f>
        <v>10.13.39.10</v>
      </c>
      <c r="H74" s="8" t="str">
        <f>IF(cluster_wld_domain_chosen="VI Workload Domain",CONCATENATE(prefix_wld_az1_cidr,"50.10"),CONCATENATE(prefix_mgmt_az1_cidr,"50.10"))</f>
        <v>10.13.50.10</v>
      </c>
      <c r="K74" s="8" t="str">
        <f>IF(cluster_wld_domain_chosen="VI Workload Domain",CONCATENATE(prefix_wld_az1_cidr,"61.10"),CONCATENATE(prefix_mgmt_az1_cidr,"61.10"))</f>
        <v>10.13.61.10</v>
      </c>
      <c r="N74" s="8" t="str">
        <f>IF(cluster_wld_domain_chosen="VI Workload Domain",CONCATENATE(prefix_wld_az1_cidr,"72.10"),CONCATENATE(prefix_mgmt_az1_cidr,"72.10"))</f>
        <v>10.13.72.10</v>
      </c>
      <c r="Q74" s="8" t="str">
        <f>IF(cluster_wld_domain_chosen="VI Workload Domain",CONCATENATE(prefix_wld_az1_cidr,"83.10"),CONCATENATE(prefix_mgmt_az1_cidr,"83.10"))</f>
        <v>10.13.83.10</v>
      </c>
      <c r="T74" s="8" t="str">
        <f>IF(cluster_wld_domain_chosen="VI Workload Domain",CONCATENATE(prefix_wld_az1_cidr,"94.10"),CONCATENATE(prefix_mgmt_az1_cidr,"94.10"))</f>
        <v>10.13.94.10</v>
      </c>
    </row>
    <row r="75" spans="1:20" ht="15.45" x14ac:dyDescent="0.35">
      <c r="A75" s="4" t="s">
        <v>169</v>
      </c>
      <c r="B75" s="8" t="str">
        <f>IF(cluster_wld_domain_chosen="VI Workload Domain",IF(mgmt_domain_chosen="First Instance",CONCATENATE(asn_start,asn_instance,asn_wld_az1,2),IF(wld_nsxt_federation_result="Included",CONCATENATE(asn_start,asn_instance,asn_wld_az1,2),CONCATENATE(asn_start,asn_instance,asn_mgmt_az1,2))),IF(mgmt_domain_chosen="First Instance",CONCATENATE(asn_start,asn_instance,asn_mgmt_az1,2),IF(mgmt_nsxt_federation_result="Included",CONCATENATE(asn_start,asn_instance,asn_mgmt_az1,2),CONCATENATE(asn_start,asn_instance,asn_mgmt_az1,2))))</f>
        <v>65132</v>
      </c>
      <c r="E75" s="8" t="str">
        <f>IF(cluster_wld_domain_chosen="VI Workload Domain",IF(mgmt_domain_chosen="First Instance",CONCATENATE(asn_start,asn_instance,asn_wld_az1,3),IF(wld_nsxt_federation_result="Included",CONCATENATE(asn_start,asn_instance,asn_wld_az1,3),CONCATENATE(asn_start,asn_instance,asn_mgmt_az1,3))),IF(mgmt_domain_chosen="First Instance",CONCATENATE(asn_start,asn_instance,asn_mgmt_az1,3),IF(mgmt_nsxt_federation_result="Included",CONCATENATE(asn_start,asn_instance,asn_mgmt_az1,3),CONCATENATE(asn_start,asn_instance,asn_mgmt_az1,3))))</f>
        <v>65133</v>
      </c>
      <c r="H75" s="8" t="str">
        <f>IF(cluster_wld_domain_chosen="VI Workload Domain",IF(mgmt_domain_chosen="First Instance",CONCATENATE(asn_start,asn_instance,asn_wld_az1,4),IF(wld_nsxt_federation_result="Included",CONCATENATE(asn_start,asn_instance,asn_wld_az1,4),CONCATENATE(asn_start,asn_instance,asn_mgmt_az1,4))),IF(mgmt_domain_chosen="First Instance",CONCATENATE(asn_start,asn_instance,asn_mgmt_az1,4),IF(mgmt_nsxt_federation_result="Included",CONCATENATE(asn_start,asn_instance,asn_mgmt_az1,4),CONCATENATE(asn_start,asn_instance,asn_mgmt_az1,4))))</f>
        <v>65134</v>
      </c>
      <c r="K75" s="8" t="str">
        <f>IF(cluster_wld_domain_chosen="VI Workload Domain",IF(mgmt_domain_chosen="First Instance",CONCATENATE(asn_start,asn_instance,asn_wld_az1,5),IF(wld_nsxt_federation_result="Included",CONCATENATE(asn_start,asn_instance,asn_wld_az1,5),CONCATENATE(asn_start,asn_instance,asn_mgmt_az1,5))),IF(mgmt_domain_chosen="First Instance",CONCATENATE(asn_start,asn_instance,asn_mgmt_az1,5),IF(mgmt_nsxt_federation_result="Included",CONCATENATE(asn_start,asn_instance,asn_mgmt_az1,5),CONCATENATE(asn_start,asn_instance,asn_mgmt_az1,5))))</f>
        <v>65135</v>
      </c>
      <c r="N75" s="8" t="str">
        <f>IF(cluster_wld_domain_chosen="VI Workload Domain",IF(mgmt_domain_chosen="First Instance",CONCATENATE(asn_start,asn_instance,asn_wld_az1,6),IF(wld_nsxt_federation_result="Included",CONCATENATE(asn_start,asn_instance,asn_wld_az1,6),CONCATENATE(asn_start,asn_instance,asn_mgmt_az1,6))),IF(mgmt_domain_chosen="First Instance",CONCATENATE(asn_start,asn_instance,asn_mgmt_az1,6),IF(mgmt_nsxt_federation_result="Included",CONCATENATE(asn_start,asn_instance,asn_mgmt_az1,6),CONCATENATE(asn_start,asn_instance,asn_mgmt_az1,6))))</f>
        <v>65136</v>
      </c>
      <c r="Q75" s="8" t="str">
        <f>IF(cluster_wld_domain_chosen="VI Workload Domain",IF(mgmt_domain_chosen="First Instance",CONCATENATE(asn_start,asn_instance,asn_wld_az1,7),IF(wld_nsxt_federation_result="Included",CONCATENATE(asn_start,asn_instance,asn_wld_az1,7),CONCATENATE(asn_start,asn_instance,asn_mgmt_az1,7))),IF(mgmt_domain_chosen="First Instance",CONCATENATE(asn_start,asn_instance,asn_mgmt_az1,7),IF(mgmt_nsxt_federation_result="Included",CONCATENATE(asn_start,asn_instance,asn_mgmt_az1,7),CONCATENATE(asn_start,asn_instance,asn_mgmt_az1,7))))</f>
        <v>65137</v>
      </c>
      <c r="T75" s="8" t="str">
        <f>IF(cluster_wld_domain_chosen="VI Workload Domain",IF(mgmt_domain_chosen="First Instance",CONCATENATE(asn_start,asn_instance,asn_wld_az1,8),IF(wld_nsxt_federation_result="Included",CONCATENATE(asn_start,asn_instance,asn_wld_az1,8),CONCATENATE(asn_start,asn_instance,asn_mgmt_az1,8))),IF(mgmt_domain_chosen="First Instance",CONCATENATE(asn_start,asn_instance,asn_mgmt_az1,8),IF(mgmt_nsxt_federation_result="Included",CONCATENATE(asn_start,asn_instance,asn_mgmt_az1,8),CONCATENATE(asn_start,asn_instance,asn_mgmt_az1,8))))</f>
        <v>65138</v>
      </c>
    </row>
    <row r="76" spans="1:20" ht="15.45" x14ac:dyDescent="0.35">
      <c r="A76" s="4" t="s">
        <v>170</v>
      </c>
      <c r="B76" s="8" t="s">
        <v>30</v>
      </c>
      <c r="E76" s="8" t="s">
        <v>30</v>
      </c>
      <c r="H76" s="8" t="s">
        <v>30</v>
      </c>
      <c r="K76" s="8" t="s">
        <v>30</v>
      </c>
      <c r="N76" s="8" t="s">
        <v>30</v>
      </c>
      <c r="Q76" s="8" t="s">
        <v>30</v>
      </c>
      <c r="T76" s="8" t="s">
        <v>30</v>
      </c>
    </row>
    <row r="77" spans="1:20" ht="15.45" x14ac:dyDescent="0.35">
      <c r="A77" s="4" t="s">
        <v>171</v>
      </c>
      <c r="B77" s="8" t="str">
        <f>IF(cluster_wld_domain_chosen="VI Workload Domain",CONCATENATE(prefix_wld_az1_cidr,"29.10"),CONCATENATE(prefix_mgmt_az1_cidr,"29.10"))</f>
        <v>10.13.29.10</v>
      </c>
      <c r="E77" s="8" t="str">
        <f>IF(cluster_wld_domain_chosen="VI Workload Domain",CONCATENATE(prefix_wld_az1_cidr,"40.10"),CONCATENATE(prefix_mgmt_az1_cidr,"40.10"))</f>
        <v>10.13.40.10</v>
      </c>
      <c r="H77" s="8" t="str">
        <f>IF(cluster_wld_domain_chosen="VI Workload Domain",CONCATENATE(prefix_wld_az1_cidr,"51.10"),CONCATENATE(prefix_mgmt_az1_cidr,"51.10"))</f>
        <v>10.13.51.10</v>
      </c>
      <c r="K77" s="8" t="str">
        <f>IF(cluster_wld_domain_chosen="VI Workload Domain",CONCATENATE(prefix_wld_az1_cidr,"62.10"),CONCATENATE(prefix_mgmt_az1_cidr,"62.10"))</f>
        <v>10.13.62.10</v>
      </c>
      <c r="N77" s="8" t="str">
        <f>IF(cluster_wld_domain_chosen="VI Workload Domain",CONCATENATE(prefix_wld_az1_cidr,"73.10"),CONCATENATE(prefix_mgmt_az1_cidr,"73.10"))</f>
        <v>10.13.73.10</v>
      </c>
      <c r="Q77" s="8" t="str">
        <f>IF(cluster_wld_domain_chosen="VI Workload Domain",CONCATENATE(prefix_wld_az1_cidr,"84.10"),CONCATENATE(prefix_mgmt_az1_cidr,"84.10"))</f>
        <v>10.13.84.10</v>
      </c>
      <c r="T77" s="8" t="str">
        <f>IF(cluster_wld_domain_chosen="VI Workload Domain",CONCATENATE(prefix_wld_az1_cidr,"95.10"),CONCATENATE(prefix_mgmt_az1_cidr,"95.10"))</f>
        <v>10.13.95.10</v>
      </c>
    </row>
    <row r="78" spans="1:20" ht="15.45" x14ac:dyDescent="0.35">
      <c r="A78" s="4" t="s">
        <v>172</v>
      </c>
      <c r="B78" s="8" t="str">
        <f>IF(cluster_wld_domain_chosen="VI Workload Domain",IF(mgmt_domain_chosen="First Instance",CONCATENATE(asn_start,asn_instance,asn_wld_az1,2),IF(wld_nsxt_federation_result="Included",CONCATENATE(asn_start,asn_instance,asn_wld_az1,2),CONCATENATE(asn_start,asn_instance,asn_mgmt_az1,2))),IF(mgmt_domain_chosen="First Instance",CONCATENATE(asn_start,asn_instance,asn_mgmt_az1,2),IF(mgmt_nsxt_federation_result="Included",CONCATENATE(asn_start,asn_instance,asn_mgmt_az1,2),CONCATENATE(asn_start,asn_instance,asn_mgmt_az1,2))))</f>
        <v>65132</v>
      </c>
      <c r="E78" s="8" t="str">
        <f>IF(cluster_wld_domain_chosen="VI Workload Domain",IF(mgmt_domain_chosen="First Instance",CONCATENATE(asn_start,asn_instance,asn_wld_az1,3),IF(wld_nsxt_federation_result="Included",CONCATENATE(asn_start,asn_instance,asn_wld_az1,3),CONCATENATE(asn_start,asn_instance,asn_mgmt_az1,3))),IF(mgmt_domain_chosen="First Instance",CONCATENATE(asn_start,asn_instance,asn_mgmt_az1,3),IF(mgmt_nsxt_federation_result="Included",CONCATENATE(asn_start,asn_instance,asn_mgmt_az1,3),CONCATENATE(asn_start,asn_instance,asn_mgmt_az1,3))))</f>
        <v>65133</v>
      </c>
      <c r="H78" s="8" t="str">
        <f>IF(cluster_wld_domain_chosen="VI Workload Domain",IF(mgmt_domain_chosen="First Instance",CONCATENATE(asn_start,asn_instance,asn_wld_az1,4),IF(wld_nsxt_federation_result="Included",CONCATENATE(asn_start,asn_instance,asn_wld_az1,4),CONCATENATE(asn_start,asn_instance,asn_mgmt_az1,4))),IF(mgmt_domain_chosen="First Instance",CONCATENATE(asn_start,asn_instance,asn_mgmt_az1,4),IF(mgmt_nsxt_federation_result="Included",CONCATENATE(asn_start,asn_instance,asn_mgmt_az1,4),CONCATENATE(asn_start,asn_instance,asn_mgmt_az1,4))))</f>
        <v>65134</v>
      </c>
      <c r="K78" s="8" t="str">
        <f>IF(cluster_wld_domain_chosen="VI Workload Domain",IF(mgmt_domain_chosen="First Instance",CONCATENATE(asn_start,asn_instance,asn_wld_az1,5),IF(wld_nsxt_federation_result="Included",CONCATENATE(asn_start,asn_instance,asn_wld_az1,5),CONCATENATE(asn_start,asn_instance,asn_mgmt_az1,5))),IF(mgmt_domain_chosen="First Instance",CONCATENATE(asn_start,asn_instance,asn_mgmt_az1,5),IF(mgmt_nsxt_federation_result="Included",CONCATENATE(asn_start,asn_instance,asn_mgmt_az1,5),CONCATENATE(asn_start,asn_instance,asn_mgmt_az1,5))))</f>
        <v>65135</v>
      </c>
      <c r="N78" s="8" t="str">
        <f>IF(cluster_wld_domain_chosen="VI Workload Domain",IF(mgmt_domain_chosen="First Instance",CONCATENATE(asn_start,asn_instance,asn_wld_az1,6),IF(wld_nsxt_federation_result="Included",CONCATENATE(asn_start,asn_instance,asn_wld_az1,6),CONCATENATE(asn_start,asn_instance,asn_mgmt_az1,6))),IF(mgmt_domain_chosen="First Instance",CONCATENATE(asn_start,asn_instance,asn_mgmt_az1,6),IF(mgmt_nsxt_federation_result="Included",CONCATENATE(asn_start,asn_instance,asn_mgmt_az1,6),CONCATENATE(asn_start,asn_instance,asn_mgmt_az1,6))))</f>
        <v>65136</v>
      </c>
      <c r="Q78" s="8" t="str">
        <f>IF(cluster_wld_domain_chosen="VI Workload Domain",IF(mgmt_domain_chosen="First Instance",CONCATENATE(asn_start,asn_instance,asn_wld_az1,7),IF(wld_nsxt_federation_result="Included",CONCATENATE(asn_start,asn_instance,asn_wld_az1,7),CONCATENATE(asn_start,asn_instance,asn_mgmt_az1,7))),IF(mgmt_domain_chosen="First Instance",CONCATENATE(asn_start,asn_instance,asn_mgmt_az1,7),IF(mgmt_nsxt_federation_result="Included",CONCATENATE(asn_start,asn_instance,asn_mgmt_az1,7),CONCATENATE(asn_start,asn_instance,asn_mgmt_az1,7))))</f>
        <v>65137</v>
      </c>
      <c r="T78" s="8" t="str">
        <f>IF(cluster_wld_domain_chosen="VI Workload Domain",IF(mgmt_domain_chosen="First Instance",CONCATENATE(asn_start,asn_instance,asn_wld_az1,8),IF(wld_nsxt_federation_result="Included",CONCATENATE(asn_start,asn_instance,asn_wld_az1,8),CONCATENATE(asn_start,asn_instance,asn_mgmt_az1,8))),IF(mgmt_domain_chosen="First Instance",CONCATENATE(asn_start,asn_instance,asn_mgmt_az1,8),IF(mgmt_nsxt_federation_result="Included",CONCATENATE(asn_start,asn_instance,asn_mgmt_az1,8),CONCATENATE(asn_start,asn_instance,asn_mgmt_az1,8))))</f>
        <v>65138</v>
      </c>
    </row>
    <row r="79" spans="1:20" ht="15.45" x14ac:dyDescent="0.35">
      <c r="A79" s="4" t="s">
        <v>173</v>
      </c>
      <c r="B79" s="8" t="s">
        <v>30</v>
      </c>
      <c r="E79" s="8" t="s">
        <v>30</v>
      </c>
      <c r="H79" s="8" t="s">
        <v>30</v>
      </c>
      <c r="K79" s="8" t="s">
        <v>30</v>
      </c>
      <c r="N79" s="8" t="s">
        <v>30</v>
      </c>
      <c r="Q79" s="8" t="s">
        <v>30</v>
      </c>
      <c r="T79" s="8" t="s">
        <v>30</v>
      </c>
    </row>
  </sheetData>
  <mergeCells count="5">
    <mergeCell ref="P7:S7"/>
    <mergeCell ref="P10:S10"/>
    <mergeCell ref="P16:S16"/>
    <mergeCell ref="P13:S13"/>
    <mergeCell ref="P21:S21"/>
  </mergeCells>
  <conditionalFormatting sqref="A20">
    <cfRule type="expression" dxfId="1667" priority="64">
      <formula>AND((VRLI_Result="Excluded"),(VROPS_Result="Excluded"),(VRA_Result="Excluded"))</formula>
    </cfRule>
  </conditionalFormatting>
  <conditionalFormatting sqref="A15:C15">
    <cfRule type="expression" dxfId="1666" priority="57" stopIfTrue="1">
      <formula>iam_result="Excluded"</formula>
    </cfRule>
  </conditionalFormatting>
  <conditionalFormatting sqref="A16:C17">
    <cfRule type="expression" dxfId="1665" priority="60">
      <formula>AND((iam_result="Excluded"),(intelligent_operations_result="Excluded"),(intelligent_logging_result="Excluded"),(private_cloud_result="Excluded"))</formula>
    </cfRule>
  </conditionalFormatting>
  <conditionalFormatting sqref="B9">
    <cfRule type="containsBlanks" dxfId="1664" priority="9">
      <formula>LEN(TRIM(B9))=0</formula>
    </cfRule>
    <cfRule type="notContainsBlanks" dxfId="1663" priority="10">
      <formula>LEN(TRIM(B9))&gt;0</formula>
    </cfRule>
  </conditionalFormatting>
  <conditionalFormatting sqref="B9:C9">
    <cfRule type="expression" dxfId="1662" priority="6">
      <formula>vrslcm_result="Excluded"</formula>
    </cfRule>
  </conditionalFormatting>
  <conditionalFormatting sqref="C9">
    <cfRule type="expression" dxfId="1661" priority="7">
      <formula>AND((OR((spr_chosen="Management Only"),(spr_chosen="Management &amp; VI Workload"))),(ISBLANK(input_xregion_ntp2_server)))</formula>
    </cfRule>
  </conditionalFormatting>
  <conditionalFormatting sqref="C11:C14">
    <cfRule type="notContainsBlanks" dxfId="1660" priority="63">
      <formula>LEN(TRIM(C11))&gt;0</formula>
    </cfRule>
  </conditionalFormatting>
  <conditionalFormatting sqref="C11:C17">
    <cfRule type="containsBlanks" dxfId="1659" priority="61">
      <formula>LEN(TRIM(C11))=0</formula>
    </cfRule>
  </conditionalFormatting>
  <conditionalFormatting sqref="C12">
    <cfRule type="expression" dxfId="1658" priority="56">
      <formula>AND((mgmt_stretched_cluster_result="Excluded"),(wld_stretched_cluster_result="Excluded"))</formula>
    </cfRule>
  </conditionalFormatting>
  <conditionalFormatting sqref="C18">
    <cfRule type="containsBlanks" dxfId="1657" priority="59">
      <formula>LEN(TRIM(C18))=0</formula>
    </cfRule>
  </conditionalFormatting>
  <conditionalFormatting sqref="C19 R22:R26 R40:R41">
    <cfRule type="expression" dxfId="1656" priority="62">
      <formula>AND((OR((spr_chosen="Management Only"),(spr_chosen="Management &amp; VI Workload"))),(ISBLANK(input_xregion_ntp2_server)))</formula>
    </cfRule>
  </conditionalFormatting>
  <conditionalFormatting sqref="Q8:Q9 Q22:Q26 Q37:Q38">
    <cfRule type="notContainsBlanks" dxfId="1655" priority="55">
      <formula>LEN(TRIM(Q8))&gt;0</formula>
    </cfRule>
    <cfRule type="containsBlanks" dxfId="1654" priority="54">
      <formula>LEN(TRIM(Q8))=0</formula>
    </cfRule>
  </conditionalFormatting>
  <conditionalFormatting sqref="Q11:Q12">
    <cfRule type="containsBlanks" dxfId="1653" priority="51">
      <formula>LEN(TRIM(Q11))=0</formula>
    </cfRule>
    <cfRule type="notContainsBlanks" dxfId="1652" priority="52">
      <formula>LEN(TRIM(Q11))&gt;0</formula>
    </cfRule>
  </conditionalFormatting>
  <conditionalFormatting sqref="Q14:Q15">
    <cfRule type="containsBlanks" dxfId="1651" priority="39">
      <formula>LEN(TRIM(Q14))=0</formula>
    </cfRule>
    <cfRule type="notContainsBlanks" dxfId="1650" priority="40">
      <formula>LEN(TRIM(Q14))&gt;0</formula>
    </cfRule>
  </conditionalFormatting>
  <conditionalFormatting sqref="Q17:Q20">
    <cfRule type="containsBlanks" dxfId="1649" priority="48">
      <formula>LEN(TRIM(Q17))=0</formula>
    </cfRule>
    <cfRule type="notContainsBlanks" dxfId="1648" priority="49">
      <formula>LEN(TRIM(Q17))&gt;0</formula>
    </cfRule>
  </conditionalFormatting>
  <conditionalFormatting sqref="Q28:Q32">
    <cfRule type="containsBlanks" dxfId="1647" priority="27">
      <formula>LEN(TRIM(Q28))=0</formula>
    </cfRule>
    <cfRule type="notContainsBlanks" dxfId="1646" priority="28">
      <formula>LEN(TRIM(Q28))&gt;0</formula>
    </cfRule>
  </conditionalFormatting>
  <conditionalFormatting sqref="Q34:Q35">
    <cfRule type="containsBlanks" dxfId="1645" priority="22">
      <formula>LEN(TRIM(Q34))=0</formula>
    </cfRule>
    <cfRule type="notContainsBlanks" dxfId="1644" priority="23">
      <formula>LEN(TRIM(Q34))&gt;0</formula>
    </cfRule>
  </conditionalFormatting>
  <conditionalFormatting sqref="Q40:Q41">
    <cfRule type="notContainsBlanks" dxfId="1643" priority="16">
      <formula>LEN(TRIM(Q40))&gt;0</formula>
    </cfRule>
    <cfRule type="containsBlanks" dxfId="1642" priority="15">
      <formula>LEN(TRIM(Q40))=0</formula>
    </cfRule>
  </conditionalFormatting>
  <conditionalFormatting sqref="Q43:Q46">
    <cfRule type="containsBlanks" dxfId="1641" priority="3">
      <formula>LEN(TRIM(Q43))=0</formula>
    </cfRule>
    <cfRule type="notContainsBlanks" dxfId="1640" priority="4">
      <formula>LEN(TRIM(Q43))&gt;0</formula>
    </cfRule>
    <cfRule type="expression" dxfId="1639" priority="5">
      <formula>vrslcm_result="Excluded"</formula>
    </cfRule>
  </conditionalFormatting>
  <conditionalFormatting sqref="Q11:R12">
    <cfRule type="expression" dxfId="1638" priority="43">
      <formula>vrslcm_result="Excluded"</formula>
    </cfRule>
  </conditionalFormatting>
  <conditionalFormatting sqref="Q14:R15">
    <cfRule type="expression" dxfId="1637" priority="36">
      <formula>vrslcm_result="Excluded"</formula>
    </cfRule>
  </conditionalFormatting>
  <conditionalFormatting sqref="Q17:R20">
    <cfRule type="expression" dxfId="1636" priority="41">
      <formula>vrslcm_result="Excluded"</formula>
    </cfRule>
  </conditionalFormatting>
  <conditionalFormatting sqref="Q22:R24 Q26:R26 Q37:Q38 A13:C14 A18:C19">
    <cfRule type="expression" dxfId="1635" priority="58">
      <formula>vrslcm_result="Excluded"</formula>
    </cfRule>
  </conditionalFormatting>
  <conditionalFormatting sqref="Q25:R25">
    <cfRule type="expression" dxfId="1634" priority="11">
      <formula>vrslcm_result="Excluded"</formula>
    </cfRule>
  </conditionalFormatting>
  <conditionalFormatting sqref="Q28:R32">
    <cfRule type="expression" dxfId="1633" priority="24">
      <formula>vrslcm_result="Excluded"</formula>
    </cfRule>
  </conditionalFormatting>
  <conditionalFormatting sqref="Q34:R35">
    <cfRule type="expression" dxfId="1632" priority="19">
      <formula>vrslcm_result="Excluded"</formula>
    </cfRule>
  </conditionalFormatting>
  <conditionalFormatting sqref="Q40:R41 Q8:R9">
    <cfRule type="expression" dxfId="1631" priority="45">
      <formula>vrslcm_result="Excluded"</formula>
    </cfRule>
  </conditionalFormatting>
  <conditionalFormatting sqref="R8:R9">
    <cfRule type="expression" dxfId="1630" priority="46">
      <formula>AND((OR((spr_chosen="Management Only"),(spr_chosen="Management &amp; VI Workload"))),(ISBLANK(input_xregion_ntp2_server)))</formula>
    </cfRule>
  </conditionalFormatting>
  <conditionalFormatting sqref="R11:R12">
    <cfRule type="expression" dxfId="1629" priority="44">
      <formula>AND((OR((spr_chosen="Management Only"),(spr_chosen="Management &amp; VI Workload"))),(ISBLANK(input_xregion_ntp2_server)))</formula>
    </cfRule>
  </conditionalFormatting>
  <conditionalFormatting sqref="R14:R15">
    <cfRule type="expression" dxfId="1628" priority="37">
      <formula>AND((OR((spr_chosen="Management Only"),(spr_chosen="Management &amp; VI Workload"))),(ISBLANK(input_xregion_ntp2_server)))</formula>
    </cfRule>
  </conditionalFormatting>
  <conditionalFormatting sqref="R17:R20">
    <cfRule type="expression" dxfId="1627" priority="42">
      <formula>AND((OR((spr_chosen="Management Only"),(spr_chosen="Management &amp; VI Workload"))),(ISBLANK(input_xregion_ntp2_server)))</formula>
    </cfRule>
  </conditionalFormatting>
  <conditionalFormatting sqref="R28:R32">
    <cfRule type="expression" dxfId="1626" priority="33">
      <formula>AND((OR((spr_chosen="Management Only"),(spr_chosen="Management &amp; VI Workload"))),(ISBLANK(input_xregion_ntp2_server)))</formula>
    </cfRule>
  </conditionalFormatting>
  <conditionalFormatting sqref="R34:R35">
    <cfRule type="expression" dxfId="1625" priority="20">
      <formula>AND((OR((spr_chosen="Management Only"),(spr_chosen="Management &amp; VI Workload"))),(ISBLANK(input_xregion_ntp2_server)))</formula>
    </cfRule>
  </conditionalFormatting>
  <conditionalFormatting sqref="R37:R38">
    <cfRule type="expression" dxfId="1624" priority="12">
      <formula>vrslcm_result="Excluded"</formula>
    </cfRule>
    <cfRule type="expression" dxfId="1623" priority="13">
      <formula>AND((OR((spr_chosen="Management Only"),(spr_chosen="Management &amp; VI Workload"))),(ISBLANK(input_xregion_ntp2_server)))</formula>
    </cfRule>
  </conditionalFormatting>
  <conditionalFormatting sqref="R43:R46">
    <cfRule type="expression" dxfId="1622" priority="1">
      <formula>vrslcm_result="Excluded"</formula>
    </cfRule>
    <cfRule type="expression" dxfId="1621" priority="2">
      <formula>AND((OR((spr_chosen="Management Only"),(spr_chosen="Management &amp; VI Workload"))),(ISBLANK(input_xregion_ntp2_server)))</formula>
    </cfRule>
  </conditionalFormatting>
  <dataValidations count="3">
    <dataValidation type="list" allowBlank="1" showInputMessage="1" showErrorMessage="1" sqref="C65:C67 F65:F67 I65:I67 L65:L67 O65:O67 R65:R67 U65:U67" xr:uid="{B13B4DB8-4DCC-2047-88E4-EBB71F90E5ED}">
      <formula1>table_masks</formula1>
    </dataValidation>
    <dataValidation type="list" allowBlank="1" showInputMessage="1" showErrorMessage="1" sqref="P5" xr:uid="{D9CA96D6-0B09-7049-8F2F-27EB49188218}">
      <formula1>"Use a separate dedicated network, Use VM management network"</formula1>
    </dataValidation>
    <dataValidation type="list" allowBlank="1" showInputMessage="1" showErrorMessage="1" sqref="P4" xr:uid="{F0B8BCB7-A9F8-3740-A871-168E331CAB86}">
      <formula1>"small,medium,large"</formula1>
    </dataValidation>
  </dataValidations>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3677-57D8-E840-B7A4-080BCCBD88FE}">
  <sheetPr codeName="Sheet18">
    <tabColor theme="7" tint="0.59999389629810485"/>
  </sheetPr>
  <dimension ref="A1:J558"/>
  <sheetViews>
    <sheetView showGridLines="0" workbookViewId="0">
      <pane ySplit="8" topLeftCell="A9" activePane="bottomLeft" state="frozen"/>
      <selection pane="bottomLeft"/>
    </sheetView>
  </sheetViews>
  <sheetFormatPr defaultColWidth="10.85546875" defaultRowHeight="15" x14ac:dyDescent="0.35"/>
  <cols>
    <col min="1" max="1" width="2.85546875" style="8" customWidth="1"/>
    <col min="2" max="4" width="75.85546875" style="2" customWidth="1"/>
    <col min="5" max="5" width="125.85546875" style="8" customWidth="1"/>
    <col min="6" max="13" width="10.85546875" style="8" customWidth="1"/>
    <col min="14" max="16384" width="10.85546875" style="8"/>
  </cols>
  <sheetData>
    <row r="1" spans="1:10" s="2" customFormat="1" ht="16" customHeight="1" x14ac:dyDescent="0.35">
      <c r="A1" s="1"/>
      <c r="F1" s="8"/>
      <c r="G1" s="8"/>
      <c r="H1" s="8"/>
      <c r="I1" s="8"/>
      <c r="J1" s="8"/>
    </row>
    <row r="2" spans="1:10" s="2" customFormat="1" ht="54" customHeight="1" x14ac:dyDescent="0.35">
      <c r="B2" s="550" t="s">
        <v>1026</v>
      </c>
      <c r="C2" s="551"/>
      <c r="D2" s="551"/>
      <c r="E2" s="552"/>
      <c r="F2" s="8"/>
      <c r="G2" s="8"/>
      <c r="H2" s="8"/>
      <c r="I2" s="8"/>
      <c r="J2" s="8"/>
    </row>
    <row r="3" spans="1:10" s="2" customFormat="1" ht="20.05" customHeight="1" x14ac:dyDescent="0.35">
      <c r="B3" s="553" t="s">
        <v>756</v>
      </c>
      <c r="C3" s="554"/>
      <c r="D3" s="554"/>
      <c r="E3" s="555"/>
      <c r="F3" s="8"/>
      <c r="G3" s="8"/>
      <c r="H3" s="8"/>
      <c r="I3" s="8"/>
      <c r="J3" s="8"/>
    </row>
    <row r="4" spans="1:10" s="2" customFormat="1" x14ac:dyDescent="0.45">
      <c r="B4" s="2" t="s">
        <v>1027</v>
      </c>
      <c r="D4" s="10"/>
      <c r="E4" s="3"/>
      <c r="F4" s="3"/>
    </row>
    <row r="5" spans="1:10" ht="20.05" customHeight="1" x14ac:dyDescent="0.35">
      <c r="B5" s="169" t="s">
        <v>3</v>
      </c>
      <c r="C5" s="169" t="s">
        <v>1028</v>
      </c>
      <c r="D5" s="169" t="s">
        <v>5</v>
      </c>
      <c r="E5" s="169" t="s">
        <v>6</v>
      </c>
    </row>
    <row r="6" spans="1:10" s="19" customFormat="1" ht="10" customHeight="1" x14ac:dyDescent="0.35">
      <c r="B6" s="170"/>
      <c r="C6" s="170"/>
      <c r="D6" s="170"/>
      <c r="E6" s="170"/>
    </row>
    <row r="7" spans="1:10" ht="20.05" customHeight="1" x14ac:dyDescent="0.35">
      <c r="B7" s="169" t="s">
        <v>1029</v>
      </c>
      <c r="C7" s="122"/>
      <c r="D7" s="122"/>
      <c r="E7" s="122"/>
    </row>
    <row r="9" spans="1:10" ht="34" customHeight="1" x14ac:dyDescent="0.35">
      <c r="B9" s="521" t="s">
        <v>1030</v>
      </c>
      <c r="C9" s="522"/>
      <c r="D9" s="522"/>
      <c r="E9" s="523"/>
    </row>
    <row r="10" spans="1:10" ht="20.05" customHeight="1" x14ac:dyDescent="0.35">
      <c r="B10" s="346" t="s">
        <v>9</v>
      </c>
      <c r="C10" s="346" t="s">
        <v>10</v>
      </c>
      <c r="D10" s="346" t="s">
        <v>11</v>
      </c>
      <c r="E10" s="346" t="s">
        <v>12</v>
      </c>
    </row>
    <row r="11" spans="1:10" ht="20.05" customHeight="1" x14ac:dyDescent="0.35">
      <c r="B11" s="355" t="s">
        <v>13</v>
      </c>
      <c r="C11" s="337" t="s">
        <v>3</v>
      </c>
      <c r="D11" s="112" t="str">
        <f>IF(mgmt_domain_deployment_type_chosen="VMware vSphere Foundation","Excluded",
IF(mgmt_signed_certs_result="Excluded","Excluded",
IF(wld_signed_certs_chosen="Exclude","Excluded",IF(wld_domain_result="Included","Included","Excluded"))))</f>
        <v>Excluded</v>
      </c>
      <c r="E11" s="112" t="str">
        <f>IF(mgmt_domain_deployment_type_chosen="VMware vSphere Foundation","Cannot be performed on a VMware vSphere Foundation deployment",
IF(vcf_granular_option_chosen="Create Cluster","Create VI Workload Domain or Deploy a new VCF fleet not selected on VCF &amp; VVF Planning Tab",
IF(wld_domain_result="Excluded","Cause: Standard VI Workload Domain Required",
IF(vcf_granular_option_chosen="None Chosen","No Deployment Type Chosen",
IF(wld_signed_certs_chosen="Exclude","Cause: Not Selected. Signed certificates will not be deployed.",
IF(mgmt_signed_certs_result="Excluded","Cause: Management Domain Apply Signed Certificates not included",
IF(mgmt_signed_certs_chosen="Microsoft CA","Microsoft CA based signed certificates will be deployed Note: Ensure Managment Domain Sign Cert are configured ","OpenSSL CA based signed certificates will be deployed Note: Ensure Managment Domain Sign Cert are configured")))))))</f>
        <v>Cause: Standard VI Workload Domain Required</v>
      </c>
    </row>
    <row r="12" spans="1:10" ht="20.05" customHeight="1" x14ac:dyDescent="0.35">
      <c r="B12" s="355" t="s">
        <v>13</v>
      </c>
      <c r="C12" s="337" t="s">
        <v>1031</v>
      </c>
      <c r="D12" s="112" t="str">
        <f>IF(mgmt_domain_deployment_type_chosen="VMware vSphere Foundation","Excluded",
IF(wld_bgp_chosen="Exclude","Excluded",IF(wld_domain_result="Included","Included","Excluded")))</f>
        <v>Excluded</v>
      </c>
      <c r="E12" s="112" t="str">
        <f>IF(mgmt_domain_deployment_type_chosen="VMware vSphere Foundation","Cannot be performed on a VMware vSphere Foundation deployment",
IF(vcf_granular_option_chosen="None Chosen","No Deployment Type Chosen",
IF(wld_domain_result="Excluded","Cause: Standard VI Workload Domain Required",
IF(wld_bgp_chosen="Exclude","Cause: Not Selected. NSX Routing for VI Workload Domain will not be deployed",
IF(wld_domain_result="Excluded","Cause: Standard VI Workload Domain Required",
IF(wld_bgp_chosen="Centralized Connectivity","NSX Edge cluster will be created. EBGP will be used Suitable for environments where you need the full-scale of the NSX services.","Suitable for environments where you need a streamlined network configuration with limited NSX networking services"))))))</f>
        <v>Cause: Standard VI Workload Domain Required</v>
      </c>
    </row>
    <row r="13" spans="1:10" ht="20.05" customHeight="1" x14ac:dyDescent="0.35">
      <c r="B13" s="125" t="s">
        <v>13</v>
      </c>
      <c r="C13" s="337" t="s">
        <v>5</v>
      </c>
      <c r="D13" s="112"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Domain",vcf_granular_option_chosen&lt;&gt;"One or More VVDs"),"Excluded",
IF(wld_avi_loadbalancer_chosen="Exclude","Excluded",IF(wld_domain_result="Excluded","Excluded","Included"))))</f>
        <v>Excluded</v>
      </c>
      <c r="E13" s="112" t="str">
        <f>IF(mgmt_domain_deployment_type_chosen="VMware vSphere Foundation","Cannot be performed on a VMware vSphere Foundation deployment",
IF(vcf_granular_option_chosen="Create Cluster","Cause: Standard VI Workload Domain Required",
IF(wld_domain_result="Excluded","Cause: Standard VI Workload Domain Required",
IF(vcf_granular_option_chosen="None Chosen","No Deployment Type Chosen",
IF(wld_avi_loadbalancer_chosen="Exclude","Cause: Not Selected. AVI Load Balancer will not be deployed","AVI Load Balancer will be deployed")))))</f>
        <v>Cause: Standard VI Workload Domain Required</v>
      </c>
    </row>
    <row r="14" spans="1:10" ht="20.05" customHeight="1" x14ac:dyDescent="0.35">
      <c r="B14" s="355" t="s">
        <v>13</v>
      </c>
      <c r="C14" s="112" t="s">
        <v>6</v>
      </c>
      <c r="D14" s="171" t="str">
        <f>IF(mgmt_domain_deployment_type_chosen="VMware vSphere Foundation","Excluded",
IF(wld_stretched_cluster_chosen="Exclude","Excluded",
IF(AND(wld_stretched_cluster_chosen="Include",AND(wld_principal_storage_chosen&lt;&gt;"vSAN-ESA",wld_principal_storage_chosen&lt;&gt;"vSAN-OSA",wld_principal_storage_chosen&lt;&gt;"vSAN Compute Cluster",wld_principal_storage_chosen&lt;&gt;"vSAN Storage Cluster")),"Excluded",
IF(AND((wld_domain_result="Included"),(wld_multirack_result="Included")),"Excluded",
IF(wld_domain_result="Excluded","Excluded",
IF(wld_iaas_chosen="Include","Excluded","Included"))))))</f>
        <v>Excluded</v>
      </c>
      <c r="E14" s="112" t="str">
        <f>IF(mgmt_domain_deployment_type_chosen="VMware vSphere Foundation","Cannot be performed on a VMware vSphere Foundation deployment",
IF(vcf_granular_option_chosen="None Chosen","No Deployment Type Chosen",
IF(wld_domain_result="Excluded","Cause: Standard VI Workload Domain Required",
IF(AND(wld_stretched_cluster_chosen="Include",AND(wld_principal_storage_chosen&lt;&gt;"vSAN-ESA",wld_principal_storage_chosen&lt;&gt;"vSAN-OSA",wld_principal_storage_chosen&lt;&gt;"vSAN Compute Cluster",wld_principal_storage_chosen&lt;&gt;"vSAN Storage Cluster")),"Stretched Cluster is only supported with vSAN as Principal Storage, vSAN Compute Clusters and vSAN Storage Clusters",
IF(wld_stretched_cluster_chosen="Exclude","Cause: Not Selected. Stretched Cluster will not be deployed.",
IF(wld_domain_result="Excluded","Cause: Standard VI Workload Domain Required",
IF(wld_iaas_chosen="Include","Cause: vSphere Supervisor should be enabled after the you completed the stretched cluster configuration",
IF(mgmt_stretched_cluster_chosen="Exclude","Note: Ensure MGMT Workload Domain is stretched ",
IF(AND((wld_domain_result="Included"),(wld_multirack_result&lt;&gt;"Excluded")),"Cause: Stretched Cluster is not supported with Multi Rack Layer 3 Cluster",
IF(wld_bgp_chosen="VLAN-Backed","Note: VLAN-backed routing requires L2 stretched VM Networks. Consider Overlay-backed instead.","Stretched Cluster will be deployed"))))))))))</f>
        <v>Cause: Standard VI Workload Domain Required</v>
      </c>
    </row>
    <row r="15" spans="1:10" ht="20.05" customHeight="1" x14ac:dyDescent="0.35">
      <c r="B15" s="355" t="s">
        <v>13</v>
      </c>
      <c r="C15" s="337" t="s">
        <v>1032</v>
      </c>
      <c r="D15" s="112" t="str">
        <f>IF(mgmt_domain_deployment_type_chosen="VMware vSphere Foundation","Excluded",
IF(wld_nsxt_federation_chosen="Exclude","Excluded",
IF(AND((wld_nsxt_federation_chosen&lt;&gt;"Exclude"),(wld_multirack_calc="Include")),"Excluded",(IF(AND((wld_bgp_chosen="Centralized Connectivity"),(wld_bgp_result="Included")),"Included","Excluded")))))</f>
        <v>Excluded</v>
      </c>
      <c r="E15" s="112" t="str">
        <f>IF(mgmt_domain_deployment_type_chosen="VMware vSphere Foundation","Cannot be performed on a VMware vSphere Foundation deployment",
IF(vcf_granular_option_chosen="None Chosen","No Deployment Type Chosen",
IF(wld_domain_result="Excluded","Cause: Standard VI Workload Domain Required",
IF(wld_nsxt_federation_chosen="Exclude","Cause: Not Selected. NSX Federation for VI Workload Domain will not be deployed.",IF(wld_domain_result="Excluded","Cause: Standard VI Workload Domain Required",
IF(wld_bgp_chosen&lt;&gt;"Centralized Connectivity","Cause: NSX Centralized Connectivity for Wokrload Domain Required",
IF(AND((wld_nsxt_federation_chosen&lt;&gt;"Exclude"),(wld_multirack_calc="Include")),"Casue: NSX Federation is not supported with Multirack","NSX Federation is will be deployed")))))))</f>
        <v>Cause: Standard VI Workload Domain Required</v>
      </c>
    </row>
    <row r="16" spans="1:10" ht="16" customHeight="1" x14ac:dyDescent="0.35"/>
    <row r="17" spans="2:5" ht="34" customHeight="1" x14ac:dyDescent="0.35">
      <c r="B17" s="556" t="s">
        <v>3</v>
      </c>
      <c r="C17" s="557"/>
      <c r="D17" s="557"/>
      <c r="E17" s="557"/>
    </row>
    <row r="18" spans="2:5" ht="20.05" customHeight="1" x14ac:dyDescent="0.35">
      <c r="B18" s="561" t="s">
        <v>1033</v>
      </c>
      <c r="C18" s="561"/>
      <c r="D18" s="561"/>
      <c r="E18" s="561"/>
    </row>
    <row r="19" spans="2:5" ht="20.05" customHeight="1" x14ac:dyDescent="0.35">
      <c r="B19" s="346" t="s">
        <v>17</v>
      </c>
      <c r="C19" s="346" t="s">
        <v>18</v>
      </c>
      <c r="D19" s="346" t="s">
        <v>19</v>
      </c>
      <c r="E19" s="346" t="s">
        <v>20</v>
      </c>
    </row>
    <row r="20" spans="2:5" ht="20.05" customHeight="1" x14ac:dyDescent="0.45">
      <c r="B20" s="4" t="s">
        <v>56</v>
      </c>
      <c r="C20" s="362" t="str">
        <f>sample_ca_algorithm</f>
        <v>RSA</v>
      </c>
      <c r="D20" s="337" t="str">
        <f>ca_algorithm</f>
        <v>Value Missing</v>
      </c>
      <c r="E20" s="304" t="str">
        <f>IF(wld_signed_certs_result="Included","Values are defined in the Management Domain Post Deploy Tab - Click to link","")</f>
        <v/>
      </c>
    </row>
    <row r="21" spans="2:5" ht="20.05" customHeight="1" x14ac:dyDescent="0.35">
      <c r="B21" s="4" t="s">
        <v>70</v>
      </c>
      <c r="C21" s="362">
        <f>sample_ca_key_size</f>
        <v>4096</v>
      </c>
      <c r="D21" s="337" t="str">
        <f>ca_key_size</f>
        <v>Value Missing</v>
      </c>
      <c r="E21" s="4"/>
    </row>
    <row r="22" spans="2:5" ht="20.05" customHeight="1" x14ac:dyDescent="0.35">
      <c r="B22" s="4" t="s">
        <v>68</v>
      </c>
      <c r="C22" s="362" t="str">
        <f>sample_ca_email_address</f>
        <v>administrator@rainpole.io</v>
      </c>
      <c r="D22" s="337" t="str">
        <f>ca_email_address</f>
        <v>Value Missing</v>
      </c>
      <c r="E22" s="4"/>
    </row>
    <row r="23" spans="2:5" ht="20.05" customHeight="1" x14ac:dyDescent="0.35">
      <c r="B23" s="4" t="s">
        <v>60</v>
      </c>
      <c r="C23" s="362" t="str">
        <f>sample_ca_organization_unit</f>
        <v>Rainpole</v>
      </c>
      <c r="D23" s="337" t="str">
        <f>ca_organization_unit</f>
        <v>Value Missing</v>
      </c>
      <c r="E23" s="4"/>
    </row>
    <row r="24" spans="2:5" ht="20.05" customHeight="1" x14ac:dyDescent="0.35">
      <c r="B24" s="4" t="s">
        <v>75</v>
      </c>
      <c r="C24" s="362" t="str">
        <f>sample_ca_organization</f>
        <v>IT</v>
      </c>
      <c r="D24" s="337" t="str">
        <f>ca_organization</f>
        <v>Value Missing</v>
      </c>
      <c r="E24" s="4"/>
    </row>
    <row r="25" spans="2:5" ht="20.05" customHeight="1" x14ac:dyDescent="0.35">
      <c r="B25" s="4" t="s">
        <v>66</v>
      </c>
      <c r="C25" s="362" t="str">
        <f>sample_ca_locality</f>
        <v>San Francisco</v>
      </c>
      <c r="D25" s="337" t="str">
        <f>ca_locality</f>
        <v>Value Missing</v>
      </c>
      <c r="E25" s="4"/>
    </row>
    <row r="26" spans="2:5" ht="20.05" customHeight="1" x14ac:dyDescent="0.35">
      <c r="B26" s="4" t="s">
        <v>64</v>
      </c>
      <c r="C26" s="362" t="str">
        <f>sample_ca_state</f>
        <v>CA</v>
      </c>
      <c r="D26" s="337" t="str">
        <f>ca_state</f>
        <v>Value Missing</v>
      </c>
      <c r="E26" s="4"/>
    </row>
    <row r="27" spans="2:5" ht="20.05" customHeight="1" x14ac:dyDescent="0.35">
      <c r="B27" s="4" t="s">
        <v>62</v>
      </c>
      <c r="C27" s="362" t="str">
        <f>sample_ca_country</f>
        <v>US</v>
      </c>
      <c r="D27" s="337" t="str">
        <f>ca_country</f>
        <v>Value Missing</v>
      </c>
      <c r="E27" s="4"/>
    </row>
    <row r="28" spans="2:5" ht="16" customHeight="1" x14ac:dyDescent="0.35"/>
    <row r="29" spans="2:5" ht="34" customHeight="1" x14ac:dyDescent="0.35">
      <c r="B29" s="529" t="s">
        <v>1034</v>
      </c>
      <c r="C29" s="530"/>
      <c r="D29" s="530"/>
      <c r="E29" s="531"/>
    </row>
    <row r="30" spans="2:5" ht="20.05" customHeight="1" x14ac:dyDescent="0.35">
      <c r="B30" s="462" t="s">
        <v>1035</v>
      </c>
      <c r="C30" s="463"/>
      <c r="D30" s="463"/>
      <c r="E30" s="464"/>
    </row>
    <row r="31" spans="2:5" ht="20.05" customHeight="1" x14ac:dyDescent="0.35">
      <c r="B31" s="346" t="s">
        <v>17</v>
      </c>
      <c r="C31" s="346" t="s">
        <v>18</v>
      </c>
      <c r="D31" s="346" t="s">
        <v>19</v>
      </c>
      <c r="E31" s="346" t="s">
        <v>20</v>
      </c>
    </row>
    <row r="32" spans="2:5" ht="20.05" customHeight="1" x14ac:dyDescent="0.35">
      <c r="B32" s="532" t="s">
        <v>82</v>
      </c>
      <c r="C32" s="533"/>
      <c r="D32" s="533"/>
      <c r="E32" s="534"/>
    </row>
    <row r="33" spans="2:5" ht="20.05" customHeight="1" x14ac:dyDescent="0.35">
      <c r="B33" s="4" t="s">
        <v>82</v>
      </c>
      <c r="C33" s="362" t="s">
        <v>83</v>
      </c>
      <c r="D33" s="337" t="str">
        <f>wld_bgp_chosen</f>
        <v>Exclude</v>
      </c>
      <c r="E33" s="4"/>
    </row>
    <row r="34" spans="2:5" ht="20.05" customHeight="1" x14ac:dyDescent="0.35">
      <c r="B34" s="532" t="s">
        <v>84</v>
      </c>
      <c r="C34" s="533"/>
      <c r="D34" s="533"/>
      <c r="E34" s="534"/>
    </row>
    <row r="35" spans="2:5" ht="20.05" customHeight="1" x14ac:dyDescent="0.35">
      <c r="B35" s="351" t="s">
        <v>85</v>
      </c>
      <c r="C35" s="362" t="str">
        <f>_xlfn.CONCAT(prefix_wld_az1_vlan,98)</f>
        <v>1398</v>
      </c>
      <c r="D35" s="347"/>
      <c r="E35" s="4"/>
    </row>
    <row r="36" spans="2:5" ht="20.05" customHeight="1" x14ac:dyDescent="0.35">
      <c r="B36" s="351" t="s">
        <v>86</v>
      </c>
      <c r="C36" s="362" t="str">
        <f>CONCATENATE(prefix_wld_az1_cidr,"98.1/24")</f>
        <v>10.13.98.1/24</v>
      </c>
      <c r="D36" s="347"/>
      <c r="E36" s="4"/>
    </row>
    <row r="37" spans="2:5" ht="20.05" customHeight="1" x14ac:dyDescent="0.35">
      <c r="B37" s="532" t="s">
        <v>88</v>
      </c>
      <c r="C37" s="533"/>
      <c r="D37" s="533"/>
      <c r="E37" s="534"/>
    </row>
    <row r="38" spans="2:5" ht="20.05" customHeight="1" x14ac:dyDescent="0.35">
      <c r="B38" s="4" t="s">
        <v>89</v>
      </c>
      <c r="C38" s="362" t="str">
        <f>CONCATENATE(this_instance,"-w0",wld_domain_number_chosen,"-ec01")</f>
        <v>sfo-w01-ec01</v>
      </c>
      <c r="D38" s="347"/>
      <c r="E38" s="4"/>
    </row>
    <row r="39" spans="2:5" ht="20.05" customHeight="1" x14ac:dyDescent="0.35">
      <c r="B39" s="4" t="s">
        <v>90</v>
      </c>
      <c r="C39" s="362">
        <v>1700</v>
      </c>
      <c r="D39" s="94"/>
      <c r="E39" s="337" t="s">
        <v>1036</v>
      </c>
    </row>
    <row r="40" spans="2:5" ht="20.05" customHeight="1" x14ac:dyDescent="0.35">
      <c r="B40" s="4" t="s">
        <v>92</v>
      </c>
      <c r="C40" s="362" t="s">
        <v>751</v>
      </c>
      <c r="D40" s="347" t="s">
        <v>751</v>
      </c>
      <c r="E40" s="4"/>
    </row>
    <row r="41" spans="2:5" ht="20.05" customHeight="1" x14ac:dyDescent="0.35">
      <c r="B41" s="532" t="s">
        <v>94</v>
      </c>
      <c r="C41" s="533"/>
      <c r="D41" s="533"/>
      <c r="E41" s="534"/>
    </row>
    <row r="42" spans="2:5" ht="20.05" customHeight="1" x14ac:dyDescent="0.35">
      <c r="B42" s="4" t="s">
        <v>95</v>
      </c>
      <c r="C42" s="172" t="str">
        <f>CONCATENATE(this_instance,"-w0",wld_domain_number_chosen,"-en01a",".",sample_child_dns_zone)</f>
        <v>sfo-w01-en01a.sfo.rainpole.io</v>
      </c>
      <c r="D42" s="173"/>
      <c r="E42" s="337"/>
    </row>
    <row r="43" spans="2:5" ht="20.05" customHeight="1" x14ac:dyDescent="0.35">
      <c r="B43" s="4" t="s">
        <v>96</v>
      </c>
      <c r="C43" s="362" t="str">
        <f>sample_wld_cl01_cluster</f>
        <v>sfo-w01-cl01</v>
      </c>
      <c r="D43" s="343" t="str">
        <f>wld_cl01_cluster</f>
        <v>Value Missing</v>
      </c>
      <c r="E43" s="319" t="s">
        <v>1037</v>
      </c>
    </row>
    <row r="44" spans="2:5" ht="20.05" customHeight="1" x14ac:dyDescent="0.35">
      <c r="B44" s="4" t="s">
        <v>98</v>
      </c>
      <c r="C44" s="362" t="str">
        <f>CONCATENATE(this_instance,"-w0",wld_domain_number_chosen,"-cl01-rp-ec01")</f>
        <v>sfo-w01-cl01-rp-ec01</v>
      </c>
      <c r="D44" s="94"/>
      <c r="E44" s="337" t="s">
        <v>99</v>
      </c>
    </row>
    <row r="45" spans="2:5" ht="20.05" customHeight="1" x14ac:dyDescent="0.35">
      <c r="B45" s="4" t="s">
        <v>100</v>
      </c>
      <c r="C45" s="362" t="s">
        <v>101</v>
      </c>
      <c r="D45" s="94" t="s">
        <v>101</v>
      </c>
      <c r="E45" s="337"/>
    </row>
    <row r="46" spans="2:5" ht="20.05" customHeight="1" x14ac:dyDescent="0.35">
      <c r="B46" s="4" t="s">
        <v>102</v>
      </c>
      <c r="C46" s="362" t="str">
        <f>CONCATENATE(sample_wld_sddc_domain,"-host-group-affinity-rule-ec01-en01a")</f>
        <v>sfo-w01-host-group-affinity-rule-ec01-en01a</v>
      </c>
      <c r="D46" s="94"/>
      <c r="E46" s="337" t="s">
        <v>1038</v>
      </c>
    </row>
    <row r="47" spans="2:5" ht="20.05" customHeight="1" x14ac:dyDescent="0.35">
      <c r="B47" s="4" t="s">
        <v>1039</v>
      </c>
      <c r="C47" s="362" t="str">
        <f>sample_wld_cl01_vsan_datastore</f>
        <v>sfo-w01-sfo-w01-cl01-vsan01</v>
      </c>
      <c r="D47" s="343" t="str">
        <f>wld_cl01_vsan_datastore</f>
        <v>Value Missing</v>
      </c>
      <c r="E47" s="319" t="s">
        <v>1040</v>
      </c>
    </row>
    <row r="48" spans="2:5" ht="20.05" customHeight="1" x14ac:dyDescent="0.35">
      <c r="B48" s="4" t="s">
        <v>105</v>
      </c>
      <c r="C48" s="89" t="s">
        <v>106</v>
      </c>
      <c r="D48" s="347" t="s">
        <v>106</v>
      </c>
      <c r="E48" s="337"/>
    </row>
    <row r="49" spans="2:5" ht="20.05" customHeight="1" x14ac:dyDescent="0.35">
      <c r="B49" s="4" t="s">
        <v>107</v>
      </c>
      <c r="C49" s="174" t="str">
        <f>sample_wld_cl01_az1_mgmt_vm_pg</f>
        <v>sfo-w01-cl01-vds01-pg-vm-mgmt</v>
      </c>
      <c r="D49" s="343" t="str">
        <f>wld_cl01_az1_mgmt_vm_pg</f>
        <v>Value Missing</v>
      </c>
      <c r="E49" s="319" t="s">
        <v>1041</v>
      </c>
    </row>
    <row r="50" spans="2:5" ht="20.05" customHeight="1" x14ac:dyDescent="0.35">
      <c r="B50" s="4" t="s">
        <v>109</v>
      </c>
      <c r="C50" s="174" t="str">
        <f>IF(wld_dpg_separation_result="Included",CONCATENATE(prefix_wld_az1_cidr,"10.135","/",INT(RIGHT(sample_wld_az1_mgmt_vm_cidr,LEN(sample_wld_az1_mgmt_vm_cidr)-FIND("/",sample_wld_az1_mgmt_vm_cidr)))),CONCATENATE(prefix_wld_az1_cidr,"11.135","/",INT(RIGHT(sample_wld_az1_mgmt_cidr,LEN(sample_wld_az1_mgmt_cidr)-FIND("/",sample_wld_az1_mgmt_cidr)))))</f>
        <v>10.13.10.135/24</v>
      </c>
      <c r="D50" s="347"/>
      <c r="E50" s="337"/>
    </row>
    <row r="51" spans="2:5" ht="20.05" customHeight="1" x14ac:dyDescent="0.35">
      <c r="B51" s="4" t="s">
        <v>110</v>
      </c>
      <c r="C51" s="174" t="str">
        <f>sample_wld_az1_mgmt_vm_gateway_ip</f>
        <v>10.13.10.1</v>
      </c>
      <c r="D51" s="337" t="str">
        <f>wld_az1_mgmt_vm_gateway_ip</f>
        <v>Value Missing</v>
      </c>
      <c r="E51" s="319" t="s">
        <v>1042</v>
      </c>
    </row>
    <row r="52" spans="2:5" ht="20.05" customHeight="1" x14ac:dyDescent="0.35">
      <c r="B52" s="4" t="s">
        <v>111</v>
      </c>
      <c r="C52" s="362" t="s">
        <v>112</v>
      </c>
      <c r="D52" s="94" t="s">
        <v>112</v>
      </c>
      <c r="E52" s="337"/>
    </row>
    <row r="53" spans="2:5" ht="20.05" customHeight="1" x14ac:dyDescent="0.35">
      <c r="B53" s="496" t="s">
        <v>1043</v>
      </c>
      <c r="C53" s="497"/>
      <c r="D53" s="497"/>
      <c r="E53" s="498"/>
    </row>
    <row r="54" spans="2:5" ht="20.05" customHeight="1" x14ac:dyDescent="0.35">
      <c r="B54" s="4" t="s">
        <v>114</v>
      </c>
      <c r="C54" s="362" t="s">
        <v>1044</v>
      </c>
      <c r="D54" s="94"/>
      <c r="E54" s="337"/>
    </row>
    <row r="55" spans="2:5" ht="20.05" customHeight="1" x14ac:dyDescent="0.35">
      <c r="B55" s="17" t="s">
        <v>114</v>
      </c>
      <c r="C55" s="362" t="s">
        <v>1045</v>
      </c>
      <c r="D55" s="94"/>
      <c r="E55" s="337"/>
    </row>
    <row r="56" spans="2:5" ht="20.05" customHeight="1" x14ac:dyDescent="0.35">
      <c r="B56" s="17" t="s">
        <v>117</v>
      </c>
      <c r="C56" s="362" t="s">
        <v>1045</v>
      </c>
      <c r="D56" s="94"/>
      <c r="E56" s="337"/>
    </row>
    <row r="57" spans="2:5" ht="20.05" customHeight="1" x14ac:dyDescent="0.35">
      <c r="B57" s="22" t="s">
        <v>117</v>
      </c>
      <c r="C57" s="362" t="s">
        <v>1044</v>
      </c>
      <c r="D57" s="94"/>
      <c r="E57" s="337"/>
    </row>
    <row r="58" spans="2:5" ht="20.05" customHeight="1" x14ac:dyDescent="0.35">
      <c r="B58" s="4" t="s">
        <v>118</v>
      </c>
      <c r="C58" s="80" t="str">
        <f>CONCATENATE(prefix_wld_az1_vlan,"19")</f>
        <v>1319</v>
      </c>
      <c r="D58" s="347"/>
      <c r="E58" s="337"/>
    </row>
    <row r="59" spans="2:5" ht="20.05" customHeight="1" x14ac:dyDescent="0.35">
      <c r="B59" s="4" t="s">
        <v>119</v>
      </c>
      <c r="C59" s="362" t="s">
        <v>120</v>
      </c>
      <c r="D59" s="94" t="s">
        <v>120</v>
      </c>
      <c r="E59" s="337"/>
    </row>
    <row r="60" spans="2:5" ht="20.05" customHeight="1" x14ac:dyDescent="0.35">
      <c r="B60" s="4" t="s">
        <v>121</v>
      </c>
      <c r="C60" s="89" t="str">
        <f>CONCATENATE(sample_wld_sddc_domain,"-ip-pool02-edge")</f>
        <v>sfo-w01-ip-pool02-edge</v>
      </c>
      <c r="D60" s="347"/>
      <c r="E60" s="337"/>
    </row>
    <row r="61" spans="2:5" ht="20.05" customHeight="1" x14ac:dyDescent="0.35">
      <c r="B61" s="4" t="s">
        <v>122</v>
      </c>
      <c r="C61" s="80" t="str">
        <f>CONCATENATE(prefix_wld_az1_cidr,"19.2")</f>
        <v>10.13.19.2</v>
      </c>
      <c r="D61" s="347"/>
      <c r="E61" s="337"/>
    </row>
    <row r="62" spans="2:5" ht="20.05" customHeight="1" x14ac:dyDescent="0.35">
      <c r="B62" s="4" t="s">
        <v>123</v>
      </c>
      <c r="C62" s="80" t="str">
        <f>CONCATENATE(prefix_wld_az1_cidr,"19.5")</f>
        <v>10.13.19.5</v>
      </c>
      <c r="D62" s="347"/>
      <c r="E62" s="337"/>
    </row>
    <row r="63" spans="2:5" ht="20.05" customHeight="1" x14ac:dyDescent="0.35">
      <c r="B63" s="4" t="s">
        <v>124</v>
      </c>
      <c r="C63" s="89" t="str">
        <f>CONCATENATE(prefix_wld_az1_cidr,"19.2")</f>
        <v>10.13.19.2</v>
      </c>
      <c r="D63" s="347"/>
      <c r="E63" s="337" t="s">
        <v>1046</v>
      </c>
    </row>
    <row r="64" spans="2:5" ht="20.05" customHeight="1" x14ac:dyDescent="0.35">
      <c r="B64" s="4" t="s">
        <v>125</v>
      </c>
      <c r="C64" s="89" t="str">
        <f>CONCATENATE(prefix_wld_az1_cidr,"19.3")</f>
        <v>10.13.19.3</v>
      </c>
      <c r="D64" s="347"/>
      <c r="E64" s="337" t="s">
        <v>1047</v>
      </c>
    </row>
    <row r="65" spans="2:5" ht="20.05" customHeight="1" x14ac:dyDescent="0.35">
      <c r="B65" s="4" t="s">
        <v>126</v>
      </c>
      <c r="C65" s="80" t="str">
        <f>CONCATENATE(prefix_wld_az1_cidr,"19.1")</f>
        <v>10.13.19.1</v>
      </c>
      <c r="D65" s="347"/>
      <c r="E65" s="337"/>
    </row>
    <row r="66" spans="2:5" ht="20.05" customHeight="1" x14ac:dyDescent="0.35">
      <c r="B66" s="4" t="s">
        <v>127</v>
      </c>
      <c r="C66" s="362" t="s">
        <v>128</v>
      </c>
      <c r="D66" s="94"/>
      <c r="E66" s="337"/>
    </row>
    <row r="67" spans="2:5" ht="20.05" customHeight="1" x14ac:dyDescent="0.35">
      <c r="B67" s="532" t="s">
        <v>129</v>
      </c>
      <c r="C67" s="533"/>
      <c r="D67" s="533"/>
      <c r="E67" s="534"/>
    </row>
    <row r="68" spans="2:5" ht="20.05" customHeight="1" x14ac:dyDescent="0.35">
      <c r="B68" s="4" t="s">
        <v>130</v>
      </c>
      <c r="C68" s="89" t="str">
        <f>CONCATENATE(this_instance,"-w0",wld_domain_number_chosen,"-en01b",".",sample_child_dns_zone)</f>
        <v>sfo-w01-en01b.sfo.rainpole.io</v>
      </c>
      <c r="D68" s="347"/>
      <c r="E68" s="337"/>
    </row>
    <row r="69" spans="2:5" ht="20.05" customHeight="1" x14ac:dyDescent="0.35">
      <c r="B69" s="4" t="s">
        <v>96</v>
      </c>
      <c r="C69" s="362" t="str">
        <f>sample_wld_cl01_cluster</f>
        <v>sfo-w01-cl01</v>
      </c>
      <c r="D69" s="343" t="str">
        <f>wld_cl01_cluster</f>
        <v>Value Missing</v>
      </c>
      <c r="E69" s="319" t="s">
        <v>1037</v>
      </c>
    </row>
    <row r="70" spans="2:5" ht="20.05" customHeight="1" x14ac:dyDescent="0.35">
      <c r="B70" s="4" t="s">
        <v>98</v>
      </c>
      <c r="C70" s="362" t="str">
        <f>sample_wld_ec_rp_name</f>
        <v>sfo-w01-cl01-rp-ec01</v>
      </c>
      <c r="D70" s="343" t="str">
        <f>wld_ec_rp_name</f>
        <v>Value Missing</v>
      </c>
      <c r="E70" s="319" t="s">
        <v>99</v>
      </c>
    </row>
    <row r="71" spans="2:5" ht="20.05" customHeight="1" x14ac:dyDescent="0.35">
      <c r="B71" s="4" t="s">
        <v>100</v>
      </c>
      <c r="C71" s="362" t="s">
        <v>101</v>
      </c>
      <c r="D71" s="343" t="str">
        <f>wld_ec01_host_group_affinity_rule_chosen</f>
        <v>No</v>
      </c>
      <c r="E71" s="337" t="s">
        <v>1048</v>
      </c>
    </row>
    <row r="72" spans="2:5" ht="20.05" customHeight="1" x14ac:dyDescent="0.35">
      <c r="B72" s="4" t="s">
        <v>102</v>
      </c>
      <c r="C72" s="362" t="str">
        <f>CONCATENATE(sample_wld_sddc_domain,"-host-group-affinity-rule-ec01-en01b")</f>
        <v>sfo-w01-host-group-affinity-rule-ec01-en01b</v>
      </c>
      <c r="D72" s="94"/>
      <c r="E72" s="337" t="s">
        <v>1049</v>
      </c>
    </row>
    <row r="73" spans="2:5" ht="20.05" customHeight="1" x14ac:dyDescent="0.35">
      <c r="B73" s="4" t="s">
        <v>1039</v>
      </c>
      <c r="C73" s="362" t="str">
        <f>sample_wld_cl01_vsan_datastore</f>
        <v>sfo-w01-sfo-w01-cl01-vsan01</v>
      </c>
      <c r="D73" s="343" t="str">
        <f>wld_cl01_vsan_datastore</f>
        <v>Value Missing</v>
      </c>
      <c r="E73" s="319" t="s">
        <v>1040</v>
      </c>
    </row>
    <row r="74" spans="2:5" ht="20.05" customHeight="1" x14ac:dyDescent="0.35">
      <c r="B74" s="4" t="s">
        <v>105</v>
      </c>
      <c r="C74" s="89" t="s">
        <v>106</v>
      </c>
      <c r="D74" s="337" t="s">
        <v>106</v>
      </c>
      <c r="E74" s="286"/>
    </row>
    <row r="75" spans="2:5" ht="20.05" customHeight="1" x14ac:dyDescent="0.35">
      <c r="B75" s="4" t="s">
        <v>107</v>
      </c>
      <c r="C75" s="89" t="str">
        <f>sample_wld_cl01_az1_mgmt_vm_pg</f>
        <v>sfo-w01-cl01-vds01-pg-vm-mgmt</v>
      </c>
      <c r="D75" s="337" t="str">
        <f>wld_cl01_az1_mgmt_vm_pg</f>
        <v>Value Missing</v>
      </c>
      <c r="E75" s="319" t="s">
        <v>1041</v>
      </c>
    </row>
    <row r="76" spans="2:5" ht="20.05" customHeight="1" x14ac:dyDescent="0.35">
      <c r="B76" s="4" t="s">
        <v>133</v>
      </c>
      <c r="C76" s="89" t="str">
        <f>IF(wld_dpg_separation_result="Included",CONCATENATE(prefix_wld_az1_cidr,"10.136","/",INT(RIGHT(sample_wld_az1_mgmt_vm_cidr,LEN(sample_wld_az1_mgmt_vm_cidr)-FIND("/",sample_wld_az1_mgmt_vm_cidr)))),CONCATENATE(prefix_wld_az1_cidr,"11.136","/",INT(RIGHT(sample_wld_az1_mgmt_cidr,LEN(sample_wld_az1_mgmt_cidr)-FIND("/",sample_wld_az1_mgmt_cidr)))))</f>
        <v>10.13.10.136/24</v>
      </c>
      <c r="D76" s="94"/>
      <c r="E76" s="337"/>
    </row>
    <row r="77" spans="2:5" ht="20.05" customHeight="1" x14ac:dyDescent="0.35">
      <c r="B77" s="4" t="s">
        <v>134</v>
      </c>
      <c r="C77" s="362" t="str">
        <f>sample_wld_az1_mgmt_vm_gateway_ip</f>
        <v>10.13.10.1</v>
      </c>
      <c r="D77" s="343" t="str">
        <f>wld_az1_mgmt_vm_gateway_ip</f>
        <v>Value Missing</v>
      </c>
      <c r="E77" s="319" t="s">
        <v>1042</v>
      </c>
    </row>
    <row r="78" spans="2:5" ht="20.05" customHeight="1" x14ac:dyDescent="0.35">
      <c r="B78" s="4" t="s">
        <v>111</v>
      </c>
      <c r="C78" s="362" t="s">
        <v>145</v>
      </c>
      <c r="D78" s="343" t="str">
        <f>wld_ec01_use_host_overlay_chosen</f>
        <v xml:space="preserve">Unselected </v>
      </c>
      <c r="E78" s="153" t="s">
        <v>1050</v>
      </c>
    </row>
    <row r="79" spans="2:5" ht="20.05" customHeight="1" x14ac:dyDescent="0.35">
      <c r="B79" s="496" t="s">
        <v>1043</v>
      </c>
      <c r="C79" s="497"/>
      <c r="D79" s="497"/>
      <c r="E79" s="498"/>
    </row>
    <row r="80" spans="2:5" ht="20.05" customHeight="1" x14ac:dyDescent="0.35">
      <c r="B80" s="4" t="s">
        <v>114</v>
      </c>
      <c r="C80" s="362" t="s">
        <v>1044</v>
      </c>
      <c r="D80" s="94"/>
      <c r="E80" s="337" t="s">
        <v>115</v>
      </c>
    </row>
    <row r="81" spans="2:5" ht="20.05" customHeight="1" x14ac:dyDescent="0.35">
      <c r="B81" s="17" t="s">
        <v>114</v>
      </c>
      <c r="C81" s="362" t="s">
        <v>1045</v>
      </c>
      <c r="D81" s="94"/>
      <c r="E81" s="337" t="s">
        <v>116</v>
      </c>
    </row>
    <row r="82" spans="2:5" ht="20.05" customHeight="1" x14ac:dyDescent="0.35">
      <c r="B82" s="17" t="s">
        <v>117</v>
      </c>
      <c r="C82" s="362" t="s">
        <v>1044</v>
      </c>
      <c r="D82" s="94"/>
      <c r="E82" s="337" t="s">
        <v>115</v>
      </c>
    </row>
    <row r="83" spans="2:5" ht="20.05" customHeight="1" x14ac:dyDescent="0.35">
      <c r="B83" s="22" t="s">
        <v>117</v>
      </c>
      <c r="C83" s="362" t="s">
        <v>1045</v>
      </c>
      <c r="D83" s="94"/>
      <c r="E83" s="337" t="s">
        <v>116</v>
      </c>
    </row>
    <row r="84" spans="2:5" ht="20.05" customHeight="1" x14ac:dyDescent="0.35">
      <c r="B84" s="4" t="s">
        <v>118</v>
      </c>
      <c r="C84" s="80" t="str">
        <f>sample_wld_az1_edge_overlay_vlan</f>
        <v>1319</v>
      </c>
      <c r="D84" s="337" t="str">
        <f>wld_az1_edge_overlay_vlan</f>
        <v>Value Missing</v>
      </c>
      <c r="E84" s="337"/>
    </row>
    <row r="85" spans="2:5" ht="20.05" customHeight="1" x14ac:dyDescent="0.35">
      <c r="B85" s="4" t="s">
        <v>119</v>
      </c>
      <c r="C85" s="362" t="s">
        <v>120</v>
      </c>
      <c r="D85" s="343" t="str">
        <f>wld_az1_en1_edge_overlay_network_ip_allocation_chosen</f>
        <v>Static IP List</v>
      </c>
      <c r="E85" s="153" t="s">
        <v>1050</v>
      </c>
    </row>
    <row r="86" spans="2:5" ht="20.05" customHeight="1" x14ac:dyDescent="0.35">
      <c r="B86" s="4" t="s">
        <v>121</v>
      </c>
      <c r="C86" s="362" t="str">
        <f>sample_wld_az1_edge_overlay_network_pool_name</f>
        <v>sfo-w01-ip-pool02-edge</v>
      </c>
      <c r="D86" s="343" t="str">
        <f>wld_az1_edge_overlay_network_pool_name</f>
        <v>Value Missing</v>
      </c>
      <c r="E86" s="337"/>
    </row>
    <row r="87" spans="2:5" ht="20.05" customHeight="1" x14ac:dyDescent="0.35">
      <c r="B87" s="4" t="s">
        <v>1051</v>
      </c>
      <c r="C87" s="89" t="str">
        <f>CONCATENATE(prefix_wld_az1_cidr,"19.4")</f>
        <v>10.13.19.4</v>
      </c>
      <c r="D87" s="347"/>
      <c r="E87" s="337" t="s">
        <v>1052</v>
      </c>
    </row>
    <row r="88" spans="2:5" ht="20.05" customHeight="1" x14ac:dyDescent="0.35">
      <c r="B88" s="4" t="s">
        <v>1053</v>
      </c>
      <c r="C88" s="89" t="str">
        <f>CONCATENATE(prefix_wld_az1_cidr,"19.5")</f>
        <v>10.13.19.5</v>
      </c>
      <c r="D88" s="347"/>
      <c r="E88" s="337" t="s">
        <v>1054</v>
      </c>
    </row>
    <row r="89" spans="2:5" ht="20.05" customHeight="1" x14ac:dyDescent="0.35">
      <c r="B89" s="4" t="s">
        <v>126</v>
      </c>
      <c r="C89" s="362" t="str">
        <f>sample_wld_az1_edge_overlay_gateway_ip</f>
        <v>10.13.19.1</v>
      </c>
      <c r="D89" s="337" t="str">
        <f>wld_az1_edge_overlay_gateway_ip</f>
        <v>Value Missing</v>
      </c>
      <c r="E89" s="337"/>
    </row>
    <row r="90" spans="2:5" ht="20.05" customHeight="1" x14ac:dyDescent="0.35">
      <c r="B90" s="4" t="s">
        <v>127</v>
      </c>
      <c r="C90" s="362" t="str">
        <f>sample_wld_az1_edge_overlay_mask</f>
        <v>255.255.255.0</v>
      </c>
      <c r="D90" s="343" t="str">
        <f>wld_az1_edge_overlay_mask</f>
        <v>Value Missing</v>
      </c>
      <c r="E90" s="153" t="s">
        <v>1050</v>
      </c>
    </row>
    <row r="91" spans="2:5" ht="20.05" customHeight="1" x14ac:dyDescent="0.35">
      <c r="B91" s="4" t="s">
        <v>139</v>
      </c>
      <c r="C91" s="362" t="s">
        <v>112</v>
      </c>
      <c r="D91" s="94" t="s">
        <v>112</v>
      </c>
      <c r="E91" s="337"/>
    </row>
    <row r="92" spans="2:5" ht="20.05" customHeight="1" x14ac:dyDescent="0.35">
      <c r="B92" s="4" t="s">
        <v>140</v>
      </c>
      <c r="C92" s="362" t="s">
        <v>141</v>
      </c>
      <c r="D92" s="347"/>
      <c r="E92" s="337"/>
    </row>
    <row r="93" spans="2:5" ht="20.05" customHeight="1" x14ac:dyDescent="0.35">
      <c r="B93" s="4" t="s">
        <v>142</v>
      </c>
      <c r="C93" s="362" t="s">
        <v>141</v>
      </c>
      <c r="D93" s="347"/>
      <c r="E93" s="337"/>
    </row>
    <row r="94" spans="2:5" ht="20.05" customHeight="1" x14ac:dyDescent="0.35">
      <c r="B94" s="496" t="s">
        <v>143</v>
      </c>
      <c r="C94" s="497"/>
      <c r="D94" s="497"/>
      <c r="E94" s="498"/>
    </row>
    <row r="95" spans="2:5" ht="20.05" customHeight="1" x14ac:dyDescent="0.35">
      <c r="B95" s="4" t="s">
        <v>144</v>
      </c>
      <c r="C95" s="362" t="str">
        <f>IF(AND(OR(wld_nsxt_federation_chosen="Standby Global Manager",wld_nsxt_federation_chosen="Connect Instance"),(wld_bgp_chosen="Centralized Connectivity")),"Selected","Unselected")</f>
        <v>Unselected</v>
      </c>
      <c r="D95" s="347" t="s">
        <v>145</v>
      </c>
      <c r="E95" s="4" t="str">
        <f>IF(AND(OR(wld_nsxt_federation_chosen="Standby Global Manager",wld_nsxt_federation_chosen="Connect Instance"),(wld_bgp_chosen="Centralized Connectivity")),"Skip Gateway and Routing Configuration as stretched T0 will be configured as part of NSX Federation configuration","")</f>
        <v/>
      </c>
    </row>
    <row r="96" spans="2:5" ht="20.05" customHeight="1" x14ac:dyDescent="0.35">
      <c r="B96" s="4" t="s">
        <v>146</v>
      </c>
      <c r="C96" s="126" t="str">
        <f>CONCATENATE(this_instance,"-w0",wld_domain_number_chosen,"-ec01-t0-gw01")</f>
        <v>sfo-w01-ec01-t0-gw01</v>
      </c>
      <c r="D96" s="347"/>
      <c r="E96" s="4"/>
    </row>
    <row r="97" spans="2:5" ht="20.05" customHeight="1" x14ac:dyDescent="0.35">
      <c r="B97" s="4" t="s">
        <v>147</v>
      </c>
      <c r="C97" s="362" t="s">
        <v>1055</v>
      </c>
      <c r="D97" s="94" t="s">
        <v>1055</v>
      </c>
      <c r="E97" s="4" t="str">
        <f>IF(wld_iaas_result="Included","vSphere Supervisor requires a Active Standby Gateway Configuration","")</f>
        <v/>
      </c>
    </row>
    <row r="98" spans="2:5" ht="20.05" customHeight="1" x14ac:dyDescent="0.35">
      <c r="B98" s="4" t="s">
        <v>149</v>
      </c>
      <c r="C98" s="362" t="s">
        <v>150</v>
      </c>
      <c r="D98" s="94" t="s">
        <v>150</v>
      </c>
      <c r="E98" s="4"/>
    </row>
    <row r="99" spans="2:5" ht="20.05" customHeight="1" x14ac:dyDescent="0.35">
      <c r="B99" s="4" t="s">
        <v>151</v>
      </c>
      <c r="C99" s="80" t="str">
        <f>IF(mgmt_domain_chosen="First Instance","65102","65202")</f>
        <v>65102</v>
      </c>
      <c r="D99" s="347"/>
      <c r="E99" s="4"/>
    </row>
    <row r="100" spans="2:5" ht="20.05" customHeight="1" x14ac:dyDescent="0.35">
      <c r="B100" s="496" t="s">
        <v>152</v>
      </c>
      <c r="C100" s="497"/>
      <c r="D100" s="497"/>
      <c r="E100" s="498"/>
    </row>
    <row r="101" spans="2:5" ht="20.05" customHeight="1" x14ac:dyDescent="0.35">
      <c r="B101" s="351" t="s">
        <v>153</v>
      </c>
      <c r="C101" s="80" t="str">
        <f>CONCATENATE(prefix_wld_az1_vlan,"17")</f>
        <v>1317</v>
      </c>
      <c r="D101" s="347"/>
      <c r="E101" s="337" t="s">
        <v>154</v>
      </c>
    </row>
    <row r="102" spans="2:5" ht="20.05" customHeight="1" x14ac:dyDescent="0.35">
      <c r="B102" s="351" t="s">
        <v>155</v>
      </c>
      <c r="C102" s="89" t="str">
        <f>CONCATENATE(prefix_wld_az1_cidr,"17.2","/",INT(RIGHT(sample_wld_az1_uplink01_cidr,LEN(sample_wld_az1_uplink01_cidr)-FIND("/",sample_wld_az1_uplink01_cidr))))</f>
        <v>10.13.17.2/24</v>
      </c>
      <c r="D102" s="347"/>
      <c r="E102" s="337" t="s">
        <v>1056</v>
      </c>
    </row>
    <row r="103" spans="2:5" ht="20.05" customHeight="1" x14ac:dyDescent="0.35">
      <c r="B103" s="351" t="s">
        <v>157</v>
      </c>
      <c r="C103" s="80" t="str">
        <f>CONCATENATE(prefix_wld_az1_cidr,"17.10")</f>
        <v>10.13.17.10</v>
      </c>
      <c r="D103" s="347"/>
      <c r="E103" s="337" t="s">
        <v>168</v>
      </c>
    </row>
    <row r="104" spans="2:5" ht="20.05" customHeight="1" x14ac:dyDescent="0.35">
      <c r="B104" s="351" t="s">
        <v>158</v>
      </c>
      <c r="C104" s="362" t="s">
        <v>159</v>
      </c>
      <c r="D104" s="347" t="s">
        <v>159</v>
      </c>
      <c r="E104" s="345"/>
    </row>
    <row r="105" spans="2:5" ht="20.05" customHeight="1" x14ac:dyDescent="0.35">
      <c r="B105" s="351" t="s">
        <v>160</v>
      </c>
      <c r="C105" s="80">
        <v>9000</v>
      </c>
      <c r="D105" s="347"/>
      <c r="E105" s="345"/>
    </row>
    <row r="106" spans="2:5" ht="20.05" customHeight="1" x14ac:dyDescent="0.35">
      <c r="B106" s="351" t="s">
        <v>161</v>
      </c>
      <c r="C106" s="80" t="str">
        <f>IF(wld_domain_chosen="First Domain",CONCATENATE(asn_start,asn_instance,asn_wld_az1,1),IF(wld_nsxt_federation_result="Included",CONCATENATE(asn_start,asn_instance,asn_wld_az1,1),CONCATENATE(asn_start,asn_instance,asn_wld_az1,1)))</f>
        <v>65131</v>
      </c>
      <c r="D106" s="347"/>
      <c r="E106" s="345"/>
    </row>
    <row r="107" spans="2:5" ht="20.05" customHeight="1" x14ac:dyDescent="0.35">
      <c r="B107" s="351" t="s">
        <v>162</v>
      </c>
      <c r="C107" s="80" t="s">
        <v>30</v>
      </c>
      <c r="D107" s="347"/>
      <c r="E107" s="345"/>
    </row>
    <row r="108" spans="2:5" ht="20.05" customHeight="1" x14ac:dyDescent="0.35">
      <c r="B108" s="351" t="s">
        <v>163</v>
      </c>
      <c r="C108" s="80" t="str">
        <f>CONCATENATE(prefix_wld_az1_vlan,"18")</f>
        <v>1318</v>
      </c>
      <c r="D108" s="347"/>
      <c r="E108" s="345" t="s">
        <v>164</v>
      </c>
    </row>
    <row r="109" spans="2:5" ht="20.05" customHeight="1" x14ac:dyDescent="0.35">
      <c r="B109" s="351" t="s">
        <v>155</v>
      </c>
      <c r="C109" s="89" t="str">
        <f>CONCATENATE(prefix_wld_az1_cidr,"18.2","/",INT(RIGHT(sample_wld_az1_uplink02_cidr,LEN(sample_wld_az1_uplink02_cidr)-FIND("/",sample_wld_az1_uplink02_cidr))))</f>
        <v>10.13.18.2/24</v>
      </c>
      <c r="D109" s="347"/>
      <c r="E109" s="345" t="s">
        <v>1057</v>
      </c>
    </row>
    <row r="110" spans="2:5" ht="20.05" customHeight="1" x14ac:dyDescent="0.35">
      <c r="B110" s="351" t="s">
        <v>157</v>
      </c>
      <c r="C110" s="80" t="str">
        <f>CONCATENATE(prefix_wld_az1_cidr,"18.10")</f>
        <v>10.13.18.10</v>
      </c>
      <c r="D110" s="347"/>
      <c r="E110" s="345" t="s">
        <v>1058</v>
      </c>
    </row>
    <row r="111" spans="2:5" ht="20.05" customHeight="1" x14ac:dyDescent="0.35">
      <c r="B111" s="351" t="s">
        <v>158</v>
      </c>
      <c r="C111" s="362" t="s">
        <v>159</v>
      </c>
      <c r="D111" s="337" t="str">
        <f>wld_en01_bfd_chosen</f>
        <v>Selected</v>
      </c>
      <c r="E111" s="345"/>
    </row>
    <row r="112" spans="2:5" ht="20.05" customHeight="1" x14ac:dyDescent="0.35">
      <c r="B112" s="351" t="s">
        <v>160</v>
      </c>
      <c r="C112" s="80">
        <v>9000</v>
      </c>
      <c r="D112" s="347"/>
      <c r="E112" s="345"/>
    </row>
    <row r="113" spans="2:5" ht="20.05" customHeight="1" x14ac:dyDescent="0.35">
      <c r="B113" s="351" t="s">
        <v>161</v>
      </c>
      <c r="C113" s="80" t="str">
        <f>IF(wld_domain_chosen="First Domain",CONCATENATE(asn_start,asn_instance,asn_wld_az1,1),IF(wld_nsxt_federation_result="Included",CONCATENATE(asn_start,asn_instance,asn_wld_az1,1),CONCATENATE(asn_start,asn_instance,asn_wld_az1,1)))</f>
        <v>65131</v>
      </c>
      <c r="D113" s="347"/>
      <c r="E113" s="337"/>
    </row>
    <row r="114" spans="2:5" ht="20.05" customHeight="1" x14ac:dyDescent="0.35">
      <c r="B114" s="351" t="s">
        <v>162</v>
      </c>
      <c r="C114" s="80" t="s">
        <v>30</v>
      </c>
      <c r="D114" s="347"/>
      <c r="E114" s="337"/>
    </row>
    <row r="115" spans="2:5" ht="20.05" customHeight="1" x14ac:dyDescent="0.35">
      <c r="B115" s="496" t="s">
        <v>166</v>
      </c>
      <c r="C115" s="497"/>
      <c r="D115" s="497"/>
      <c r="E115" s="498"/>
    </row>
    <row r="116" spans="2:5" ht="20.05" customHeight="1" x14ac:dyDescent="0.35">
      <c r="B116" s="17" t="s">
        <v>153</v>
      </c>
      <c r="C116" s="362" t="str">
        <f>sample_wld_az1_uplink01_vlan</f>
        <v>1317</v>
      </c>
      <c r="D116" s="343" t="str">
        <f>wld_az1_uplink01_vlan</f>
        <v>Value Missing</v>
      </c>
      <c r="E116" s="153" t="s">
        <v>154</v>
      </c>
    </row>
    <row r="117" spans="2:5" ht="20.05" customHeight="1" x14ac:dyDescent="0.35">
      <c r="B117" s="17" t="s">
        <v>155</v>
      </c>
      <c r="C117" s="89" t="str">
        <f>CONCATENATE(prefix_wld_az1_cidr,"17.3","/",INT(RIGHT(sample_wld_az1_uplink01_cidr,LEN(sample_wld_az1_uplink01_cidr)-FIND("/",sample_wld_az1_uplink01_cidr))))</f>
        <v>10.13.17.3/24</v>
      </c>
      <c r="D117" s="347"/>
      <c r="E117" s="337" t="s">
        <v>167</v>
      </c>
    </row>
    <row r="118" spans="2:5" ht="20.05" customHeight="1" x14ac:dyDescent="0.35">
      <c r="B118" s="17" t="s">
        <v>157</v>
      </c>
      <c r="C118" s="362" t="str">
        <f>sample_wld_az1_tor1_peer_ip</f>
        <v>10.13.17.10</v>
      </c>
      <c r="D118" s="343" t="str">
        <f>wld_az1_tor1_peer_ip</f>
        <v>Value Missing</v>
      </c>
      <c r="E118" s="337" t="s">
        <v>168</v>
      </c>
    </row>
    <row r="119" spans="2:5" ht="20.05" customHeight="1" x14ac:dyDescent="0.35">
      <c r="B119" s="17" t="s">
        <v>158</v>
      </c>
      <c r="C119" s="362" t="s">
        <v>159</v>
      </c>
      <c r="D119" s="347" t="s">
        <v>159</v>
      </c>
      <c r="E119" s="253" t="s">
        <v>1050</v>
      </c>
    </row>
    <row r="120" spans="2:5" ht="20.05" customHeight="1" x14ac:dyDescent="0.35">
      <c r="B120" s="17" t="s">
        <v>160</v>
      </c>
      <c r="C120" s="362">
        <f>sample_wld_az1_uplink01_mtu</f>
        <v>9000</v>
      </c>
      <c r="D120" s="305" t="str">
        <f>wld_az1_uplink01_mtu</f>
        <v>Value Missing</v>
      </c>
      <c r="E120" s="253" t="s">
        <v>1050</v>
      </c>
    </row>
    <row r="121" spans="2:5" ht="20.05" customHeight="1" x14ac:dyDescent="0.35">
      <c r="B121" s="17" t="s">
        <v>161</v>
      </c>
      <c r="C121" s="362" t="str">
        <f>sample_wld_az1_tor1_peer_asn</f>
        <v>65131</v>
      </c>
      <c r="D121" s="343" t="str">
        <f>wld_az1_tor1_peer_asn</f>
        <v>Value Missing</v>
      </c>
      <c r="E121" s="253" t="s">
        <v>1050</v>
      </c>
    </row>
    <row r="122" spans="2:5" ht="20.05" customHeight="1" x14ac:dyDescent="0.35">
      <c r="B122" s="17" t="s">
        <v>162</v>
      </c>
      <c r="C122" s="362" t="str">
        <f>sample_wld_az1_tor1_peer_bgp_password</f>
        <v>VMw@re1!</v>
      </c>
      <c r="D122" s="343" t="str">
        <f>wld_az1_tor1_peer_bgp_password</f>
        <v>Value Missing</v>
      </c>
      <c r="E122" s="253" t="s">
        <v>1050</v>
      </c>
    </row>
    <row r="123" spans="2:5" ht="20.05" customHeight="1" x14ac:dyDescent="0.35">
      <c r="B123" s="17" t="s">
        <v>163</v>
      </c>
      <c r="C123" s="362" t="str">
        <f>sample_wld_az1_uplink02_vlan</f>
        <v>1318</v>
      </c>
      <c r="D123" s="343" t="str">
        <f>wld_az1_uplink02_vlan</f>
        <v>Value Missing</v>
      </c>
      <c r="E123" s="337" t="s">
        <v>164</v>
      </c>
    </row>
    <row r="124" spans="2:5" ht="20.05" customHeight="1" x14ac:dyDescent="0.35">
      <c r="B124" s="17" t="s">
        <v>155</v>
      </c>
      <c r="C124" s="89" t="str">
        <f>CONCATENATE(prefix_wld_az1_cidr,"18.3","/",INT(RIGHT(sample_wld_az1_uplink02_cidr,LEN(sample_wld_az1_uplink02_cidr)-FIND("/",sample_wld_az1_uplink02_cidr))))</f>
        <v>10.13.18.3/24</v>
      </c>
      <c r="D124" s="347"/>
      <c r="E124" s="337" t="s">
        <v>165</v>
      </c>
    </row>
    <row r="125" spans="2:5" ht="20.05" customHeight="1" x14ac:dyDescent="0.35">
      <c r="B125" s="17" t="s">
        <v>157</v>
      </c>
      <c r="C125" s="362" t="str">
        <f>sample_wld_az1_tor2_peer_ip</f>
        <v>10.13.18.10</v>
      </c>
      <c r="D125" s="343" t="str">
        <f>wld_az1_tor2_peer_ip</f>
        <v>Value Missing</v>
      </c>
      <c r="E125" s="337" t="s">
        <v>1059</v>
      </c>
    </row>
    <row r="126" spans="2:5" ht="20.05" customHeight="1" x14ac:dyDescent="0.35">
      <c r="B126" s="17" t="s">
        <v>158</v>
      </c>
      <c r="C126" s="362" t="s">
        <v>159</v>
      </c>
      <c r="D126" s="337" t="str">
        <f>wld_en02_bfd_chosen</f>
        <v>Selected</v>
      </c>
      <c r="E126" s="302"/>
    </row>
    <row r="127" spans="2:5" ht="20.05" customHeight="1" x14ac:dyDescent="0.35">
      <c r="B127" s="17" t="s">
        <v>160</v>
      </c>
      <c r="C127" s="362">
        <f>sample_wld_az1_uplink02_mtu</f>
        <v>9000</v>
      </c>
      <c r="D127" s="305" t="str">
        <f>wld_az1_uplink02_mtu</f>
        <v>Value Missing</v>
      </c>
      <c r="E127" s="345" t="s">
        <v>1050</v>
      </c>
    </row>
    <row r="128" spans="2:5" ht="20.05" customHeight="1" x14ac:dyDescent="0.35">
      <c r="B128" s="17" t="s">
        <v>161</v>
      </c>
      <c r="C128" s="362" t="str">
        <f>sample_wld_az1_tor2_peer_asn</f>
        <v>65131</v>
      </c>
      <c r="D128" s="343" t="str">
        <f>wld_az1_tor2_peer_asn</f>
        <v>Value Missing</v>
      </c>
      <c r="E128" s="345" t="s">
        <v>1050</v>
      </c>
    </row>
    <row r="129" spans="2:5" ht="20.05" customHeight="1" x14ac:dyDescent="0.35">
      <c r="B129" s="17" t="s">
        <v>162</v>
      </c>
      <c r="C129" s="362" t="str">
        <f>sample_wld_az1_tor2_peer_bgp_password</f>
        <v>VMw@re1!</v>
      </c>
      <c r="D129" s="343" t="str">
        <f>wld_az1_tor2_peer_bgp_password</f>
        <v>Value Missing</v>
      </c>
      <c r="E129" s="345" t="s">
        <v>1050</v>
      </c>
    </row>
    <row r="130" spans="2:5" ht="20.05" customHeight="1" x14ac:dyDescent="0.35">
      <c r="B130" s="462" t="s">
        <v>174</v>
      </c>
      <c r="C130" s="505"/>
      <c r="D130" s="463"/>
      <c r="E130" s="464"/>
    </row>
    <row r="131" spans="2:5" ht="20.05" customHeight="1" x14ac:dyDescent="0.35">
      <c r="B131" s="4" t="s">
        <v>175</v>
      </c>
      <c r="C131" s="362" t="s">
        <v>1060</v>
      </c>
      <c r="D131" s="94"/>
      <c r="E131" s="337" t="s">
        <v>177</v>
      </c>
    </row>
    <row r="132" spans="2:5" ht="20.05" customHeight="1" x14ac:dyDescent="0.35">
      <c r="B132" s="4" t="s">
        <v>178</v>
      </c>
      <c r="C132" s="362" t="str">
        <f>sample_wld_cl01_supervisor_private_transit_gateway_cidr</f>
        <v>172.25.0.0/16</v>
      </c>
      <c r="D132" s="347"/>
      <c r="E132" s="337" t="s">
        <v>1061</v>
      </c>
    </row>
    <row r="133" spans="2:5" ht="20.05" customHeight="1" x14ac:dyDescent="0.35">
      <c r="B133" s="462" t="s">
        <v>181</v>
      </c>
      <c r="C133" s="463"/>
      <c r="D133" s="463"/>
      <c r="E133" s="464"/>
    </row>
    <row r="134" spans="2:5" ht="20.05" customHeight="1" x14ac:dyDescent="0.35">
      <c r="B134" s="4" t="s">
        <v>182</v>
      </c>
      <c r="C134" s="80" t="s">
        <v>183</v>
      </c>
      <c r="D134" s="355" t="s">
        <v>183</v>
      </c>
      <c r="E134" s="4" t="str">
        <f>IF(wld_ec_api_chosen="Exclude","","Use the JSON Generator to create the JSON Spec - PATCH https://sfo-w01-nsx01.sfo.rainpole.io/policy/api/v1/infra")</f>
        <v>Use the JSON Generator to create the JSON Spec - PATCH https://sfo-w01-nsx01.sfo.rainpole.io/policy/api/v1/infra</v>
      </c>
    </row>
    <row r="135" spans="2:5" ht="20.05" customHeight="1" x14ac:dyDescent="0.35">
      <c r="B135" s="496" t="s">
        <v>184</v>
      </c>
      <c r="C135" s="497"/>
      <c r="D135" s="497"/>
      <c r="E135" s="498"/>
    </row>
    <row r="136" spans="2:5" ht="20.05" customHeight="1" x14ac:dyDescent="0.35">
      <c r="B136" s="4" t="s">
        <v>185</v>
      </c>
      <c r="C136" s="80" t="str">
        <f>CONCATENATE(sample_wld_sddc_domain,"-cl01-vds01","-pg-uplink01")</f>
        <v>sfo-w01-cl01-vds01-pg-uplink01</v>
      </c>
      <c r="D136" s="347"/>
      <c r="E136" s="33" t="s">
        <v>1062</v>
      </c>
    </row>
    <row r="137" spans="2:5" ht="20.05" customHeight="1" x14ac:dyDescent="0.35">
      <c r="B137" s="4" t="s">
        <v>187</v>
      </c>
      <c r="C137" s="80" t="str">
        <f>CONCATENATE(prefix_wld_az1_cidr,"17.1")</f>
        <v>10.13.17.1</v>
      </c>
      <c r="D137" s="347"/>
      <c r="E137" s="32"/>
    </row>
    <row r="138" spans="2:5" ht="20.05" customHeight="1" x14ac:dyDescent="0.35">
      <c r="B138" s="4" t="s">
        <v>188</v>
      </c>
      <c r="C138" s="80" t="str">
        <f>CONCATENATE(prefix_wld_az1_cidr,"17.0/24")</f>
        <v>10.13.17.0/24</v>
      </c>
      <c r="D138" s="347"/>
      <c r="E138" s="32"/>
    </row>
    <row r="139" spans="2:5" ht="20.05" customHeight="1" x14ac:dyDescent="0.35">
      <c r="B139" s="496" t="s">
        <v>189</v>
      </c>
      <c r="C139" s="497"/>
      <c r="D139" s="497"/>
      <c r="E139" s="498"/>
    </row>
    <row r="140" spans="2:5" ht="20.05" customHeight="1" x14ac:dyDescent="0.35">
      <c r="B140" s="4" t="s">
        <v>185</v>
      </c>
      <c r="C140" s="80" t="str">
        <f>CONCATENATE(sample_wld_sddc_domain,"-cl01-vds01","-pg-uplink02")</f>
        <v>sfo-w01-cl01-vds01-pg-uplink02</v>
      </c>
      <c r="D140" s="347"/>
      <c r="E140" s="33" t="s">
        <v>1062</v>
      </c>
    </row>
    <row r="141" spans="2:5" ht="20.05" customHeight="1" x14ac:dyDescent="0.35">
      <c r="B141" s="4" t="s">
        <v>187</v>
      </c>
      <c r="C141" s="80" t="str">
        <f>CONCATENATE(prefix_wld_az1_cidr,"18.1")</f>
        <v>10.13.18.1</v>
      </c>
      <c r="D141" s="347"/>
      <c r="E141" s="32"/>
    </row>
    <row r="142" spans="2:5" ht="20.05" customHeight="1" x14ac:dyDescent="0.35">
      <c r="B142" s="4" t="s">
        <v>188</v>
      </c>
      <c r="C142" s="80" t="str">
        <f>CONCATENATE(prefix_wld_az1_cidr,"18.0/24")</f>
        <v>10.13.18.0/24</v>
      </c>
      <c r="D142" s="347"/>
      <c r="E142" s="32"/>
    </row>
    <row r="143" spans="2:5" ht="20.05" customHeight="1" x14ac:dyDescent="0.35">
      <c r="B143" s="496" t="s">
        <v>191</v>
      </c>
      <c r="C143" s="497"/>
      <c r="D143" s="497"/>
      <c r="E143" s="498"/>
    </row>
    <row r="144" spans="2:5" ht="20.05" customHeight="1" x14ac:dyDescent="0.35">
      <c r="B144" s="4" t="s">
        <v>188</v>
      </c>
      <c r="C144" s="80" t="str">
        <f>CONCATENATE(prefix_wld_az1_cidr,"19.0/24")</f>
        <v>10.13.19.0/24</v>
      </c>
      <c r="D144" s="347"/>
      <c r="E144" s="32"/>
    </row>
    <row r="145" spans="2:5" ht="20.05" customHeight="1" x14ac:dyDescent="0.35">
      <c r="B145" s="4" t="s">
        <v>160</v>
      </c>
      <c r="C145" s="80">
        <v>9000</v>
      </c>
      <c r="D145" s="347"/>
      <c r="E145" s="32"/>
    </row>
    <row r="146" spans="2:5" ht="16" customHeight="1" x14ac:dyDescent="0.35"/>
    <row r="147" spans="2:5" ht="34" customHeight="1" x14ac:dyDescent="0.35">
      <c r="B147" s="521" t="s">
        <v>193</v>
      </c>
      <c r="C147" s="522"/>
      <c r="D147" s="522"/>
      <c r="E147" s="523"/>
    </row>
    <row r="148" spans="2:5" ht="20.05" customHeight="1" x14ac:dyDescent="0.35">
      <c r="B148" s="462" t="s">
        <v>1063</v>
      </c>
      <c r="C148" s="463"/>
      <c r="D148" s="463"/>
      <c r="E148" s="464"/>
    </row>
    <row r="149" spans="2:5" ht="20.05" customHeight="1" x14ac:dyDescent="0.35">
      <c r="B149" s="346" t="s">
        <v>17</v>
      </c>
      <c r="C149" s="346" t="s">
        <v>18</v>
      </c>
      <c r="D149" s="346" t="s">
        <v>19</v>
      </c>
      <c r="E149" s="346" t="s">
        <v>20</v>
      </c>
    </row>
    <row r="150" spans="2:5" ht="20.05" customHeight="1" x14ac:dyDescent="0.35">
      <c r="B150" s="462" t="s">
        <v>194</v>
      </c>
      <c r="C150" s="463"/>
      <c r="D150" s="463"/>
      <c r="E150" s="464"/>
    </row>
    <row r="151" spans="2:5" ht="20.05" customHeight="1" x14ac:dyDescent="0.35">
      <c r="B151" s="4" t="s">
        <v>195</v>
      </c>
      <c r="C151" s="362" t="s">
        <v>196</v>
      </c>
      <c r="D151" s="1"/>
      <c r="E151" s="4"/>
    </row>
    <row r="152" spans="2:5" ht="20.05" customHeight="1" x14ac:dyDescent="0.35">
      <c r="B152" s="462" t="s">
        <v>197</v>
      </c>
      <c r="C152" s="463"/>
      <c r="D152" s="463"/>
      <c r="E152" s="464"/>
    </row>
    <row r="153" spans="2:5" ht="20.05" customHeight="1" x14ac:dyDescent="0.35">
      <c r="B153" s="4" t="s">
        <v>88</v>
      </c>
      <c r="C153" s="362" t="s">
        <v>93</v>
      </c>
      <c r="D153" s="347" t="s">
        <v>93</v>
      </c>
      <c r="E153" s="4"/>
    </row>
    <row r="154" spans="2:5" ht="20.05" customHeight="1" x14ac:dyDescent="0.35">
      <c r="B154" s="462" t="s">
        <v>198</v>
      </c>
      <c r="C154" s="463"/>
      <c r="D154" s="463"/>
      <c r="E154" s="464"/>
    </row>
    <row r="155" spans="2:5" ht="20.05" customHeight="1" x14ac:dyDescent="0.35">
      <c r="B155" s="4" t="s">
        <v>199</v>
      </c>
      <c r="C155" s="362" t="str">
        <f>sample_avilb_root_password</f>
        <v>VMw@re1!VMw@re1!</v>
      </c>
      <c r="D155" s="347"/>
      <c r="E155" s="4"/>
    </row>
    <row r="156" spans="2:5" ht="20.05" customHeight="1" x14ac:dyDescent="0.35">
      <c r="B156" s="4" t="s">
        <v>201</v>
      </c>
      <c r="C156" s="89" t="str">
        <f>IF(mgmt_dpg_reuse_result="Included",CONCATENATE(prefix_mgmt_az1_cidr,"10.",(152 + (30*(wld_domain_number_chosen - 1)))),CONCATENATE(prefix_mgmt_az1_cidr,"11.",(152 + (30*(wld_domain_number_chosen - 1)))))</f>
        <v>10.11.10.152</v>
      </c>
      <c r="D156" s="347"/>
      <c r="E156" s="4"/>
    </row>
    <row r="157" spans="2:5" ht="20.05" customHeight="1" x14ac:dyDescent="0.35">
      <c r="B157" s="4" t="s">
        <v>203</v>
      </c>
      <c r="C157" s="89" t="str">
        <f>IF(mgmt_dpg_reuse_result="Included",CONCATENATE(prefix_mgmt_az1_cidr,"10.",(153 + (30*(wld_domain_number_chosen - 1)))),CONCATENATE(prefix_mgmt_az1_cidr,"11.",(153 + (30*(wld_domain_number_chosen - 1)))))</f>
        <v>10.11.10.153</v>
      </c>
      <c r="D157" s="347"/>
      <c r="E157" s="4"/>
    </row>
    <row r="158" spans="2:5" ht="20.05" customHeight="1" x14ac:dyDescent="0.35">
      <c r="B158" s="4" t="s">
        <v>205</v>
      </c>
      <c r="C158" s="89" t="str">
        <f>IF(mgmt_dpg_reuse_result="Included",CONCATENATE(prefix_mgmt_az1_cidr,"10.",(154 + (30*(wld_domain_number_chosen - 1)))),CONCATENATE(prefix_mgmt_az1_cidr,"11.",(154 + (30*(wld_domain_number_chosen - 1)))))</f>
        <v>10.11.10.154</v>
      </c>
      <c r="D158" s="347"/>
      <c r="E158" s="4"/>
    </row>
    <row r="159" spans="2:5" ht="20.05" customHeight="1" x14ac:dyDescent="0.35">
      <c r="B159" s="4" t="s">
        <v>207</v>
      </c>
      <c r="C159" s="89" t="str">
        <f>IF(mgmt_dpg_reuse_result="Included",CONCATENATE(prefix_mgmt_az1_cidr,"10.",(151 + (30*(wld_domain_number_chosen - 1)))),CONCATENATE(prefix_mgmt_az1_cidr,"11.",(151 + (30*(wld_domain_number_chosen - 1)))))</f>
        <v>10.11.10.151</v>
      </c>
      <c r="D159" s="347"/>
      <c r="E159" s="4"/>
    </row>
    <row r="160" spans="2:5" ht="20.05" customHeight="1" x14ac:dyDescent="0.35">
      <c r="B160" s="4" t="s">
        <v>209</v>
      </c>
      <c r="C160" s="362" t="str">
        <f>CONCATENATE(this_instance,"-w0",wld_domain_number_chosen,"-avilb01",".",sample_child_dns_zone)</f>
        <v>sfo-w01-avilb01.sfo.rainpole.io</v>
      </c>
      <c r="D160" s="347"/>
      <c r="E160" s="4"/>
    </row>
    <row r="161" spans="2:7" ht="20.05" customHeight="1" x14ac:dyDescent="0.35">
      <c r="B161" s="4" t="s">
        <v>210</v>
      </c>
      <c r="C161" s="362" t="str">
        <f>CONCATENATE(this_instance,"-w01-cl01-avilb01")</f>
        <v>sfo-w01-cl01-avilb01</v>
      </c>
      <c r="D161" s="347"/>
      <c r="E161" s="4"/>
    </row>
    <row r="162" spans="2:7" ht="16" customHeight="1" x14ac:dyDescent="0.35"/>
    <row r="163" spans="2:7" ht="34" customHeight="1" x14ac:dyDescent="0.35">
      <c r="B163" s="529" t="s">
        <v>1064</v>
      </c>
      <c r="C163" s="530"/>
      <c r="D163" s="530"/>
      <c r="E163" s="531"/>
    </row>
    <row r="164" spans="2:7" ht="16" customHeight="1" x14ac:dyDescent="0.35">
      <c r="G164" s="27"/>
    </row>
    <row r="165" spans="2:7" ht="34" customHeight="1" x14ac:dyDescent="0.35">
      <c r="B165" s="509" t="s">
        <v>802</v>
      </c>
      <c r="C165" s="510"/>
      <c r="D165" s="510"/>
      <c r="E165" s="511"/>
    </row>
    <row r="166" spans="2:7" ht="20.05" customHeight="1" x14ac:dyDescent="0.35">
      <c r="B166" s="561"/>
      <c r="C166" s="561"/>
      <c r="D166" s="561"/>
      <c r="E166" s="561"/>
    </row>
    <row r="167" spans="2:7" ht="20.05" customHeight="1" x14ac:dyDescent="0.35">
      <c r="B167" s="346" t="s">
        <v>17</v>
      </c>
      <c r="C167" s="346" t="s">
        <v>18</v>
      </c>
      <c r="D167" s="346" t="s">
        <v>19</v>
      </c>
      <c r="E167" s="346" t="s">
        <v>20</v>
      </c>
    </row>
    <row r="168" spans="2:7" ht="20.05" customHeight="1" x14ac:dyDescent="0.35">
      <c r="B168" s="496" t="s">
        <v>213</v>
      </c>
      <c r="C168" s="497"/>
      <c r="D168" s="497"/>
      <c r="E168" s="498"/>
    </row>
    <row r="169" spans="2:7" ht="20.05" customHeight="1" x14ac:dyDescent="0.35">
      <c r="B169" s="4" t="s">
        <v>85</v>
      </c>
      <c r="C169" s="80" t="str">
        <f>CONCATENATE(prefix_wld_az2_vlan,"11")</f>
        <v>1411</v>
      </c>
      <c r="D169" s="347"/>
      <c r="E169" s="93"/>
    </row>
    <row r="170" spans="2:7" ht="20.05" customHeight="1" x14ac:dyDescent="0.35">
      <c r="B170" s="4" t="s">
        <v>187</v>
      </c>
      <c r="C170" s="80" t="str">
        <f>CONCATENATE(prefix_wld_az2_cidr,"11.1")</f>
        <v>10.14.11.1</v>
      </c>
      <c r="D170" s="347"/>
      <c r="E170" s="32"/>
    </row>
    <row r="171" spans="2:7" ht="20.05" customHeight="1" x14ac:dyDescent="0.35">
      <c r="B171" s="4" t="s">
        <v>188</v>
      </c>
      <c r="C171" s="80" t="str">
        <f>CONCATENATE(prefix_wld_az2_cidr,"11.0/24")</f>
        <v>10.14.11.0/24</v>
      </c>
      <c r="D171" s="347"/>
      <c r="E171" s="32"/>
    </row>
    <row r="172" spans="2:7" ht="20.05" customHeight="1" x14ac:dyDescent="0.35">
      <c r="B172" s="4" t="s">
        <v>160</v>
      </c>
      <c r="C172" s="80">
        <v>1500</v>
      </c>
      <c r="D172" s="347"/>
      <c r="E172" s="32"/>
    </row>
    <row r="173" spans="2:7" ht="20.05" customHeight="1" x14ac:dyDescent="0.35">
      <c r="B173" s="512" t="s">
        <v>214</v>
      </c>
      <c r="C173" s="513"/>
      <c r="D173" s="513"/>
      <c r="E173" s="514"/>
    </row>
    <row r="174" spans="2:7" ht="20.05" customHeight="1" x14ac:dyDescent="0.35">
      <c r="B174" s="17" t="s">
        <v>215</v>
      </c>
      <c r="C174" s="89" t="str">
        <f>CONCATENATE(prefix_wld_az2_cidr,"11.101")</f>
        <v>10.14.11.101</v>
      </c>
      <c r="D174" s="347"/>
      <c r="E174" s="132" t="s">
        <v>216</v>
      </c>
    </row>
    <row r="175" spans="2:7" ht="20.05" customHeight="1" x14ac:dyDescent="0.35">
      <c r="B175" s="17" t="s">
        <v>217</v>
      </c>
      <c r="C175" s="89" t="str">
        <f>CONCATENATE(prefix_wld_az2_cidr,"11.102")</f>
        <v>10.14.11.102</v>
      </c>
      <c r="D175" s="347"/>
      <c r="E175" s="132" t="s">
        <v>218</v>
      </c>
    </row>
    <row r="176" spans="2:7" ht="20.05" customHeight="1" x14ac:dyDescent="0.35">
      <c r="B176" s="17" t="s">
        <v>219</v>
      </c>
      <c r="C176" s="89" t="str">
        <f>CONCATENATE(prefix_wld_az2_cidr,"11.103")</f>
        <v>10.14.11.103</v>
      </c>
      <c r="D176" s="347"/>
      <c r="E176" s="132" t="s">
        <v>220</v>
      </c>
    </row>
    <row r="177" spans="2:7" ht="20.05" customHeight="1" x14ac:dyDescent="0.35">
      <c r="B177" s="17" t="s">
        <v>221</v>
      </c>
      <c r="C177" s="89" t="str">
        <f>CONCATENATE(prefix_wld_az2_cidr,"11.104")</f>
        <v>10.14.11.104</v>
      </c>
      <c r="D177" s="347"/>
      <c r="E177" s="132" t="s">
        <v>222</v>
      </c>
    </row>
    <row r="178" spans="2:7" ht="20.05" customHeight="1" x14ac:dyDescent="0.35">
      <c r="B178" s="17" t="s">
        <v>223</v>
      </c>
      <c r="C178" s="89" t="str">
        <f>CONCATENATE(prefix_wld_az2_cidr,"11.105")</f>
        <v>10.14.11.105</v>
      </c>
      <c r="D178" s="347"/>
      <c r="E178" s="132" t="s">
        <v>224</v>
      </c>
    </row>
    <row r="179" spans="2:7" ht="20.05" customHeight="1" x14ac:dyDescent="0.35">
      <c r="B179" s="17" t="s">
        <v>225</v>
      </c>
      <c r="C179" s="89" t="str">
        <f>CONCATENATE(prefix_wld_az2_cidr,"11.106")</f>
        <v>10.14.11.106</v>
      </c>
      <c r="D179" s="347"/>
      <c r="E179" s="132" t="s">
        <v>226</v>
      </c>
    </row>
    <row r="180" spans="2:7" ht="20.05" customHeight="1" x14ac:dyDescent="0.35">
      <c r="B180" s="17" t="s">
        <v>227</v>
      </c>
      <c r="C180" s="89" t="str">
        <f>CONCATENATE(prefix_wld_az2_cidr,"11.107")</f>
        <v>10.14.11.107</v>
      </c>
      <c r="D180" s="347"/>
      <c r="E180" s="132" t="s">
        <v>228</v>
      </c>
    </row>
    <row r="181" spans="2:7" ht="20.05" customHeight="1" x14ac:dyDescent="0.35">
      <c r="B181" s="17" t="s">
        <v>229</v>
      </c>
      <c r="C181" s="89" t="str">
        <f>CONCATENATE(prefix_wld_az2_cidr,"11.108")</f>
        <v>10.14.11.108</v>
      </c>
      <c r="D181" s="347"/>
      <c r="E181" s="132" t="s">
        <v>230</v>
      </c>
    </row>
    <row r="182" spans="2:7" ht="20.05" customHeight="1" x14ac:dyDescent="0.35">
      <c r="B182" s="17" t="s">
        <v>231</v>
      </c>
      <c r="C182" s="89" t="str">
        <f>CONCATENATE(prefix_wld_az2_cidr,"11.109")</f>
        <v>10.14.11.109</v>
      </c>
      <c r="D182" s="347"/>
      <c r="E182" s="132" t="s">
        <v>232</v>
      </c>
    </row>
    <row r="183" spans="2:7" ht="20.05" customHeight="1" x14ac:dyDescent="0.35">
      <c r="B183" s="17" t="s">
        <v>233</v>
      </c>
      <c r="C183" s="89" t="str">
        <f>CONCATENATE(prefix_wld_az2_cidr,"11.110")</f>
        <v>10.14.11.110</v>
      </c>
      <c r="D183" s="347"/>
      <c r="E183" s="132" t="s">
        <v>234</v>
      </c>
    </row>
    <row r="184" spans="2:7" ht="20.05" customHeight="1" x14ac:dyDescent="0.35">
      <c r="B184" s="17" t="s">
        <v>235</v>
      </c>
      <c r="C184" s="89" t="str">
        <f>CONCATENATE(prefix_wld_az2_cidr,"11.111")</f>
        <v>10.14.11.111</v>
      </c>
      <c r="D184" s="347"/>
      <c r="E184" s="132" t="s">
        <v>236</v>
      </c>
    </row>
    <row r="185" spans="2:7" ht="20.05" customHeight="1" x14ac:dyDescent="0.35">
      <c r="B185" s="17" t="s">
        <v>237</v>
      </c>
      <c r="C185" s="89" t="str">
        <f>CONCATENATE(prefix_wld_az2_cidr,"11.112")</f>
        <v>10.14.11.112</v>
      </c>
      <c r="D185" s="347"/>
      <c r="E185" s="132" t="s">
        <v>238</v>
      </c>
    </row>
    <row r="186" spans="2:7" ht="20.05" customHeight="1" x14ac:dyDescent="0.35">
      <c r="B186" s="17" t="s">
        <v>239</v>
      </c>
      <c r="C186" s="89" t="str">
        <f>CONCATENATE(prefix_wld_az2_cidr,"11.113")</f>
        <v>10.14.11.113</v>
      </c>
      <c r="D186" s="347"/>
      <c r="E186" s="132" t="s">
        <v>240</v>
      </c>
    </row>
    <row r="187" spans="2:7" ht="20.05" customHeight="1" x14ac:dyDescent="0.35">
      <c r="B187" s="17" t="s">
        <v>241</v>
      </c>
      <c r="C187" s="89" t="str">
        <f>CONCATENATE(prefix_wld_az2_cidr,"11.114")</f>
        <v>10.14.11.114</v>
      </c>
      <c r="D187" s="347"/>
      <c r="E187" s="132" t="s">
        <v>242</v>
      </c>
    </row>
    <row r="188" spans="2:7" ht="20.05" customHeight="1" x14ac:dyDescent="0.35">
      <c r="B188" s="17" t="s">
        <v>243</v>
      </c>
      <c r="C188" s="89" t="str">
        <f>CONCATENATE(prefix_wld_az2_cidr,"11.115")</f>
        <v>10.14.11.115</v>
      </c>
      <c r="D188" s="347"/>
      <c r="E188" s="132" t="s">
        <v>244</v>
      </c>
    </row>
    <row r="189" spans="2:7" ht="20.05" customHeight="1" x14ac:dyDescent="0.35">
      <c r="B189" s="17" t="s">
        <v>245</v>
      </c>
      <c r="C189" s="89" t="str">
        <f>CONCATENATE(prefix_wld_az2_cidr,"11.116")</f>
        <v>10.14.11.116</v>
      </c>
      <c r="D189" s="347"/>
      <c r="E189" s="132" t="s">
        <v>246</v>
      </c>
    </row>
    <row r="190" spans="2:7" ht="16" customHeight="1" x14ac:dyDescent="0.35">
      <c r="D190" s="1"/>
      <c r="G190" s="27"/>
    </row>
    <row r="191" spans="2:7" ht="34" customHeight="1" x14ac:dyDescent="0.35">
      <c r="B191" s="509" t="s">
        <v>804</v>
      </c>
      <c r="C191" s="510"/>
      <c r="D191" s="510"/>
      <c r="E191" s="511"/>
    </row>
    <row r="192" spans="2:7" ht="20.05" customHeight="1" x14ac:dyDescent="0.35">
      <c r="B192" s="561"/>
      <c r="C192" s="561"/>
      <c r="D192" s="561"/>
      <c r="E192" s="561"/>
    </row>
    <row r="193" spans="2:5" ht="20.05" customHeight="1" x14ac:dyDescent="0.35">
      <c r="B193" s="346" t="s">
        <v>17</v>
      </c>
      <c r="C193" s="346" t="s">
        <v>18</v>
      </c>
      <c r="D193" s="346" t="s">
        <v>19</v>
      </c>
      <c r="E193" s="346" t="s">
        <v>20</v>
      </c>
    </row>
    <row r="194" spans="2:5" ht="20.05" customHeight="1" x14ac:dyDescent="0.35">
      <c r="B194" s="4" t="s">
        <v>248</v>
      </c>
      <c r="C194" s="362" t="s">
        <v>249</v>
      </c>
      <c r="D194" s="347" t="s">
        <v>249</v>
      </c>
      <c r="E194" s="4" t="str">
        <f>IF(wld_az2_reuse_vcf_networkpool_chosen="Re-use an existing VCF Network Pool","An exisiting VCF Network Pool will be reused for Host TEP assignment","A new VCF Network Pool will be created")</f>
        <v>A new VCF Network Pool will be created</v>
      </c>
    </row>
    <row r="195" spans="2:5" ht="20.05" customHeight="1" x14ac:dyDescent="0.35">
      <c r="B195" s="17" t="s">
        <v>250</v>
      </c>
      <c r="C195" s="80" t="str">
        <f>CONCATENATE(this_instance,"02-w0",wld_domain_number_chosen,"-r01-network-pool-01")</f>
        <v>sfo02-w01-r01-network-pool-01</v>
      </c>
      <c r="D195" s="347"/>
      <c r="E195" s="32"/>
    </row>
    <row r="196" spans="2:5" ht="20.05" customHeight="1" x14ac:dyDescent="0.35">
      <c r="B196" s="496" t="s">
        <v>251</v>
      </c>
      <c r="C196" s="497"/>
      <c r="D196" s="497"/>
      <c r="E196" s="498"/>
    </row>
    <row r="197" spans="2:5" ht="20.05" customHeight="1" x14ac:dyDescent="0.35">
      <c r="B197" s="4" t="s">
        <v>85</v>
      </c>
      <c r="C197" s="80" t="str">
        <f>CONCATENATE(prefix_wld_az2_vlan,"12")</f>
        <v>1412</v>
      </c>
      <c r="D197" s="347"/>
      <c r="E197" s="93"/>
    </row>
    <row r="198" spans="2:5" ht="20.05" customHeight="1" x14ac:dyDescent="0.35">
      <c r="B198" s="4" t="s">
        <v>160</v>
      </c>
      <c r="C198" s="80">
        <v>9000</v>
      </c>
      <c r="D198" s="347"/>
      <c r="E198" s="32"/>
    </row>
    <row r="199" spans="2:5" ht="20.05" customHeight="1" x14ac:dyDescent="0.35">
      <c r="B199" s="4" t="s">
        <v>252</v>
      </c>
      <c r="C199" s="80" t="str">
        <f>CONCATENATE(prefix_wld_az2_cidr,"12.0")</f>
        <v>10.14.12.0</v>
      </c>
      <c r="D199" s="347"/>
      <c r="E199" s="32"/>
    </row>
    <row r="200" spans="2:5" ht="20.05" customHeight="1" x14ac:dyDescent="0.35">
      <c r="B200" s="4" t="s">
        <v>285</v>
      </c>
      <c r="C200" s="80" t="s">
        <v>128</v>
      </c>
      <c r="D200" s="347"/>
      <c r="E200" s="32"/>
    </row>
    <row r="201" spans="2:5" ht="20.05" customHeight="1" x14ac:dyDescent="0.35">
      <c r="B201" s="4" t="s">
        <v>187</v>
      </c>
      <c r="C201" s="80" t="str">
        <f>CONCATENATE(prefix_wld_az2_cidr,"12.1")</f>
        <v>10.14.12.1</v>
      </c>
      <c r="D201" s="347"/>
      <c r="E201" s="32"/>
    </row>
    <row r="202" spans="2:5" ht="20.05" customHeight="1" x14ac:dyDescent="0.35">
      <c r="B202" s="17" t="s">
        <v>255</v>
      </c>
      <c r="C202" s="80" t="str">
        <f>CONCATENATE(prefix_wld_az2_cidr,"12.101")</f>
        <v>10.14.12.101</v>
      </c>
      <c r="D202" s="347"/>
      <c r="E202" s="32"/>
    </row>
    <row r="203" spans="2:5" ht="20.05" customHeight="1" x14ac:dyDescent="0.35">
      <c r="B203" s="17" t="s">
        <v>256</v>
      </c>
      <c r="C203" s="80" t="str">
        <f>CONCATENATE(prefix_wld_az2_cidr,"12.116")</f>
        <v>10.14.12.116</v>
      </c>
      <c r="D203" s="347"/>
      <c r="E203" s="32"/>
    </row>
    <row r="204" spans="2:5" ht="20.05" customHeight="1" x14ac:dyDescent="0.35">
      <c r="B204" s="496" t="s">
        <v>257</v>
      </c>
      <c r="C204" s="497"/>
      <c r="D204" s="497"/>
      <c r="E204" s="498"/>
    </row>
    <row r="205" spans="2:5" ht="20.05" customHeight="1" x14ac:dyDescent="0.35">
      <c r="B205" s="4" t="s">
        <v>85</v>
      </c>
      <c r="C205" s="80" t="str">
        <f>CONCATENATE(prefix_wld_az2_vlan,"13")</f>
        <v>1413</v>
      </c>
      <c r="D205" s="347"/>
      <c r="E205" s="32"/>
    </row>
    <row r="206" spans="2:5" ht="20.05" customHeight="1" x14ac:dyDescent="0.35">
      <c r="B206" s="4" t="s">
        <v>160</v>
      </c>
      <c r="C206" s="80">
        <v>9000</v>
      </c>
      <c r="D206" s="347"/>
      <c r="E206" s="32"/>
    </row>
    <row r="207" spans="2:5" ht="20.05" customHeight="1" x14ac:dyDescent="0.35">
      <c r="B207" s="4" t="s">
        <v>252</v>
      </c>
      <c r="C207" s="80" t="str">
        <f>CONCATENATE(prefix_wld_az2_cidr,"13.0")</f>
        <v>10.14.13.0</v>
      </c>
      <c r="D207" s="347"/>
      <c r="E207" s="56"/>
    </row>
    <row r="208" spans="2:5" ht="20.05" customHeight="1" x14ac:dyDescent="0.35">
      <c r="B208" s="4" t="s">
        <v>285</v>
      </c>
      <c r="C208" s="80" t="s">
        <v>128</v>
      </c>
      <c r="D208" s="347"/>
      <c r="E208" s="56"/>
    </row>
    <row r="209" spans="2:5" ht="20.05" customHeight="1" x14ac:dyDescent="0.35">
      <c r="B209" s="4" t="s">
        <v>187</v>
      </c>
      <c r="C209" s="80" t="str">
        <f>CONCATENATE(prefix_wld_az2_cidr,"13.1")</f>
        <v>10.14.13.1</v>
      </c>
      <c r="D209" s="347"/>
      <c r="E209" s="32" t="str">
        <f>IF(AND(mgmt_stretched_cluster_result="Included",mgmt_dpg_reuse_result="Excluded"),"Stretched L2","")</f>
        <v/>
      </c>
    </row>
    <row r="210" spans="2:5" ht="20.05" customHeight="1" x14ac:dyDescent="0.35">
      <c r="B210" s="17" t="s">
        <v>255</v>
      </c>
      <c r="C210" s="80" t="str">
        <f>CONCATENATE(prefix_wld_az2_cidr,"13.101")</f>
        <v>10.14.13.101</v>
      </c>
      <c r="D210" s="347"/>
      <c r="E210" s="56"/>
    </row>
    <row r="211" spans="2:5" ht="20.05" customHeight="1" x14ac:dyDescent="0.35">
      <c r="B211" s="17" t="s">
        <v>256</v>
      </c>
      <c r="C211" s="80" t="str">
        <f>CONCATENATE(prefix_wld_az2_cidr,"13.116")</f>
        <v>10.14.13.116</v>
      </c>
      <c r="D211" s="347"/>
      <c r="E211" s="56"/>
    </row>
    <row r="212" spans="2:5" ht="20.05" customHeight="1" x14ac:dyDescent="0.35">
      <c r="B212" s="496" t="str">
        <f>IF(wld_secondary_storage_chosen="Secondary NFS Storage Network","NFS Storage Network","vSAN Storage Client")</f>
        <v>vSAN Storage Client</v>
      </c>
      <c r="C212" s="497"/>
      <c r="D212" s="497"/>
      <c r="E212" s="498"/>
    </row>
    <row r="213" spans="2:5" ht="20.05" customHeight="1" x14ac:dyDescent="0.35">
      <c r="B213" s="4" t="s">
        <v>85</v>
      </c>
      <c r="C213" s="80" t="str">
        <f>CONCATENATE(prefix_wld_az2_vlan,"15")</f>
        <v>1415</v>
      </c>
      <c r="D213" s="347"/>
      <c r="E213" s="32"/>
    </row>
    <row r="214" spans="2:5" ht="20.05" customHeight="1" x14ac:dyDescent="0.35">
      <c r="B214" s="4" t="s">
        <v>160</v>
      </c>
      <c r="C214" s="80">
        <v>9000</v>
      </c>
      <c r="D214" s="347"/>
      <c r="E214" s="56"/>
    </row>
    <row r="215" spans="2:5" ht="20.05" customHeight="1" x14ac:dyDescent="0.35">
      <c r="B215" s="4" t="s">
        <v>252</v>
      </c>
      <c r="C215" s="80" t="str">
        <f>CONCATENATE(prefix_wld_az2_cidr,"15.0")</f>
        <v>10.14.15.0</v>
      </c>
      <c r="D215" s="347"/>
      <c r="E215" s="32"/>
    </row>
    <row r="216" spans="2:5" ht="20.05" customHeight="1" x14ac:dyDescent="0.35">
      <c r="B216" s="4" t="s">
        <v>285</v>
      </c>
      <c r="C216" s="80" t="s">
        <v>128</v>
      </c>
      <c r="D216" s="347"/>
      <c r="E216" s="32"/>
    </row>
    <row r="217" spans="2:5" ht="20.05" customHeight="1" x14ac:dyDescent="0.35">
      <c r="B217" s="4" t="s">
        <v>187</v>
      </c>
      <c r="C217" s="80" t="str">
        <f>CONCATENATE(prefix_wld_az2_cidr,"15.1")</f>
        <v>10.14.15.1</v>
      </c>
      <c r="D217" s="347"/>
      <c r="E217" s="32" t="str">
        <f>IF(AND(mgmt_stretched_cluster_result="Included",mgmt_dpg_reuse_result="Excluded"),"Stretched L2","")</f>
        <v/>
      </c>
    </row>
    <row r="218" spans="2:5" ht="20.05" customHeight="1" x14ac:dyDescent="0.35">
      <c r="B218" s="17" t="s">
        <v>255</v>
      </c>
      <c r="C218" s="80" t="str">
        <f>CONCATENATE(prefix_wld_az2_cidr,"15.101")</f>
        <v>10.14.15.101</v>
      </c>
      <c r="D218" s="347"/>
      <c r="E218" s="56"/>
    </row>
    <row r="219" spans="2:5" ht="20.05" customHeight="1" x14ac:dyDescent="0.35">
      <c r="B219" s="17" t="s">
        <v>256</v>
      </c>
      <c r="C219" s="80" t="str">
        <f>CONCATENATE(prefix_wld_az2_cidr,"15.116")</f>
        <v>10.14.15.116</v>
      </c>
      <c r="D219" s="347"/>
      <c r="E219" s="56"/>
    </row>
    <row r="220" spans="2:5" ht="20.05" customHeight="1" x14ac:dyDescent="0.35">
      <c r="B220" s="496" t="s">
        <v>805</v>
      </c>
      <c r="C220" s="497"/>
      <c r="D220" s="497"/>
      <c r="E220" s="498"/>
    </row>
    <row r="221" spans="2:5" ht="20.05" customHeight="1" x14ac:dyDescent="0.35">
      <c r="B221" s="4" t="s">
        <v>85</v>
      </c>
      <c r="C221" s="80" t="str">
        <f>CONCATENATE(prefix_wld_az2_vlan,"16")</f>
        <v>1416</v>
      </c>
      <c r="D221" s="347"/>
      <c r="E221" s="32"/>
    </row>
    <row r="222" spans="2:5" ht="20.05" customHeight="1" x14ac:dyDescent="0.35">
      <c r="B222" s="4" t="s">
        <v>160</v>
      </c>
      <c r="C222" s="80">
        <v>9000</v>
      </c>
      <c r="D222" s="347"/>
      <c r="E222" s="56"/>
    </row>
    <row r="223" spans="2:5" ht="20.05" customHeight="1" x14ac:dyDescent="0.35">
      <c r="B223" s="4" t="s">
        <v>252</v>
      </c>
      <c r="C223" s="80" t="str">
        <f>CONCATENATE(prefix_wld_az2_cidr,"16.0")</f>
        <v>10.14.16.0</v>
      </c>
      <c r="D223" s="347"/>
      <c r="E223" s="32"/>
    </row>
    <row r="224" spans="2:5" ht="20.05" customHeight="1" x14ac:dyDescent="0.35">
      <c r="B224" s="4" t="s">
        <v>285</v>
      </c>
      <c r="C224" s="80" t="s">
        <v>128</v>
      </c>
      <c r="D224" s="347"/>
      <c r="E224" s="32"/>
    </row>
    <row r="225" spans="2:5" ht="20.05" customHeight="1" x14ac:dyDescent="0.35">
      <c r="B225" s="4" t="s">
        <v>187</v>
      </c>
      <c r="C225" s="80" t="str">
        <f>CONCATENATE(prefix_wld_az2_cidr,"16.1")</f>
        <v>10.14.16.1</v>
      </c>
      <c r="D225" s="347"/>
      <c r="E225" s="32" t="str">
        <f>IF(AND(mgmt_stretched_cluster_result="Included",mgmt_dpg_reuse_result="Excluded"),"Stretched L2","")</f>
        <v/>
      </c>
    </row>
    <row r="226" spans="2:5" ht="20.05" customHeight="1" x14ac:dyDescent="0.35">
      <c r="B226" s="17" t="s">
        <v>255</v>
      </c>
      <c r="C226" s="80" t="str">
        <f>CONCATENATE(prefix_wld_az2_cidr,"16.101")</f>
        <v>10.14.16.101</v>
      </c>
      <c r="D226" s="347"/>
      <c r="E226" s="56"/>
    </row>
    <row r="227" spans="2:5" ht="20.05" customHeight="1" x14ac:dyDescent="0.35">
      <c r="B227" s="17" t="s">
        <v>256</v>
      </c>
      <c r="C227" s="80" t="str">
        <f>CONCATENATE(prefix_wld_az2_cidr,"16.116")</f>
        <v>10.14.16.116</v>
      </c>
      <c r="D227" s="347"/>
      <c r="E227" s="56"/>
    </row>
    <row r="228" spans="2:5" ht="16" customHeight="1" x14ac:dyDescent="0.35"/>
    <row r="229" spans="2:5" ht="34" customHeight="1" x14ac:dyDescent="0.35">
      <c r="B229" s="509" t="s">
        <v>806</v>
      </c>
      <c r="C229" s="510"/>
      <c r="D229" s="510"/>
      <c r="E229" s="511"/>
    </row>
    <row r="230" spans="2:5" ht="20.05" customHeight="1" x14ac:dyDescent="0.35">
      <c r="B230" s="561"/>
      <c r="C230" s="561"/>
      <c r="D230" s="561"/>
      <c r="E230" s="561"/>
    </row>
    <row r="231" spans="2:5" ht="20.05" customHeight="1" x14ac:dyDescent="0.35">
      <c r="B231" s="346" t="s">
        <v>17</v>
      </c>
      <c r="C231" s="346" t="s">
        <v>18</v>
      </c>
      <c r="D231" s="346" t="s">
        <v>19</v>
      </c>
      <c r="E231" s="346" t="s">
        <v>20</v>
      </c>
    </row>
    <row r="232" spans="2:5" ht="20.05" customHeight="1" x14ac:dyDescent="0.35">
      <c r="B232" s="17" t="s">
        <v>215</v>
      </c>
      <c r="C232" s="149" t="str">
        <f>CONCATENATE(this_instance,"02-w0",wld_domain_number_chosen,"-r01-esx01",".",sample_child_dns_zone)</f>
        <v>sfo02-w01-r01-esx01.sfo.rainpole.io</v>
      </c>
      <c r="D232" s="175"/>
      <c r="E232" s="32"/>
    </row>
    <row r="233" spans="2:5" ht="20.05" customHeight="1" x14ac:dyDescent="0.35">
      <c r="B233" s="17" t="s">
        <v>217</v>
      </c>
      <c r="C233" s="176" t="str">
        <f>CONCATENATE(this_instance,"02-w0",wld_domain_number_chosen,"-r01-esx02",".",sample_child_dns_zone)</f>
        <v>sfo02-w01-r01-esx02.sfo.rainpole.io</v>
      </c>
      <c r="D233" s="175"/>
      <c r="E233" s="32"/>
    </row>
    <row r="234" spans="2:5" ht="20.05" customHeight="1" x14ac:dyDescent="0.35">
      <c r="B234" s="17" t="s">
        <v>219</v>
      </c>
      <c r="C234" s="176" t="str">
        <f>CONCATENATE(this_instance,"02-w0",wld_domain_number_chosen,"-r01-esx03",".",sample_child_dns_zone)</f>
        <v>sfo02-w01-r01-esx03.sfo.rainpole.io</v>
      </c>
      <c r="D234" s="175"/>
      <c r="E234" s="32"/>
    </row>
    <row r="235" spans="2:5" ht="20.05" customHeight="1" x14ac:dyDescent="0.35">
      <c r="B235" s="17" t="s">
        <v>221</v>
      </c>
      <c r="C235" s="176" t="str">
        <f>CONCATENATE(this_instance,"02-w0",wld_domain_number_chosen,"-r01-esx04",".",sample_child_dns_zone)</f>
        <v>sfo02-w01-r01-esx04.sfo.rainpole.io</v>
      </c>
      <c r="D235" s="175"/>
      <c r="E235" s="32"/>
    </row>
    <row r="236" spans="2:5" ht="20.05" customHeight="1" x14ac:dyDescent="0.35">
      <c r="B236" s="17" t="s">
        <v>223</v>
      </c>
      <c r="C236" s="176" t="str">
        <f>CONCATENATE(this_instance,"02-w0",wld_domain_number_chosen,"-r01-esx05",".",sample_child_dns_zone)</f>
        <v>sfo02-w01-r01-esx05.sfo.rainpole.io</v>
      </c>
      <c r="D236" s="175"/>
      <c r="E236" s="32"/>
    </row>
    <row r="237" spans="2:5" ht="20.05" customHeight="1" x14ac:dyDescent="0.35">
      <c r="B237" s="17" t="s">
        <v>225</v>
      </c>
      <c r="C237" s="176" t="str">
        <f>CONCATENATE(this_instance,"02-w0",wld_domain_number_chosen,"-r01-esx06",".",sample_child_dns_zone)</f>
        <v>sfo02-w01-r01-esx06.sfo.rainpole.io</v>
      </c>
      <c r="D237" s="175"/>
      <c r="E237" s="32"/>
    </row>
    <row r="238" spans="2:5" ht="20.05" customHeight="1" x14ac:dyDescent="0.35">
      <c r="B238" s="17" t="s">
        <v>227</v>
      </c>
      <c r="C238" s="176" t="str">
        <f>CONCATENATE(this_instance,"02-w0",wld_domain_number_chosen,"-r01-esx07",".",sample_child_dns_zone)</f>
        <v>sfo02-w01-r01-esx07.sfo.rainpole.io</v>
      </c>
      <c r="D238" s="175"/>
      <c r="E238" s="32"/>
    </row>
    <row r="239" spans="2:5" ht="20.05" customHeight="1" x14ac:dyDescent="0.35">
      <c r="B239" s="17" t="s">
        <v>229</v>
      </c>
      <c r="C239" s="176" t="str">
        <f>CONCATENATE(this_instance,"02-w0",wld_domain_number_chosen,"-r01-esx08",".",sample_child_dns_zone)</f>
        <v>sfo02-w01-r01-esx08.sfo.rainpole.io</v>
      </c>
      <c r="D239" s="175"/>
      <c r="E239" s="32"/>
    </row>
    <row r="240" spans="2:5" ht="20.05" customHeight="1" x14ac:dyDescent="0.35">
      <c r="B240" s="17" t="s">
        <v>231</v>
      </c>
      <c r="C240" s="176" t="str">
        <f>CONCATENATE(this_instance,"02-w0",wld_domain_number_chosen,"-r01-esx09",".",sample_child_dns_zone)</f>
        <v>sfo02-w01-r01-esx09.sfo.rainpole.io</v>
      </c>
      <c r="D240" s="175"/>
      <c r="E240" s="32"/>
    </row>
    <row r="241" spans="2:5" ht="20.05" customHeight="1" x14ac:dyDescent="0.35">
      <c r="B241" s="17" t="s">
        <v>233</v>
      </c>
      <c r="C241" s="176" t="str">
        <f>CONCATENATE(this_instance,"02-w0",wld_domain_number_chosen,"-r01-esx10",".",sample_child_dns_zone)</f>
        <v>sfo02-w01-r01-esx10.sfo.rainpole.io</v>
      </c>
      <c r="D241" s="175"/>
      <c r="E241" s="32"/>
    </row>
    <row r="242" spans="2:5" ht="20.05" customHeight="1" x14ac:dyDescent="0.35">
      <c r="B242" s="17" t="s">
        <v>235</v>
      </c>
      <c r="C242" s="176" t="str">
        <f>CONCATENATE(this_instance,"02-w0",wld_domain_number_chosen,"-r01-esx11",".",sample_child_dns_zone)</f>
        <v>sfo02-w01-r01-esx11.sfo.rainpole.io</v>
      </c>
      <c r="D242" s="175"/>
      <c r="E242" s="32"/>
    </row>
    <row r="243" spans="2:5" ht="20.05" customHeight="1" x14ac:dyDescent="0.35">
      <c r="B243" s="17" t="s">
        <v>237</v>
      </c>
      <c r="C243" s="176" t="str">
        <f>CONCATENATE(this_instance,"02-w0",wld_domain_number_chosen,"-r01-esx12",".",sample_child_dns_zone)</f>
        <v>sfo02-w01-r01-esx12.sfo.rainpole.io</v>
      </c>
      <c r="D243" s="175"/>
      <c r="E243" s="32"/>
    </row>
    <row r="244" spans="2:5" ht="20.05" customHeight="1" x14ac:dyDescent="0.35">
      <c r="B244" s="17" t="s">
        <v>239</v>
      </c>
      <c r="C244" s="176" t="str">
        <f>CONCATENATE(this_instance,"02-w0",wld_domain_number_chosen,"-r01-esx13",".",sample_child_dns_zone)</f>
        <v>sfo02-w01-r01-esx13.sfo.rainpole.io</v>
      </c>
      <c r="D244" s="175"/>
      <c r="E244" s="32"/>
    </row>
    <row r="245" spans="2:5" ht="20.05" customHeight="1" x14ac:dyDescent="0.35">
      <c r="B245" s="17" t="s">
        <v>241</v>
      </c>
      <c r="C245" s="176" t="str">
        <f>CONCATENATE(this_instance,"02-w0",wld_domain_number_chosen,"-r01-esx14",".",sample_child_dns_zone)</f>
        <v>sfo02-w01-r01-esx14.sfo.rainpole.io</v>
      </c>
      <c r="D245" s="175"/>
      <c r="E245" s="32"/>
    </row>
    <row r="246" spans="2:5" ht="20.05" customHeight="1" x14ac:dyDescent="0.35">
      <c r="B246" s="17" t="s">
        <v>243</v>
      </c>
      <c r="C246" s="176" t="str">
        <f>CONCATENATE(this_instance,"02-w0",wld_domain_number_chosen,"-r01-esx15",".",sample_child_dns_zone)</f>
        <v>sfo02-w01-r01-esx15.sfo.rainpole.io</v>
      </c>
      <c r="D246" s="175"/>
      <c r="E246" s="32"/>
    </row>
    <row r="247" spans="2:5" ht="20.05" customHeight="1" x14ac:dyDescent="0.35">
      <c r="B247" s="17" t="s">
        <v>245</v>
      </c>
      <c r="C247" s="176" t="str">
        <f>CONCATENATE(this_instance,"02-w0",wld_domain_number_chosen,"-r01-esx16",".",sample_child_dns_zone)</f>
        <v>sfo02-w01-r01-esx16.sfo.rainpole.io</v>
      </c>
      <c r="D247" s="175"/>
      <c r="E247" s="32"/>
    </row>
    <row r="248" spans="2:5" ht="20.05" customHeight="1" x14ac:dyDescent="0.35">
      <c r="B248" s="17" t="s">
        <v>264</v>
      </c>
      <c r="C248" s="78" t="s">
        <v>762</v>
      </c>
      <c r="D248" s="177" t="str">
        <f>IF(wld_principal_storage_chosen="vSAN-ESA","Selected","Unselected")</f>
        <v>Selected</v>
      </c>
      <c r="E248" s="32"/>
    </row>
    <row r="249" spans="2:5" ht="20.05" customHeight="1" x14ac:dyDescent="0.35">
      <c r="B249" s="17" t="s">
        <v>266</v>
      </c>
      <c r="C249" s="78" t="s">
        <v>267</v>
      </c>
      <c r="D249" s="175" t="s">
        <v>267</v>
      </c>
      <c r="E249" s="32"/>
    </row>
    <row r="250" spans="2:5" ht="20.05" customHeight="1" x14ac:dyDescent="0.35">
      <c r="B250" s="17" t="s">
        <v>268</v>
      </c>
      <c r="C250" s="78" t="s">
        <v>159</v>
      </c>
      <c r="D250" s="177" t="str">
        <f>IF(OR(wld_principal_storage_chosen="vSAN-ESA",wld_principal_storage_chosen="vSAN Storage Cluster"),"Selected","Unselected")</f>
        <v>Selected</v>
      </c>
      <c r="E250" s="32"/>
    </row>
    <row r="251" spans="2:5" ht="20.05" customHeight="1" x14ac:dyDescent="0.35">
      <c r="B251" s="17" t="s">
        <v>250</v>
      </c>
      <c r="C251" s="78" t="str">
        <f>sample_wld_az2_pool_name</f>
        <v>sfo02-w01-r01-network-pool-01</v>
      </c>
      <c r="D251" s="177" t="str">
        <f>wld_az2_pool_name</f>
        <v>Value Missing</v>
      </c>
      <c r="E251" s="32"/>
    </row>
    <row r="252" spans="2:5" ht="20.05" customHeight="1" x14ac:dyDescent="0.35">
      <c r="B252" s="17" t="s">
        <v>46</v>
      </c>
      <c r="C252" s="78" t="s">
        <v>269</v>
      </c>
      <c r="D252" s="175"/>
      <c r="E252" s="32"/>
    </row>
    <row r="253" spans="2:5" ht="20.05" customHeight="1" x14ac:dyDescent="0.35">
      <c r="B253" s="17" t="s">
        <v>29</v>
      </c>
      <c r="C253" s="78" t="s">
        <v>30</v>
      </c>
      <c r="D253" s="175"/>
      <c r="E253" s="32"/>
    </row>
    <row r="254" spans="2:5" ht="16" customHeight="1" x14ac:dyDescent="0.35">
      <c r="B254" s="168"/>
      <c r="C254" s="168"/>
      <c r="D254" s="168"/>
    </row>
    <row r="255" spans="2:5" ht="20.05" customHeight="1" x14ac:dyDescent="0.35">
      <c r="B255" s="496" t="s">
        <v>1065</v>
      </c>
      <c r="C255" s="497"/>
      <c r="D255" s="497"/>
      <c r="E255" s="498"/>
    </row>
    <row r="256" spans="2:5" ht="20.05" customHeight="1" x14ac:dyDescent="0.35">
      <c r="B256" s="346" t="s">
        <v>17</v>
      </c>
      <c r="C256" s="346" t="s">
        <v>18</v>
      </c>
      <c r="D256" s="346" t="s">
        <v>19</v>
      </c>
      <c r="E256" s="346" t="s">
        <v>20</v>
      </c>
    </row>
    <row r="257" spans="2:5" ht="20.05" customHeight="1" x14ac:dyDescent="0.35">
      <c r="B257" s="4" t="s">
        <v>85</v>
      </c>
      <c r="C257" s="80" t="str">
        <f>IF(mgmt_dpg_reuse_result="Included",CONCATENATE(prefix_wld_witness_vlan,"10"),CONCATENATE(prefix_wld_witness_vlan,"11"))</f>
        <v>2110</v>
      </c>
      <c r="D257" s="347"/>
      <c r="E257" s="32"/>
    </row>
    <row r="258" spans="2:5" ht="20.05" customHeight="1" x14ac:dyDescent="0.35">
      <c r="B258" s="4" t="s">
        <v>187</v>
      </c>
      <c r="C258" s="362" t="str">
        <f>IF(mgmt_dpg_reuse_result="Included",CONCATENATE(prefix_wld_witness_cidr,"10.1"),CONCATENATE(prefix_wld_witness_cidr,"11.1"))</f>
        <v>10.21.10.1</v>
      </c>
      <c r="D258" s="347"/>
      <c r="E258" s="32" t="str">
        <f>IF(AND(mgmt_stretched_cluster_result="Included",mgmt_dpg_reuse_result="Excluded"),"Stretched L2","")</f>
        <v/>
      </c>
    </row>
    <row r="259" spans="2:5" ht="20.05" customHeight="1" x14ac:dyDescent="0.35">
      <c r="B259" s="4" t="s">
        <v>188</v>
      </c>
      <c r="C259" s="80" t="str">
        <f>IF(mgmt_dpg_reuse_result="Included",CONCATENATE(prefix_wld_witness_cidr,"10.0/24"),CONCATENATE(prefix_wld_witness_cidr,"11.0/24"))</f>
        <v>10.21.10.0/24</v>
      </c>
      <c r="D259" s="347"/>
      <c r="E259" s="32"/>
    </row>
    <row r="260" spans="2:5" ht="20.05" customHeight="1" x14ac:dyDescent="0.35">
      <c r="B260" s="4" t="s">
        <v>160</v>
      </c>
      <c r="C260" s="362">
        <f>sample_wld_witnessaz_mgmt_mtu</f>
        <v>1500</v>
      </c>
      <c r="D260" s="175"/>
      <c r="E260" s="32"/>
    </row>
    <row r="261" spans="2:5" ht="20.05" customHeight="1" x14ac:dyDescent="0.35"/>
    <row r="262" spans="2:5" ht="34" customHeight="1" x14ac:dyDescent="0.35">
      <c r="B262" s="509" t="s">
        <v>1066</v>
      </c>
      <c r="C262" s="510"/>
      <c r="D262" s="510"/>
      <c r="E262" s="511"/>
    </row>
    <row r="263" spans="2:5" ht="20.05" customHeight="1" x14ac:dyDescent="0.35">
      <c r="B263" s="366"/>
      <c r="C263" s="367"/>
      <c r="D263" s="367"/>
      <c r="E263" s="368"/>
    </row>
    <row r="264" spans="2:5" ht="20.05" customHeight="1" x14ac:dyDescent="0.35">
      <c r="B264" s="346" t="s">
        <v>17</v>
      </c>
      <c r="C264" s="346" t="s">
        <v>18</v>
      </c>
      <c r="D264" s="346" t="s">
        <v>19</v>
      </c>
      <c r="E264" s="346" t="s">
        <v>20</v>
      </c>
    </row>
    <row r="265" spans="2:5" ht="20.05" customHeight="1" x14ac:dyDescent="0.35">
      <c r="B265" s="4" t="s">
        <v>273</v>
      </c>
      <c r="C265" s="126" t="str">
        <f>CONCATENATE(other_instance,"-m01-vc01.",other_instance,".rainpole.io")</f>
        <v>lax-m01-vc01.lax.rainpole.io</v>
      </c>
      <c r="D265" s="347"/>
      <c r="E265" s="4"/>
    </row>
    <row r="266" spans="2:5" ht="20.05" customHeight="1" x14ac:dyDescent="0.35">
      <c r="B266" s="4" t="s">
        <v>275</v>
      </c>
      <c r="C266" s="89" t="str">
        <f>IF(mgmt_dpg_reuse_result="Included",CONCATENATE(prefix_other_region_az1_cidr,"10.70"),CONCATENATE(prefix_other_region_az1_cidr,"11.70"))</f>
        <v>10.21.10.70</v>
      </c>
      <c r="D266" s="347"/>
      <c r="E266" s="4"/>
    </row>
    <row r="267" spans="2:5" ht="20.05" customHeight="1" x14ac:dyDescent="0.35">
      <c r="B267" s="4" t="s">
        <v>276</v>
      </c>
      <c r="C267" s="126" t="str">
        <f>CONCATENATE(this_instance,"-w0",wld_domain_number_chosen,"-cl01-vsw01")</f>
        <v>sfo-w01-cl01-vsw01</v>
      </c>
      <c r="D267" s="347"/>
      <c r="E267" s="4"/>
    </row>
    <row r="268" spans="2:5" ht="20.05" customHeight="1" x14ac:dyDescent="0.35">
      <c r="B268" s="4" t="s">
        <v>277</v>
      </c>
      <c r="C268" s="362" t="str">
        <f>CONCATENATE(other_instance,"-m01-cl01")</f>
        <v>lax-m01-cl01</v>
      </c>
      <c r="D268" s="347"/>
      <c r="E268" s="4"/>
    </row>
    <row r="269" spans="2:5" ht="20.05" customHeight="1" x14ac:dyDescent="0.35">
      <c r="B269" s="4" t="s">
        <v>278</v>
      </c>
      <c r="C269" s="362" t="str">
        <f>CONCATENATE(other_instance,"-fd-mgmt")</f>
        <v>lax-fd-mgmt</v>
      </c>
      <c r="D269" s="347"/>
      <c r="E269" s="4"/>
    </row>
    <row r="270" spans="2:5" ht="20.05" customHeight="1" x14ac:dyDescent="0.35">
      <c r="B270" s="4" t="s">
        <v>279</v>
      </c>
      <c r="C270" s="362" t="str">
        <f>CONCATENATE(other_instance,"-m01-cl01-ds-vsan01")</f>
        <v>lax-m01-cl01-ds-vsan01</v>
      </c>
      <c r="D270" s="347"/>
      <c r="E270" s="4"/>
    </row>
    <row r="271" spans="2:5" ht="20.05" customHeight="1" x14ac:dyDescent="0.35">
      <c r="B271" s="4" t="s">
        <v>280</v>
      </c>
      <c r="C271" s="362" t="str">
        <f>CONCATENATE(other_instance,"01-m01-cl01-vds01-pg-vm-mgmt")</f>
        <v>lax01-m01-cl01-vds01-pg-vm-mgmt</v>
      </c>
      <c r="D271" s="347"/>
      <c r="E271" s="4"/>
    </row>
    <row r="272" spans="2:5" ht="20.05" customHeight="1" x14ac:dyDescent="0.35">
      <c r="B272" s="4" t="s">
        <v>281</v>
      </c>
      <c r="C272" s="362" t="str">
        <f>sample_wld_witness_mgmt_pg</f>
        <v>lax01-m01-cl01-vds01-pg-vm-mgmt</v>
      </c>
      <c r="D272" s="177" t="str">
        <f>wld_witness_mgmt_pg</f>
        <v>Value Missing</v>
      </c>
      <c r="E272" s="4"/>
    </row>
    <row r="273" spans="2:5" ht="20.05" customHeight="1" x14ac:dyDescent="0.35">
      <c r="B273" s="4" t="s">
        <v>282</v>
      </c>
      <c r="C273" s="362" t="s">
        <v>30</v>
      </c>
      <c r="D273" s="129"/>
      <c r="E273" s="337" t="s">
        <v>1067</v>
      </c>
    </row>
    <row r="274" spans="2:5" ht="20.05" customHeight="1" x14ac:dyDescent="0.35">
      <c r="B274" s="4" t="s">
        <v>1068</v>
      </c>
      <c r="C274" s="126" t="str">
        <f>IF(mgmt_dpg_reuse_result="Included",CONCATENATE(prefix_other_region_az1_cidr,"10.",(218 + wld_domain_number_chosen)),CONCATENATE(prefix_other_region_az1_cidr,"11.",(218 + wld_domain_number_chosen)))</f>
        <v>10.21.10.219</v>
      </c>
      <c r="D274" s="347"/>
      <c r="E274" s="4"/>
    </row>
    <row r="275" spans="2:5" ht="20.05" customHeight="1" x14ac:dyDescent="0.35">
      <c r="B275" s="4" t="s">
        <v>285</v>
      </c>
      <c r="C275" s="362" t="s">
        <v>128</v>
      </c>
      <c r="D275" s="337" t="str">
        <f>wld_witnessaz_mgmt_mask</f>
        <v>Value Missing</v>
      </c>
      <c r="E275" s="4"/>
    </row>
    <row r="276" spans="2:5" ht="20.05" customHeight="1" x14ac:dyDescent="0.35">
      <c r="B276" s="4" t="s">
        <v>187</v>
      </c>
      <c r="C276" s="362" t="str">
        <f>sample_wld_witnessaz_mgmt_gateway_ip</f>
        <v>10.21.10.1</v>
      </c>
      <c r="D276" s="337"/>
      <c r="E276" s="4"/>
    </row>
    <row r="277" spans="2:5" ht="20.05" customHeight="1" x14ac:dyDescent="0.35">
      <c r="B277" s="4" t="s">
        <v>286</v>
      </c>
      <c r="C277" s="362" t="str">
        <f>sample_child_dns_zone</f>
        <v>sfo.rainpole.io</v>
      </c>
      <c r="D277" s="347"/>
      <c r="E277" s="4"/>
    </row>
    <row r="278" spans="2:5" ht="20.05" customHeight="1" x14ac:dyDescent="0.35">
      <c r="B278" s="4" t="s">
        <v>287</v>
      </c>
      <c r="C278" s="362" t="str">
        <f>sample_wld_witness_hostname</f>
        <v>sfo-w01-cl01-vsw01</v>
      </c>
      <c r="D278" s="337" t="str">
        <f>wld_witness_hostname</f>
        <v>Value Missing</v>
      </c>
      <c r="E278" s="4"/>
    </row>
    <row r="279" spans="2:5" ht="20.05" customHeight="1" x14ac:dyDescent="0.35">
      <c r="B279" s="4" t="s">
        <v>288</v>
      </c>
      <c r="C279" s="362" t="str">
        <f>IF(mgmt_dpg_reuse_result="Included",CONCATENATE(prefix_other_region_az1_cidr,"10.4"),CONCATENATE(prefix_other_region_az1_cidr,"11.4"))</f>
        <v>10.21.10.4</v>
      </c>
      <c r="D279" s="347"/>
      <c r="E279" s="32"/>
    </row>
    <row r="280" spans="2:5" ht="20.05" customHeight="1" x14ac:dyDescent="0.35">
      <c r="B280" s="4" t="s">
        <v>290</v>
      </c>
      <c r="C280" s="362" t="str">
        <f>IF(mgmt_dpg_reuse_result="Included",CONCATENATE(prefix_other_region_az1_cidr,"10.5"),CONCATENATE(prefix_other_region_az1_cidr,"11.5"))</f>
        <v>10.21.10.5</v>
      </c>
      <c r="D280" s="347"/>
      <c r="E280" s="32"/>
    </row>
    <row r="281" spans="2:5" ht="20.05" customHeight="1" x14ac:dyDescent="0.35">
      <c r="B281" s="4" t="s">
        <v>292</v>
      </c>
      <c r="C281" s="362" t="str">
        <f>CONCATENATE("ntp0.",other_instance,".rainpole.io")</f>
        <v>ntp0.lax.rainpole.io</v>
      </c>
      <c r="D281" s="347"/>
      <c r="E281" s="4"/>
    </row>
    <row r="282" spans="2:5" ht="20.05" customHeight="1" x14ac:dyDescent="0.35">
      <c r="B282" s="4" t="s">
        <v>293</v>
      </c>
      <c r="C282" s="362" t="str">
        <f>CONCATENATE("ntp1.",other_instance,".rainpole.io")</f>
        <v>ntp1.lax.rainpole.io</v>
      </c>
      <c r="D282" s="347"/>
      <c r="E282" s="4"/>
    </row>
    <row r="283" spans="2:5" ht="20.05" customHeight="1" x14ac:dyDescent="0.35">
      <c r="B283" s="518" t="s">
        <v>294</v>
      </c>
      <c r="C283" s="519"/>
      <c r="D283" s="519"/>
      <c r="E283" s="520"/>
    </row>
    <row r="284" spans="2:5" ht="20.05" customHeight="1" x14ac:dyDescent="0.35">
      <c r="B284" s="346" t="s">
        <v>17</v>
      </c>
      <c r="C284" s="346" t="s">
        <v>18</v>
      </c>
      <c r="D284" s="346" t="s">
        <v>19</v>
      </c>
      <c r="E284" s="346" t="s">
        <v>20</v>
      </c>
    </row>
    <row r="285" spans="2:5" ht="20.05" customHeight="1" x14ac:dyDescent="0.35">
      <c r="B285" s="4" t="s">
        <v>273</v>
      </c>
      <c r="C285" s="362" t="str">
        <f>sample_wld_vc_fqdn</f>
        <v>sfo-w01-vc01.sfo.rainpole.io</v>
      </c>
      <c r="D285" s="337" t="str">
        <f>wld_vc_fqdn</f>
        <v>Value Missing</v>
      </c>
      <c r="E285" s="4"/>
    </row>
    <row r="286" spans="2:5" ht="20.05" customHeight="1" x14ac:dyDescent="0.35">
      <c r="B286" s="4" t="s">
        <v>295</v>
      </c>
      <c r="C286" s="362" t="str">
        <f>CONCATENATE(this_instance,"-w0",wld_domain_number_chosen,"-dc")</f>
        <v>sfo-w01-dc</v>
      </c>
      <c r="D286" s="347"/>
      <c r="E286" s="4"/>
    </row>
    <row r="287" spans="2:5" ht="20.05" customHeight="1" x14ac:dyDescent="0.35">
      <c r="B287" s="4" t="s">
        <v>38</v>
      </c>
      <c r="C287" s="362" t="str">
        <f>CONCATENATE(sample_wld_witness_hostname,".",sample_child_dns_zone)</f>
        <v>sfo-w01-cl01-vsw01.sfo.rainpole.io</v>
      </c>
      <c r="D287" s="347"/>
      <c r="E287" s="4"/>
    </row>
    <row r="288" spans="2:5" ht="20.05" customHeight="1" x14ac:dyDescent="0.35">
      <c r="B288" s="4" t="s">
        <v>296</v>
      </c>
      <c r="C288" s="362" t="str">
        <f>sample_wld_witness_root_password</f>
        <v>VMw@re1!</v>
      </c>
      <c r="D288" s="337" t="str">
        <f>wld_witness_root_password</f>
        <v>Value Missing</v>
      </c>
      <c r="E288" s="4"/>
    </row>
    <row r="289" spans="2:5" ht="20.05" customHeight="1" x14ac:dyDescent="0.35">
      <c r="B289" s="518" t="s">
        <v>297</v>
      </c>
      <c r="C289" s="519"/>
      <c r="D289" s="519"/>
      <c r="E289" s="520"/>
    </row>
    <row r="290" spans="2:5" ht="20.05" customHeight="1" x14ac:dyDescent="0.35">
      <c r="B290" s="346" t="s">
        <v>17</v>
      </c>
      <c r="C290" s="346" t="s">
        <v>18</v>
      </c>
      <c r="D290" s="346" t="s">
        <v>19</v>
      </c>
      <c r="E290" s="346" t="s">
        <v>20</v>
      </c>
    </row>
    <row r="291" spans="2:5" ht="20.05" customHeight="1" x14ac:dyDescent="0.35">
      <c r="B291" s="4" t="s">
        <v>273</v>
      </c>
      <c r="C291" s="362" t="str">
        <f>sample_wld_vc_fqdn</f>
        <v>sfo-w01-vc01.sfo.rainpole.io</v>
      </c>
      <c r="D291" s="337" t="str">
        <f>wld_vc_fqdn</f>
        <v>Value Missing</v>
      </c>
      <c r="E291" s="4"/>
    </row>
    <row r="292" spans="2:5" ht="20.05" customHeight="1" x14ac:dyDescent="0.35">
      <c r="B292" s="4" t="s">
        <v>298</v>
      </c>
      <c r="C292" s="362" t="str">
        <f>sample_wld_witness_hostname</f>
        <v>sfo-w01-cl01-vsw01</v>
      </c>
      <c r="D292" s="337" t="str">
        <f>wld_witness_hostname</f>
        <v>Value Missing</v>
      </c>
      <c r="E292" s="4"/>
    </row>
    <row r="293" spans="2:5" ht="20.05" customHeight="1" x14ac:dyDescent="0.35">
      <c r="B293" s="4" t="s">
        <v>299</v>
      </c>
      <c r="C293" s="362" t="str">
        <f>IF(AND((NOT(ISBLANK(sample_mgmt_witness_ntp2_server))),(sample_mgmt_witness_ntp2_server &lt;&gt; "n/a")),CONCATENATE(sample_mgmt_witness_ntp1_server,",",sample_mgmt_witness_ntp2_server),sample_mgmt_witness_ntp1_server)</f>
        <v>ntp0.sfo.rainpole.io,ntp1.sfo.rainpole.io</v>
      </c>
      <c r="D293" s="337" t="str">
        <f>IF(AND((NOT(ISBLANK(witness_ntp2_server))),(witness_ntp2_server&lt;&gt;"n/a"),(witness_ntp2_server&lt;&gt;"")),CONCATENATE(witness_ntp1_server,",",witness_ntp2_server,witness_ntp1_server))</f>
        <v>Value Missing,Value MissingValue Missing</v>
      </c>
      <c r="E293" s="32"/>
    </row>
    <row r="294" spans="2:5" ht="20.05" customHeight="1" x14ac:dyDescent="0.35">
      <c r="B294" s="518" t="s">
        <v>300</v>
      </c>
      <c r="C294" s="519"/>
      <c r="D294" s="519"/>
      <c r="E294" s="520"/>
    </row>
    <row r="295" spans="2:5" ht="20.05" customHeight="1" x14ac:dyDescent="0.35">
      <c r="B295" s="346" t="s">
        <v>17</v>
      </c>
      <c r="C295" s="346" t="s">
        <v>18</v>
      </c>
      <c r="D295" s="346" t="s">
        <v>19</v>
      </c>
      <c r="E295" s="346" t="s">
        <v>20</v>
      </c>
    </row>
    <row r="296" spans="2:5" ht="20.05" customHeight="1" x14ac:dyDescent="0.35">
      <c r="B296" s="4" t="s">
        <v>273</v>
      </c>
      <c r="C296" s="362" t="str">
        <f>sample_wld_vc_fqdn</f>
        <v>sfo-w01-vc01.sfo.rainpole.io</v>
      </c>
      <c r="D296" s="337" t="str">
        <f>mgmt_vc_fqdn</f>
        <v>Value Missing</v>
      </c>
      <c r="E296" s="4"/>
    </row>
    <row r="297" spans="2:5" ht="20.05" customHeight="1" x14ac:dyDescent="0.35">
      <c r="B297" s="4" t="s">
        <v>295</v>
      </c>
      <c r="C297" s="362" t="str">
        <f>sample_wld_datacenter</f>
        <v>sfo-w01-dc</v>
      </c>
      <c r="D297" s="337" t="str">
        <f>wld_datacenter</f>
        <v>Value Missing</v>
      </c>
      <c r="E297" s="4"/>
    </row>
    <row r="298" spans="2:5" ht="20.05" customHeight="1" x14ac:dyDescent="0.35">
      <c r="B298" s="4" t="s">
        <v>302</v>
      </c>
      <c r="C298" s="362" t="str">
        <f>sample_wld_witness_hostname</f>
        <v>sfo-w01-cl01-vsw01</v>
      </c>
      <c r="D298" s="337" t="str">
        <f>wld_witness_hostname</f>
        <v>Value Missing</v>
      </c>
      <c r="E298" s="4"/>
    </row>
    <row r="299" spans="2:5" ht="20.05" customHeight="1" x14ac:dyDescent="0.35">
      <c r="B299" s="372"/>
      <c r="C299" s="327"/>
      <c r="D299" s="344"/>
      <c r="E299" s="372"/>
    </row>
    <row r="300" spans="2:5" ht="34" customHeight="1" x14ac:dyDescent="0.35">
      <c r="B300" s="509" t="s">
        <v>303</v>
      </c>
      <c r="C300" s="510"/>
      <c r="D300" s="510"/>
      <c r="E300" s="511"/>
    </row>
    <row r="301" spans="2:5" ht="20.05" customHeight="1" x14ac:dyDescent="0.35">
      <c r="B301" s="366"/>
      <c r="C301" s="367"/>
      <c r="D301" s="367"/>
      <c r="E301" s="368"/>
    </row>
    <row r="302" spans="2:5" ht="20.05" customHeight="1" x14ac:dyDescent="0.35">
      <c r="B302" s="346" t="s">
        <v>17</v>
      </c>
      <c r="C302" s="346" t="s">
        <v>18</v>
      </c>
      <c r="D302" s="346" t="s">
        <v>19</v>
      </c>
      <c r="E302" s="346" t="s">
        <v>20</v>
      </c>
    </row>
    <row r="303" spans="2:5" ht="20.05" customHeight="1" x14ac:dyDescent="0.35">
      <c r="B303" s="361" t="str">
        <f t="array" ref="B303:B318">wld_az2_host_fqdns</f>
        <v>Value Missing</v>
      </c>
      <c r="C303" s="362" t="s">
        <v>305</v>
      </c>
      <c r="D303" s="347"/>
      <c r="E303" s="337" t="s">
        <v>1069</v>
      </c>
    </row>
    <row r="304" spans="2:5" ht="20.05" customHeight="1" x14ac:dyDescent="0.35">
      <c r="B304" s="4" t="str">
        <v>Value Missing</v>
      </c>
      <c r="C304" s="362" t="s">
        <v>307</v>
      </c>
      <c r="D304" s="347"/>
      <c r="E304" s="337" t="s">
        <v>1069</v>
      </c>
    </row>
    <row r="305" spans="2:5" ht="20.05" customHeight="1" x14ac:dyDescent="0.35">
      <c r="B305" s="4" t="str">
        <v>Value Missing</v>
      </c>
      <c r="C305" s="362" t="s">
        <v>309</v>
      </c>
      <c r="D305" s="347"/>
      <c r="E305" s="337" t="s">
        <v>1069</v>
      </c>
    </row>
    <row r="306" spans="2:5" ht="20.05" customHeight="1" x14ac:dyDescent="0.35">
      <c r="B306" s="4" t="str">
        <v>Value Missing</v>
      </c>
      <c r="C306" s="362" t="s">
        <v>311</v>
      </c>
      <c r="D306" s="347"/>
      <c r="E306" s="337" t="s">
        <v>1069</v>
      </c>
    </row>
    <row r="307" spans="2:5" ht="20.05" customHeight="1" x14ac:dyDescent="0.35">
      <c r="B307" s="4" t="str">
        <v>Value Missing</v>
      </c>
      <c r="C307" s="362" t="s">
        <v>1070</v>
      </c>
      <c r="D307" s="347"/>
      <c r="E307" s="337"/>
    </row>
    <row r="308" spans="2:5" ht="20.05" customHeight="1" x14ac:dyDescent="0.35">
      <c r="B308" s="4" t="str">
        <v>Value Missing</v>
      </c>
      <c r="C308" s="362" t="s">
        <v>1071</v>
      </c>
      <c r="D308" s="347"/>
      <c r="E308" s="337"/>
    </row>
    <row r="309" spans="2:5" ht="20.05" customHeight="1" x14ac:dyDescent="0.35">
      <c r="B309" s="4" t="str">
        <v>Value Missing</v>
      </c>
      <c r="C309" s="362" t="s">
        <v>1072</v>
      </c>
      <c r="D309" s="347"/>
      <c r="E309" s="337"/>
    </row>
    <row r="310" spans="2:5" ht="20.05" customHeight="1" x14ac:dyDescent="0.35">
      <c r="B310" s="4" t="str">
        <v>Value Missing</v>
      </c>
      <c r="C310" s="362" t="s">
        <v>1073</v>
      </c>
      <c r="D310" s="347"/>
      <c r="E310" s="337"/>
    </row>
    <row r="311" spans="2:5" ht="20.05" customHeight="1" x14ac:dyDescent="0.35">
      <c r="B311" s="4" t="str">
        <v>Value Missing</v>
      </c>
      <c r="C311" s="362" t="s">
        <v>1074</v>
      </c>
      <c r="D311" s="347"/>
      <c r="E311" s="337"/>
    </row>
    <row r="312" spans="2:5" ht="20.05" customHeight="1" x14ac:dyDescent="0.35">
      <c r="B312" s="4" t="str">
        <v>Value Missing</v>
      </c>
      <c r="C312" s="362" t="s">
        <v>1075</v>
      </c>
      <c r="D312" s="347"/>
      <c r="E312" s="337"/>
    </row>
    <row r="313" spans="2:5" ht="20.05" customHeight="1" x14ac:dyDescent="0.35">
      <c r="B313" s="4" t="str">
        <v>Value Missing</v>
      </c>
      <c r="C313" s="362" t="s">
        <v>1076</v>
      </c>
      <c r="D313" s="347"/>
      <c r="E313" s="337"/>
    </row>
    <row r="314" spans="2:5" ht="20.05" customHeight="1" x14ac:dyDescent="0.35">
      <c r="B314" s="4" t="str">
        <v>Value Missing</v>
      </c>
      <c r="C314" s="362" t="s">
        <v>1077</v>
      </c>
      <c r="D314" s="347"/>
      <c r="E314" s="337"/>
    </row>
    <row r="315" spans="2:5" ht="20.05" customHeight="1" x14ac:dyDescent="0.35">
      <c r="B315" s="4" t="str">
        <v>Value Missing</v>
      </c>
      <c r="C315" s="362" t="s">
        <v>1078</v>
      </c>
      <c r="D315" s="347"/>
      <c r="E315" s="337"/>
    </row>
    <row r="316" spans="2:5" ht="20.05" customHeight="1" x14ac:dyDescent="0.35">
      <c r="B316" s="4" t="str">
        <v>Value Missing</v>
      </c>
      <c r="C316" s="362" t="s">
        <v>1079</v>
      </c>
      <c r="D316" s="347"/>
      <c r="E316" s="337"/>
    </row>
    <row r="317" spans="2:5" ht="20.05" customHeight="1" x14ac:dyDescent="0.35">
      <c r="B317" s="4" t="str">
        <v>Value Missing</v>
      </c>
      <c r="C317" s="362" t="s">
        <v>1080</v>
      </c>
      <c r="D317" s="347"/>
      <c r="E317" s="337"/>
    </row>
    <row r="318" spans="2:5" ht="20.05" customHeight="1" x14ac:dyDescent="0.35">
      <c r="B318" s="4" t="str">
        <v>Value Missing</v>
      </c>
      <c r="C318" s="362" t="s">
        <v>1081</v>
      </c>
      <c r="D318" s="347"/>
      <c r="E318" s="337"/>
    </row>
    <row r="319" spans="2:5" ht="20.05" customHeight="1" x14ac:dyDescent="0.35">
      <c r="B319" s="4" t="s">
        <v>337</v>
      </c>
      <c r="C319" s="362" t="str">
        <f>CONCATENATE(this_instance,"02-",sample_wld_cl01_cluster,"-r01-network-profile")</f>
        <v>sfo02-sfo-w01-cl01-r01-network-profile</v>
      </c>
      <c r="D319" s="347"/>
      <c r="E319" s="178"/>
    </row>
    <row r="320" spans="2:5" ht="20.05" customHeight="1" x14ac:dyDescent="0.35">
      <c r="B320" s="4" t="s">
        <v>338</v>
      </c>
      <c r="C320" s="362" t="s">
        <v>339</v>
      </c>
      <c r="D320" s="347" t="s">
        <v>339</v>
      </c>
      <c r="E320" s="4"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21" spans="2:5" ht="20.05" customHeight="1" x14ac:dyDescent="0.35">
      <c r="B321" s="4" t="s">
        <v>340</v>
      </c>
      <c r="C321" s="362" t="str">
        <f>CONCATENATE(this_instance,"02-w0",wld_domain_number_chosen,"-r01-ip-pool01-host")</f>
        <v>sfo02-w01-r01-ip-pool01-host</v>
      </c>
      <c r="D321" s="347"/>
      <c r="E321" s="4"/>
    </row>
    <row r="322" spans="2:5" ht="20.05" customHeight="1" x14ac:dyDescent="0.35">
      <c r="B322" s="4" t="s">
        <v>341</v>
      </c>
      <c r="C322" s="362" t="str">
        <f>CONCATENATE(this_instance,"02-w0",wld_domain_number_chosen,"-r01-uplink-profile01")</f>
        <v>sfo02-w01-r01-uplink-profile01</v>
      </c>
      <c r="D322" s="347"/>
      <c r="E322" s="4"/>
    </row>
    <row r="323" spans="2:5" ht="20.05" customHeight="1" x14ac:dyDescent="0.35">
      <c r="B323" s="17" t="s">
        <v>342</v>
      </c>
      <c r="C323" s="362" t="str">
        <f>CONCATENATE(prefix_wld_az2_vlan,"14")</f>
        <v>1414</v>
      </c>
      <c r="D323" s="347"/>
      <c r="E323" s="4"/>
    </row>
    <row r="324" spans="2:5" ht="20.05" customHeight="1" x14ac:dyDescent="0.35">
      <c r="B324" s="4" t="s">
        <v>343</v>
      </c>
      <c r="C324" s="80" t="str">
        <f>CONCATENATE(prefix_wld_az2_cidr,"14.1")</f>
        <v>10.14.14.1</v>
      </c>
      <c r="D324" s="347"/>
      <c r="E324" s="32" t="str">
        <f>IF(AND(mgmt_stretched_cluster_result="Included",mgmt_dpg_reuse_result="Excluded"),"Stretched L2","")</f>
        <v/>
      </c>
    </row>
    <row r="325" spans="2:5" ht="20.05" customHeight="1" x14ac:dyDescent="0.35">
      <c r="B325" s="4" t="s">
        <v>344</v>
      </c>
      <c r="C325" s="80" t="str">
        <f>CONCATENATE(prefix_wld_az2_cidr,"14.0/24")</f>
        <v>10.14.14.0/24</v>
      </c>
      <c r="D325" s="347"/>
      <c r="E325" s="32"/>
    </row>
    <row r="326" spans="2:5" ht="20.05" customHeight="1" x14ac:dyDescent="0.35">
      <c r="B326" s="4" t="s">
        <v>345</v>
      </c>
      <c r="C326" s="80">
        <v>9000</v>
      </c>
      <c r="D326" s="347"/>
      <c r="E326" s="56"/>
    </row>
    <row r="327" spans="2:5" ht="20.05" customHeight="1" x14ac:dyDescent="0.35">
      <c r="B327" s="17" t="s">
        <v>255</v>
      </c>
      <c r="C327" s="80" t="str">
        <f>CONCATENATE(prefix_wld_az2_cidr,"14.101")</f>
        <v>10.14.14.101</v>
      </c>
      <c r="D327" s="347"/>
      <c r="E327" s="56"/>
    </row>
    <row r="328" spans="2:5" ht="20.05" customHeight="1" x14ac:dyDescent="0.35">
      <c r="B328" s="17" t="s">
        <v>256</v>
      </c>
      <c r="C328" s="80" t="str">
        <f>CONCATENATE(prefix_wld_az2_cidr,"14.132")</f>
        <v>10.14.14.132</v>
      </c>
      <c r="D328" s="347"/>
      <c r="E328" s="56"/>
    </row>
    <row r="329" spans="2:5" ht="20.05" customHeight="1" x14ac:dyDescent="0.35">
      <c r="B329" s="4" t="s">
        <v>1082</v>
      </c>
      <c r="C329" s="362" t="str">
        <f>sample_wld_witness_fqdn</f>
        <v>sfo-w01-cl01-vsw01.sfo.rainpole.io</v>
      </c>
      <c r="D329" s="337" t="str">
        <f>wld_witness_fqdn</f>
        <v>Value Missing</v>
      </c>
      <c r="E329" s="4"/>
    </row>
    <row r="330" spans="2:5" ht="20.05" customHeight="1" x14ac:dyDescent="0.35">
      <c r="B330" s="4" t="s">
        <v>350</v>
      </c>
      <c r="C330" s="362" t="str">
        <f>sample_wld_witnessaz_mgmt_cidr</f>
        <v>10.21.10.0/24</v>
      </c>
      <c r="D330" s="337" t="str">
        <f>wld_witnessaz_mgmt_cidr</f>
        <v>Value Missing</v>
      </c>
      <c r="E330" s="4"/>
    </row>
    <row r="331" spans="2:5" ht="20.05" customHeight="1" x14ac:dyDescent="0.35">
      <c r="B331" s="4" t="s">
        <v>348</v>
      </c>
      <c r="C331" s="362" t="str">
        <f>sample_wld_witness_ip</f>
        <v>10.21.10.219</v>
      </c>
      <c r="D331" s="337" t="e">
        <f>wld_witness_mgmt_ip</f>
        <v>#NAME?</v>
      </c>
      <c r="E331" s="4"/>
    </row>
    <row r="332" spans="2:5" ht="20.05" customHeight="1" x14ac:dyDescent="0.35">
      <c r="B332" s="4" t="s">
        <v>353</v>
      </c>
      <c r="C332" s="362" t="s">
        <v>352</v>
      </c>
      <c r="D332" s="347"/>
      <c r="E332" s="337"/>
    </row>
    <row r="333" spans="2:5" ht="20.05" customHeight="1" x14ac:dyDescent="0.35">
      <c r="B333" s="524"/>
      <c r="C333" s="524"/>
      <c r="D333" s="524"/>
      <c r="E333" s="524"/>
    </row>
    <row r="334" spans="2:5" ht="34" customHeight="1" x14ac:dyDescent="0.35">
      <c r="B334" s="509" t="s">
        <v>354</v>
      </c>
      <c r="C334" s="510"/>
      <c r="D334" s="510"/>
      <c r="E334" s="511"/>
    </row>
    <row r="335" spans="2:5" ht="20.05" customHeight="1" x14ac:dyDescent="0.35">
      <c r="B335" s="373" t="s">
        <v>355</v>
      </c>
      <c r="C335" s="374"/>
      <c r="D335" s="374"/>
      <c r="E335" s="374"/>
    </row>
    <row r="336" spans="2:5" ht="20.05" customHeight="1" x14ac:dyDescent="0.35">
      <c r="B336" s="346" t="s">
        <v>17</v>
      </c>
      <c r="C336" s="346" t="s">
        <v>18</v>
      </c>
      <c r="D336" s="346" t="s">
        <v>19</v>
      </c>
      <c r="E336" s="346" t="s">
        <v>20</v>
      </c>
    </row>
    <row r="337" spans="2:5" ht="20.05" customHeight="1" x14ac:dyDescent="0.35">
      <c r="B337" s="4" t="s">
        <v>356</v>
      </c>
      <c r="C337" s="362" t="str">
        <f>sample_wld_nsxt_vip_fqdn</f>
        <v>sfo-w01-nsx01.sfo.rainpole.io</v>
      </c>
      <c r="D337" s="337" t="str">
        <f>wld_nsxt_vip_fqdn</f>
        <v>Value Missing</v>
      </c>
      <c r="E337" s="4" t="str">
        <f>IF(wld_bgp_chosen&lt;&gt;"Centralized Connectivity", "These sections are masked out as NSX connectivity has not be configured or selected in Post-Deployment Options","")</f>
        <v>These sections are masked out as NSX connectivity has not be configured or selected in Post-Deployment Options</v>
      </c>
    </row>
    <row r="338" spans="2:5" ht="20.05" customHeight="1" x14ac:dyDescent="0.35">
      <c r="B338" s="562" t="s">
        <v>357</v>
      </c>
      <c r="C338" s="561"/>
      <c r="D338" s="561"/>
      <c r="E338" s="561"/>
    </row>
    <row r="339" spans="2:5" ht="20.05" customHeight="1" x14ac:dyDescent="0.35">
      <c r="B339" s="346" t="s">
        <v>17</v>
      </c>
      <c r="C339" s="346" t="s">
        <v>18</v>
      </c>
      <c r="D339" s="346" t="s">
        <v>19</v>
      </c>
      <c r="E339" s="346" t="s">
        <v>20</v>
      </c>
    </row>
    <row r="340" spans="2:5" ht="20.05" customHeight="1" x14ac:dyDescent="0.35">
      <c r="B340" s="4" t="s">
        <v>356</v>
      </c>
      <c r="C340" s="362" t="str">
        <f>sample_wld_nsxt_vip_fqdn</f>
        <v>sfo-w01-nsx01.sfo.rainpole.io</v>
      </c>
      <c r="D340" s="337" t="str">
        <f>wld_nsxt_vip_fqdn</f>
        <v>Value Missing</v>
      </c>
      <c r="E340" s="4"/>
    </row>
    <row r="341" spans="2:5" ht="20.05" customHeight="1" x14ac:dyDescent="0.35">
      <c r="B341" s="4" t="s">
        <v>358</v>
      </c>
      <c r="C341" s="362" t="str">
        <f>sample_wld_en_asn</f>
        <v>65102</v>
      </c>
      <c r="D341" s="337" t="str">
        <f>wld_en_asn</f>
        <v>Value Missing</v>
      </c>
      <c r="E341" s="4"/>
    </row>
    <row r="342" spans="2:5" ht="20.05" customHeight="1" x14ac:dyDescent="0.35">
      <c r="B342" s="562" t="s">
        <v>359</v>
      </c>
      <c r="C342" s="561"/>
      <c r="D342" s="561"/>
      <c r="E342" s="561"/>
    </row>
    <row r="343" spans="2:5" ht="20.05" customHeight="1" x14ac:dyDescent="0.35">
      <c r="B343" s="346" t="s">
        <v>17</v>
      </c>
      <c r="C343" s="346" t="s">
        <v>18</v>
      </c>
      <c r="D343" s="346" t="s">
        <v>19</v>
      </c>
      <c r="E343" s="346" t="s">
        <v>20</v>
      </c>
    </row>
    <row r="344" spans="2:5" ht="20.05" customHeight="1" x14ac:dyDescent="0.35">
      <c r="B344" s="4" t="s">
        <v>356</v>
      </c>
      <c r="C344" s="362" t="str">
        <f>sample_wld_nsxt_vip_fqdn</f>
        <v>sfo-w01-nsx01.sfo.rainpole.io</v>
      </c>
      <c r="D344" s="337" t="str">
        <f>wld_nsxt_vip_fqdn</f>
        <v>Value Missing</v>
      </c>
      <c r="E344" s="4"/>
    </row>
    <row r="345" spans="2:5" ht="20.05" customHeight="1" x14ac:dyDescent="0.35">
      <c r="B345" s="4" t="s">
        <v>360</v>
      </c>
      <c r="C345" s="80" t="str">
        <f>CONCATENATE(prefix_wld_az1_cidr,"17.11")</f>
        <v>10.13.17.11</v>
      </c>
      <c r="D345" s="347"/>
      <c r="E345" s="4"/>
    </row>
    <row r="346" spans="2:5" ht="20.05" customHeight="1" x14ac:dyDescent="0.35">
      <c r="B346" s="4" t="s">
        <v>361</v>
      </c>
      <c r="C346" s="80" t="str">
        <f>CONCATENATE(asn_start,asn_instance,asn_wld_az2,1)</f>
        <v>65141</v>
      </c>
      <c r="D346" s="347"/>
      <c r="E346" s="4"/>
    </row>
    <row r="347" spans="2:5" ht="20.05" customHeight="1" x14ac:dyDescent="0.35">
      <c r="B347" s="4" t="s">
        <v>362</v>
      </c>
      <c r="C347" s="362" t="str">
        <f>sample_wld_az1_en1_uplink01_interface_cidr</f>
        <v>10.13.17.2/24</v>
      </c>
      <c r="D347" s="337" t="str">
        <f>wld_az1_en1_uplink01_interface_cidr</f>
        <v>Value Missing</v>
      </c>
      <c r="E347" s="4"/>
    </row>
    <row r="348" spans="2:5" ht="20.05" customHeight="1" x14ac:dyDescent="0.35">
      <c r="B348" s="4" t="s">
        <v>363</v>
      </c>
      <c r="C348" s="362" t="str">
        <f>sample_wld_az1_en2_uplink01_interface_cidr</f>
        <v>10.13.17.3/24</v>
      </c>
      <c r="D348" s="337" t="str">
        <f>wld_az1_en2_uplink01_interface_cidr</f>
        <v>Value Missing</v>
      </c>
      <c r="E348" s="4"/>
    </row>
    <row r="349" spans="2:5" ht="20.05" customHeight="1" x14ac:dyDescent="0.35">
      <c r="B349" s="4" t="s">
        <v>364</v>
      </c>
      <c r="C349" s="80" t="s">
        <v>30</v>
      </c>
      <c r="D349" s="347"/>
      <c r="E349" s="4"/>
    </row>
    <row r="350" spans="2:5" ht="20.05" customHeight="1" x14ac:dyDescent="0.35">
      <c r="B350" s="4" t="s">
        <v>365</v>
      </c>
      <c r="C350" s="80" t="str">
        <f>CONCATENATE(prefix_wld_az1_cidr,"18.11")</f>
        <v>10.13.18.11</v>
      </c>
      <c r="D350" s="347"/>
      <c r="E350" s="4"/>
    </row>
    <row r="351" spans="2:5" ht="20.05" customHeight="1" x14ac:dyDescent="0.35">
      <c r="B351" s="4" t="s">
        <v>366</v>
      </c>
      <c r="C351" s="80" t="str">
        <f>CONCATENATE(asn_start,asn_instance,asn_wld_az2,1)</f>
        <v>65141</v>
      </c>
      <c r="D351" s="347"/>
      <c r="E351" s="4"/>
    </row>
    <row r="352" spans="2:5" ht="20.05" customHeight="1" x14ac:dyDescent="0.35">
      <c r="B352" s="4" t="s">
        <v>362</v>
      </c>
      <c r="C352" s="362" t="str">
        <f>sample_wld_az1_en1_uplink02_interface_cidr</f>
        <v>10.13.18.2/24</v>
      </c>
      <c r="D352" s="337" t="str">
        <f>wld_az1_en1_uplink02_interface_cidr</f>
        <v>Value Missing</v>
      </c>
      <c r="E352" s="4"/>
    </row>
    <row r="353" spans="2:5" ht="20.05" customHeight="1" x14ac:dyDescent="0.35">
      <c r="B353" s="4" t="s">
        <v>363</v>
      </c>
      <c r="C353" s="362" t="str">
        <f>sample_wld_az1_en2_uplink02_interface_cidr</f>
        <v>10.13.18.3/24</v>
      </c>
      <c r="D353" s="337" t="str">
        <f>wld_az1_en2_uplink02_interface_cidr</f>
        <v>Value Missing</v>
      </c>
      <c r="E353" s="4"/>
    </row>
    <row r="354" spans="2:5" ht="20.05" customHeight="1" x14ac:dyDescent="0.35">
      <c r="B354" s="4" t="s">
        <v>364</v>
      </c>
      <c r="C354" s="80" t="s">
        <v>30</v>
      </c>
      <c r="D354" s="347"/>
      <c r="E354" s="4"/>
    </row>
    <row r="355" spans="2:5" ht="16" customHeight="1" x14ac:dyDescent="0.35"/>
    <row r="356" spans="2:5" ht="34" customHeight="1" x14ac:dyDescent="0.35">
      <c r="B356" s="527" t="s">
        <v>1032</v>
      </c>
      <c r="C356" s="528"/>
      <c r="D356" s="528"/>
      <c r="E356" s="528"/>
    </row>
    <row r="357" spans="2:5" ht="20.05" customHeight="1" x14ac:dyDescent="0.35">
      <c r="B357" s="562" t="s">
        <v>367</v>
      </c>
      <c r="C357" s="561"/>
      <c r="D357" s="561"/>
      <c r="E357" s="561"/>
    </row>
    <row r="358" spans="2:5" ht="20.05" customHeight="1" x14ac:dyDescent="0.35">
      <c r="B358" s="346" t="s">
        <v>17</v>
      </c>
      <c r="C358" s="346" t="s">
        <v>18</v>
      </c>
      <c r="D358" s="346" t="s">
        <v>19</v>
      </c>
      <c r="E358" s="346" t="s">
        <v>20</v>
      </c>
    </row>
    <row r="359" spans="2:5" ht="20.05" customHeight="1" x14ac:dyDescent="0.35">
      <c r="B359" s="17" t="s">
        <v>368</v>
      </c>
      <c r="C359" s="362" t="str">
        <f>sample_mgmt_vc_fqdn</f>
        <v>sfo-m01-vc01.sfo.rainpole.io</v>
      </c>
      <c r="D359" s="337" t="str">
        <f>mgmt_vc_fqdn</f>
        <v>Value Missing</v>
      </c>
      <c r="E359" s="4"/>
    </row>
    <row r="360" spans="2:5" ht="20.05" customHeight="1" x14ac:dyDescent="0.35">
      <c r="B360" s="518" t="s">
        <v>369</v>
      </c>
      <c r="C360" s="519"/>
      <c r="D360" s="519"/>
      <c r="E360" s="520"/>
    </row>
    <row r="361" spans="2:5" ht="20.05" customHeight="1" x14ac:dyDescent="0.35">
      <c r="B361" s="22" t="s">
        <v>1083</v>
      </c>
      <c r="C361" s="89" t="str">
        <f>CONCATENATE(this_instance,"-w0",wld_domain_number_chosen,"-nsx-gm01a")</f>
        <v>sfo-w01-nsx-gm01a</v>
      </c>
      <c r="D361" s="337"/>
      <c r="E361" s="4"/>
    </row>
    <row r="362" spans="2:5" ht="20.05" customHeight="1" x14ac:dyDescent="0.35">
      <c r="B362" s="22" t="s">
        <v>1084</v>
      </c>
      <c r="C362" s="362" t="str">
        <f>sample_mgmt_datacenter</f>
        <v>sfo-m01-dc01</v>
      </c>
      <c r="D362" s="337" t="str">
        <f>mgmt_datacenter</f>
        <v>Value Missing</v>
      </c>
      <c r="E362" s="4"/>
    </row>
    <row r="363" spans="2:5" ht="20.05" customHeight="1" x14ac:dyDescent="0.35">
      <c r="B363" s="22" t="s">
        <v>1085</v>
      </c>
      <c r="C363" s="362" t="str">
        <f>sample_mgmt_cl01_cluster</f>
        <v>sfo-m01-cl01</v>
      </c>
      <c r="D363" s="337" t="str">
        <f>mgmt_cl01_cluster</f>
        <v>Value Missing</v>
      </c>
      <c r="E363" s="4"/>
    </row>
    <row r="364" spans="2:5" ht="20.05" customHeight="1" x14ac:dyDescent="0.35">
      <c r="B364" s="22" t="s">
        <v>1086</v>
      </c>
      <c r="C364" s="362" t="s">
        <v>751</v>
      </c>
      <c r="D364" s="337" t="s">
        <v>751</v>
      </c>
      <c r="E364" s="4"/>
    </row>
    <row r="365" spans="2:5" ht="20.05" customHeight="1" x14ac:dyDescent="0.35">
      <c r="B365" s="22" t="s">
        <v>1087</v>
      </c>
      <c r="C365" s="362" t="str">
        <f>sample_mgmt_cl01_vsan_datastore</f>
        <v>sfo-m01-cl01-ds-vsan01</v>
      </c>
      <c r="D365" s="337" t="str">
        <f>mgmt_cl01_vsan_datastore</f>
        <v>Value Missing</v>
      </c>
      <c r="E365" s="4"/>
    </row>
    <row r="366" spans="2:5" ht="20.05" customHeight="1" x14ac:dyDescent="0.35">
      <c r="B366" s="22" t="s">
        <v>1088</v>
      </c>
      <c r="C366" s="362" t="str">
        <f>sample_mgmt_cl01_az1_mgmt_vm_pg</f>
        <v>sfo-m01-cl01-vds01-pg-vm-mgmt</v>
      </c>
      <c r="D366" s="337" t="str">
        <f>mgmt_cl01_az1_mgmt_vm_pg</f>
        <v>Value Missing</v>
      </c>
      <c r="E366" s="4"/>
    </row>
    <row r="367" spans="2:5" ht="20.05" customHeight="1" x14ac:dyDescent="0.35">
      <c r="B367" s="22" t="s">
        <v>1089</v>
      </c>
      <c r="C367" s="362" t="s">
        <v>141</v>
      </c>
      <c r="D367" s="337"/>
      <c r="E367" s="4"/>
    </row>
    <row r="368" spans="2:5" ht="20.05" customHeight="1" x14ac:dyDescent="0.35">
      <c r="B368" s="22" t="s">
        <v>1090</v>
      </c>
      <c r="C368" s="362" t="s">
        <v>141</v>
      </c>
      <c r="D368" s="337"/>
      <c r="E368" s="4"/>
    </row>
    <row r="369" spans="2:5" ht="20.05" customHeight="1" x14ac:dyDescent="0.35">
      <c r="B369" s="22" t="s">
        <v>1091</v>
      </c>
      <c r="C369" s="362" t="s">
        <v>141</v>
      </c>
      <c r="D369" s="337"/>
      <c r="E369" s="4"/>
    </row>
    <row r="370" spans="2:5" ht="20.05" customHeight="1" x14ac:dyDescent="0.35">
      <c r="B370" s="22" t="s">
        <v>1092</v>
      </c>
      <c r="C370" s="362" t="str">
        <f>CONCATENATE(sample_wld_nsxt_global_mgra_hostname,".",sample_child_dns_zone)</f>
        <v>sfo-w01-nsx-gm01a.sfo.rainpole.io</v>
      </c>
      <c r="D370" s="337"/>
      <c r="E370" s="4"/>
    </row>
    <row r="371" spans="2:5" ht="20.05" customHeight="1" x14ac:dyDescent="0.35">
      <c r="B371" s="22" t="s">
        <v>1093</v>
      </c>
      <c r="C371" s="89" t="str">
        <f>IF(mgmt_dpg_reuse_result="Included",CONCATENATE(prefix_mgmt_az1_cidr,"10.",(142 + (30*(wld_domain_number_chosen - 1)))),CONCATENATE(prefix_mgmt_az1_cidr,"11.",(142 + (30*(wld_domain_number_chosen - 1)))))</f>
        <v>10.11.10.142</v>
      </c>
      <c r="D371" s="337"/>
      <c r="E371" s="4"/>
    </row>
    <row r="372" spans="2:5" ht="20.05" customHeight="1" x14ac:dyDescent="0.35">
      <c r="B372" s="22" t="s">
        <v>1094</v>
      </c>
      <c r="C372" s="362" t="s">
        <v>128</v>
      </c>
      <c r="D372" s="337" t="str">
        <f>mgmt_az1_mgmt_vm_mask</f>
        <v>Value Missing</v>
      </c>
      <c r="E372" s="4"/>
    </row>
    <row r="373" spans="2:5" ht="20.05" customHeight="1" x14ac:dyDescent="0.35">
      <c r="B373" s="22" t="s">
        <v>1095</v>
      </c>
      <c r="C373" s="362" t="str">
        <f>sample_mgmt_az1_mgmt_vm_gateway_ip</f>
        <v>10.11.10.1</v>
      </c>
      <c r="D373" s="337" t="str">
        <f>mgmt_az1_mgmt_vm_gateway_ip</f>
        <v>Value Missing</v>
      </c>
      <c r="E373" s="4"/>
    </row>
    <row r="374" spans="2:5" ht="20.05" customHeight="1" x14ac:dyDescent="0.35">
      <c r="B374" s="22" t="s">
        <v>1096</v>
      </c>
      <c r="C374" s="362" t="str">
        <f>CONCATENATE(sample_region_dns1_ip,",",sample_region_dns2_ip)</f>
        <v>10.11.10.4,10.11.10.5</v>
      </c>
      <c r="D374" s="337" t="str">
        <f>IF(ISBLANK(input_region_dns1_ip),"Value Missing",CONCATENATE(region_dns1_ip,",",IF(ISBLANK(input_region_dns2_ip),"Value Missing",region_dns2_ip)))</f>
        <v>Value Missing</v>
      </c>
      <c r="E374" s="4"/>
    </row>
    <row r="375" spans="2:5" ht="20.05" customHeight="1" x14ac:dyDescent="0.35">
      <c r="B375" s="22" t="s">
        <v>1097</v>
      </c>
      <c r="C375" s="362" t="str">
        <f>CONCATENATE(sample_child_dns_zone,",",sample_parent_dns_zone)</f>
        <v>sfo.rainpole.io,rainpole.io</v>
      </c>
      <c r="D375" s="337" t="str">
        <f>child_dns_zone</f>
        <v>Value Missing</v>
      </c>
      <c r="E375" s="4"/>
    </row>
    <row r="376" spans="2:5" ht="20.05" customHeight="1" x14ac:dyDescent="0.35">
      <c r="B376" s="22" t="s">
        <v>1098</v>
      </c>
      <c r="C376" s="362" t="str">
        <f>IF(AND((NOT(ISBLANK(sample_region_ntp2_server))),(sample_region_ntp2_server &lt;&gt; "n/a")),CONCATENATE(sample_region_ntp1_server,",",sample_region_ntp2_server),sample_region_ntp1_server)</f>
        <v>ntp0.sfo.rainpole.io,ntp1.sfo.rainpole.io</v>
      </c>
      <c r="D376" s="337" t="str">
        <f>IF(AND((NOT(ISBLANK(region_ntp2_server))),(region_ntp2_server &lt;&gt; "n/a")),CONCATENATE(region_ntp1_server,",",region_ntp2_server),region_ntp1_server)</f>
        <v>Value Missing,Value Missing</v>
      </c>
      <c r="E376" s="4"/>
    </row>
    <row r="377" spans="2:5" ht="20.05" customHeight="1" x14ac:dyDescent="0.35">
      <c r="B377" s="518" t="s">
        <v>387</v>
      </c>
      <c r="C377" s="519"/>
      <c r="D377" s="519"/>
      <c r="E377" s="520"/>
    </row>
    <row r="378" spans="2:5" ht="20.05" customHeight="1" x14ac:dyDescent="0.35">
      <c r="B378" s="22" t="s">
        <v>1099</v>
      </c>
      <c r="C378" s="89" t="str">
        <f>CONCATENATE(this_instance,"-w0",wld_domain_number_chosen,"-nsx-gm01b")</f>
        <v>sfo-w01-nsx-gm01b</v>
      </c>
      <c r="D378" s="337"/>
      <c r="E378" s="4"/>
    </row>
    <row r="379" spans="2:5" ht="20.05" customHeight="1" x14ac:dyDescent="0.35">
      <c r="B379" s="22" t="s">
        <v>1100</v>
      </c>
      <c r="C379" s="362" t="str">
        <f>sample_mgmt_datacenter</f>
        <v>sfo-m01-dc01</v>
      </c>
      <c r="D379" s="337" t="str">
        <f>mgmt_datacenter</f>
        <v>Value Missing</v>
      </c>
      <c r="E379" s="4"/>
    </row>
    <row r="380" spans="2:5" ht="20.05" customHeight="1" x14ac:dyDescent="0.35">
      <c r="B380" s="22" t="s">
        <v>1101</v>
      </c>
      <c r="C380" s="362" t="str">
        <f>sample_mgmt_cl01_cluster</f>
        <v>sfo-m01-cl01</v>
      </c>
      <c r="D380" s="337" t="str">
        <f>mgmt_cl01_cluster</f>
        <v>Value Missing</v>
      </c>
      <c r="E380" s="4"/>
    </row>
    <row r="381" spans="2:5" ht="20.05" customHeight="1" x14ac:dyDescent="0.35">
      <c r="B381" s="22" t="s">
        <v>1102</v>
      </c>
      <c r="C381" s="362" t="s">
        <v>751</v>
      </c>
      <c r="D381" s="337" t="str">
        <f>D364</f>
        <v>Large</v>
      </c>
      <c r="E381" s="4"/>
    </row>
    <row r="382" spans="2:5" ht="20.05" customHeight="1" x14ac:dyDescent="0.35">
      <c r="B382" s="22" t="s">
        <v>1103</v>
      </c>
      <c r="C382" s="362" t="str">
        <f>sample_mgmt_cl01_vsan_datastore</f>
        <v>sfo-m01-cl01-ds-vsan01</v>
      </c>
      <c r="D382" s="337" t="str">
        <f>mgmt_cl01_vsan_datastore</f>
        <v>Value Missing</v>
      </c>
      <c r="E382" s="4"/>
    </row>
    <row r="383" spans="2:5" ht="20.05" customHeight="1" x14ac:dyDescent="0.35">
      <c r="B383" s="22" t="s">
        <v>1104</v>
      </c>
      <c r="C383" s="362" t="str">
        <f>sample_mgmt_cl01_az1_mgmt_vm_pg</f>
        <v>sfo-m01-cl01-vds01-pg-vm-mgmt</v>
      </c>
      <c r="D383" s="337" t="str">
        <f>mgmt_cl01_az1_mgmt_vm_pg</f>
        <v>Value Missing</v>
      </c>
      <c r="E383" s="4"/>
    </row>
    <row r="384" spans="2:5" ht="20.05" customHeight="1" x14ac:dyDescent="0.35">
      <c r="B384" s="22" t="s">
        <v>1105</v>
      </c>
      <c r="C384" s="362" t="str">
        <f>sample_wld_nsxt_gm_root_password</f>
        <v>VMw@re1!VMw@re1!</v>
      </c>
      <c r="D384" s="337" t="str">
        <f t="array" ref="D384">wld_nsxt_gm_root_password</f>
        <v>Value Missing</v>
      </c>
      <c r="E384" s="4"/>
    </row>
    <row r="385" spans="2:5" ht="20.05" customHeight="1" x14ac:dyDescent="0.35">
      <c r="B385" s="22" t="s">
        <v>1106</v>
      </c>
      <c r="C385" s="362" t="str">
        <f>sample_wld_nsxt_gm_admin_password</f>
        <v>VMw@re1!VMw@re1!</v>
      </c>
      <c r="D385" s="337" t="str">
        <f t="array" ref="D385">wld_nsxt_gm_admin_password</f>
        <v>Value Missing</v>
      </c>
      <c r="E385" s="4"/>
    </row>
    <row r="386" spans="2:5" ht="20.05" customHeight="1" x14ac:dyDescent="0.35">
      <c r="B386" s="22" t="s">
        <v>1107</v>
      </c>
      <c r="C386" s="362" t="str">
        <f>sample_wld_nsxt_gm_audit_password</f>
        <v>VMw@re1!VMw@re1!</v>
      </c>
      <c r="D386" s="337" t="str">
        <f t="array" ref="D386">wld_nsxt_gm_audit_password</f>
        <v>Value Missing</v>
      </c>
      <c r="E386" s="4"/>
    </row>
    <row r="387" spans="2:5" ht="20.05" customHeight="1" x14ac:dyDescent="0.35">
      <c r="B387" s="22" t="s">
        <v>1108</v>
      </c>
      <c r="C387" s="362" t="str">
        <f>CONCATENATE(sample_wld_nsxt_global_mgrb_hostname,".",sample_child_dns_zone)</f>
        <v>sfo-w01-nsx-gm01b.sfo.rainpole.io</v>
      </c>
      <c r="D387" s="337"/>
      <c r="E387" s="4"/>
    </row>
    <row r="388" spans="2:5" ht="20.05" customHeight="1" x14ac:dyDescent="0.35">
      <c r="B388" s="22" t="s">
        <v>1109</v>
      </c>
      <c r="C388" s="89" t="str">
        <f>IF(mgmt_dpg_reuse_result="Included",CONCATENATE(prefix_mgmt_az1_cidr,"10.",(143 + (30*(wld_domain_number_chosen - 1)))),CONCATENATE(prefix_mgmt_az1_cidr,"11.",(143 + (30*(wld_domain_number_chosen - 1)))))</f>
        <v>10.11.10.143</v>
      </c>
      <c r="D388" s="337"/>
      <c r="E388" s="4"/>
    </row>
    <row r="389" spans="2:5" ht="20.05" customHeight="1" x14ac:dyDescent="0.35">
      <c r="B389" s="22" t="s">
        <v>1110</v>
      </c>
      <c r="C389" s="362" t="s">
        <v>128</v>
      </c>
      <c r="D389" s="337" t="str">
        <f>mgmt_az1_mgmt_vm_mask</f>
        <v>Value Missing</v>
      </c>
      <c r="E389" s="4"/>
    </row>
    <row r="390" spans="2:5" ht="20.05" customHeight="1" x14ac:dyDescent="0.35">
      <c r="B390" s="22" t="s">
        <v>1111</v>
      </c>
      <c r="C390" s="362" t="str">
        <f>sample_mgmt_az1_mgmt_vm_gateway_ip</f>
        <v>10.11.10.1</v>
      </c>
      <c r="D390" s="337" t="str">
        <f>mgmt_az1_mgmt_vm_gateway_ip</f>
        <v>Value Missing</v>
      </c>
      <c r="E390" s="4"/>
    </row>
    <row r="391" spans="2:5" ht="20.05" customHeight="1" x14ac:dyDescent="0.35">
      <c r="B391" s="22" t="s">
        <v>1112</v>
      </c>
      <c r="C391" s="362" t="str">
        <f>CONCATENATE(sample_region_dns1_ip,",",sample_region_dns2_ip)</f>
        <v>10.11.10.4,10.11.10.5</v>
      </c>
      <c r="D391" s="337" t="str">
        <f>IF(ISBLANK(input_region_dns1_ip),"Value Missing",CONCATENATE(region_dns1_ip,",",IF(ISBLANK(region_dns2_ip),"Value Missing",region_dns2_ip)))</f>
        <v>Value Missing</v>
      </c>
      <c r="E391" s="4"/>
    </row>
    <row r="392" spans="2:5" ht="20.05" customHeight="1" x14ac:dyDescent="0.35">
      <c r="B392" s="22" t="s">
        <v>1113</v>
      </c>
      <c r="C392" s="362" t="str">
        <f>CONCATENATE(sample_child_dns_zone,",",sample_parent_dns_zone)</f>
        <v>sfo.rainpole.io,rainpole.io</v>
      </c>
      <c r="D392" s="337" t="str">
        <f>CONCATENATE(child_dns_zone,",",parent_dns_zone)</f>
        <v>Value Missing,Value Missing</v>
      </c>
      <c r="E392" s="4"/>
    </row>
    <row r="393" spans="2:5" ht="20.05" customHeight="1" x14ac:dyDescent="0.35">
      <c r="B393" s="22" t="s">
        <v>1114</v>
      </c>
      <c r="C393" s="362" t="str">
        <f>IF(AND((NOT(ISBLANK(sample_region_ntp2_server))),(sample_region_ntp2_server &lt;&gt; "n/a")),CONCATENATE(sample_region_ntp1_server,",",sample_region_ntp2_server),sample_region_ntp1_server)</f>
        <v>ntp0.sfo.rainpole.io,ntp1.sfo.rainpole.io</v>
      </c>
      <c r="D393" s="337" t="str">
        <f>IF(AND((NOT(ISBLANK(region_ntp2_server))),(region_ntp2_server &lt;&gt; "n/a")),CONCATENATE(region_ntp1_server,",",region_ntp2_server),region_ntp1_server)</f>
        <v>Value Missing,Value Missing</v>
      </c>
      <c r="E393" s="4"/>
    </row>
    <row r="394" spans="2:5" ht="20.05" customHeight="1" x14ac:dyDescent="0.35">
      <c r="B394" s="518" t="s">
        <v>404</v>
      </c>
      <c r="C394" s="519"/>
      <c r="D394" s="519"/>
      <c r="E394" s="520"/>
    </row>
    <row r="395" spans="2:5" ht="20.05" customHeight="1" x14ac:dyDescent="0.35">
      <c r="B395" s="22" t="s">
        <v>1115</v>
      </c>
      <c r="C395" s="89" t="str">
        <f>CONCATENATE(this_instance,"-w0",wld_domain_number_chosen,"-nsx-gm01c")</f>
        <v>sfo-w01-nsx-gm01c</v>
      </c>
      <c r="D395" s="337"/>
      <c r="E395" s="4"/>
    </row>
    <row r="396" spans="2:5" ht="20.05" customHeight="1" x14ac:dyDescent="0.35">
      <c r="B396" s="22" t="s">
        <v>1116</v>
      </c>
      <c r="C396" s="362" t="str">
        <f>sample_mgmt_datacenter</f>
        <v>sfo-m01-dc01</v>
      </c>
      <c r="D396" s="337" t="str">
        <f>mgmt_datacenter</f>
        <v>Value Missing</v>
      </c>
      <c r="E396" s="4"/>
    </row>
    <row r="397" spans="2:5" ht="20.05" customHeight="1" x14ac:dyDescent="0.35">
      <c r="B397" s="22" t="s">
        <v>1117</v>
      </c>
      <c r="C397" s="362" t="str">
        <f>sample_mgmt_cl01_cluster</f>
        <v>sfo-m01-cl01</v>
      </c>
      <c r="D397" s="337" t="str">
        <f>mgmt_cl01_cluster</f>
        <v>Value Missing</v>
      </c>
      <c r="E397" s="4"/>
    </row>
    <row r="398" spans="2:5" ht="20.05" customHeight="1" x14ac:dyDescent="0.35">
      <c r="B398" s="22" t="s">
        <v>1118</v>
      </c>
      <c r="C398" s="362" t="s">
        <v>751</v>
      </c>
      <c r="D398" s="337" t="str">
        <f>D364</f>
        <v>Large</v>
      </c>
      <c r="E398" s="4"/>
    </row>
    <row r="399" spans="2:5" ht="20.05" customHeight="1" x14ac:dyDescent="0.35">
      <c r="B399" s="22" t="s">
        <v>1119</v>
      </c>
      <c r="C399" s="362" t="str">
        <f>sample_mgmt_cl01_vsan_datastore</f>
        <v>sfo-m01-cl01-ds-vsan01</v>
      </c>
      <c r="D399" s="337" t="str">
        <f>mgmt_cl01_vsan_datastore</f>
        <v>Value Missing</v>
      </c>
      <c r="E399" s="4"/>
    </row>
    <row r="400" spans="2:5" ht="20.05" customHeight="1" x14ac:dyDescent="0.35">
      <c r="B400" s="22" t="s">
        <v>1120</v>
      </c>
      <c r="C400" s="362" t="str">
        <f>sample_mgmt_cl01_az1_mgmt_vm_pg</f>
        <v>sfo-m01-cl01-vds01-pg-vm-mgmt</v>
      </c>
      <c r="D400" s="337" t="str">
        <f>mgmt_cl01_az1_mgmt_vm_pg</f>
        <v>Value Missing</v>
      </c>
      <c r="E400" s="4"/>
    </row>
    <row r="401" spans="2:5" ht="20.05" customHeight="1" x14ac:dyDescent="0.35">
      <c r="B401" s="22" t="s">
        <v>1121</v>
      </c>
      <c r="C401" s="362" t="str">
        <f>sample_wld_nsxt_gm_root_password</f>
        <v>VMw@re1!VMw@re1!</v>
      </c>
      <c r="D401" s="337" t="str">
        <f t="array" ref="D401">wld_nsxt_gm_root_password</f>
        <v>Value Missing</v>
      </c>
      <c r="E401" s="4"/>
    </row>
    <row r="402" spans="2:5" ht="20.05" customHeight="1" x14ac:dyDescent="0.35">
      <c r="B402" s="22" t="s">
        <v>1122</v>
      </c>
      <c r="C402" s="362" t="str">
        <f>sample_wld_nsxt_gm_admin_password</f>
        <v>VMw@re1!VMw@re1!</v>
      </c>
      <c r="D402" s="337" t="str">
        <f t="array" ref="D402">wld_nsxt_gm_admin_password</f>
        <v>Value Missing</v>
      </c>
      <c r="E402" s="4"/>
    </row>
    <row r="403" spans="2:5" ht="20.05" customHeight="1" x14ac:dyDescent="0.35">
      <c r="B403" s="22" t="s">
        <v>1123</v>
      </c>
      <c r="C403" s="362" t="str">
        <f>sample_wld_nsxt_gm_audit_password</f>
        <v>VMw@re1!VMw@re1!</v>
      </c>
      <c r="D403" s="337" t="str">
        <f t="array" ref="D403">wld_nsxt_gm_audit_password</f>
        <v>Value Missing</v>
      </c>
      <c r="E403" s="4"/>
    </row>
    <row r="404" spans="2:5" ht="20.05" customHeight="1" x14ac:dyDescent="0.35">
      <c r="B404" s="22" t="s">
        <v>1124</v>
      </c>
      <c r="C404" s="362" t="str">
        <f>CONCATENATE(sample_wld_nsxt_global_mgrc_hostname,".",sample_child_dns_zone)</f>
        <v>sfo-w01-nsx-gm01c.sfo.rainpole.io</v>
      </c>
      <c r="D404" s="337"/>
      <c r="E404" s="4"/>
    </row>
    <row r="405" spans="2:5" ht="20.05" customHeight="1" x14ac:dyDescent="0.35">
      <c r="B405" s="22" t="s">
        <v>1125</v>
      </c>
      <c r="C405" s="89" t="str">
        <f>IF(mgmt_dpg_reuse_result="Included",CONCATENATE(prefix_mgmt_az1_cidr,"10.",(144 + (30*(wld_domain_number_chosen - 1)))),CONCATENATE(prefix_mgmt_az1_cidr,"11.",(144 + (30*(wld_domain_number_chosen - 1)))))</f>
        <v>10.11.10.144</v>
      </c>
      <c r="D405" s="337"/>
      <c r="E405" s="4"/>
    </row>
    <row r="406" spans="2:5" ht="20.05" customHeight="1" x14ac:dyDescent="0.35">
      <c r="B406" s="22" t="s">
        <v>1126</v>
      </c>
      <c r="C406" s="362" t="s">
        <v>128</v>
      </c>
      <c r="D406" s="337" t="str">
        <f>mgmt_az1_mgmt_vm_mask</f>
        <v>Value Missing</v>
      </c>
      <c r="E406" s="4"/>
    </row>
    <row r="407" spans="2:5" ht="20.05" customHeight="1" x14ac:dyDescent="0.35">
      <c r="B407" s="22" t="s">
        <v>1127</v>
      </c>
      <c r="C407" s="362" t="str">
        <f>sample_mgmt_az1_mgmt_vm_gateway_ip</f>
        <v>10.11.10.1</v>
      </c>
      <c r="D407" s="337" t="str">
        <f>mgmt_az1_mgmt_vm_gateway_ip</f>
        <v>Value Missing</v>
      </c>
      <c r="E407" s="4"/>
    </row>
    <row r="408" spans="2:5" ht="20.05" customHeight="1" x14ac:dyDescent="0.35">
      <c r="B408" s="22" t="s">
        <v>1128</v>
      </c>
      <c r="C408" s="362" t="str">
        <f>CONCATENATE(sample_region_dns1_ip,",",sample_region_dns2_ip)</f>
        <v>10.11.10.4,10.11.10.5</v>
      </c>
      <c r="D408" s="337" t="str">
        <f>IF(ISBLANK(region_dns1_ip),"Value Missing",_xlfn.CONCAT(region_dns1_ip,",",IF(ISBLANK(region_dns2_ip),"Value Missing",region_dns2_ip)))</f>
        <v>Value Missing,Value Missing</v>
      </c>
      <c r="E408" s="4"/>
    </row>
    <row r="409" spans="2:5" ht="20.05" customHeight="1" x14ac:dyDescent="0.35">
      <c r="B409" s="22" t="s">
        <v>1129</v>
      </c>
      <c r="C409" s="362" t="str">
        <f>CONCATENATE(sample_child_dns_zone,",",sample_parent_dns_zone)</f>
        <v>sfo.rainpole.io,rainpole.io</v>
      </c>
      <c r="D409" s="337" t="str">
        <f>CONCATENATE(child_dns_zone,",",parent_dns_zone)</f>
        <v>Value Missing,Value Missing</v>
      </c>
      <c r="E409" s="4"/>
    </row>
    <row r="410" spans="2:5" ht="20.05" customHeight="1" x14ac:dyDescent="0.35">
      <c r="B410" s="22" t="s">
        <v>1130</v>
      </c>
      <c r="C410" s="362" t="str">
        <f>IF(AND((NOT(ISBLANK(sample_region_ntp2_server))),(sample_region_ntp2_server &lt;&gt; "n/a")),CONCATENATE(sample_region_ntp1_server,",",sample_region_ntp2_server),sample_region_ntp1_server)</f>
        <v>ntp0.sfo.rainpole.io,ntp1.sfo.rainpole.io</v>
      </c>
      <c r="D410" s="337" t="str">
        <f>IF(AND((NOT(ISBLANK(region_ntp2_server))),(region_ntp2_server &lt;&gt; "n/a")),CONCATENATE(region_ntp1_server,",",region_ntp2_server),region_ntp1_server)</f>
        <v>Value Missing,Value Missing</v>
      </c>
      <c r="E410" s="4"/>
    </row>
    <row r="411" spans="2:5" ht="20.05" customHeight="1" x14ac:dyDescent="0.35">
      <c r="B411" s="22" t="s">
        <v>421</v>
      </c>
      <c r="C411" s="362" t="str">
        <f>CONCATENATE(sample_wld_nsxt_global_mgra_hostname,".",sample_child_dns_zone)</f>
        <v>sfo-w01-nsx-gm01a.sfo.rainpole.io</v>
      </c>
      <c r="D411" s="337" t="str">
        <f>wld_nsxt_global_mgra_fqdn</f>
        <v>Value Missing</v>
      </c>
      <c r="E411" s="4"/>
    </row>
    <row r="412" spans="2:5" ht="16" customHeight="1" x14ac:dyDescent="0.35"/>
    <row r="413" spans="2:5" ht="20.05" customHeight="1" x14ac:dyDescent="0.35">
      <c r="B413" s="562" t="s">
        <v>422</v>
      </c>
      <c r="C413" s="561"/>
      <c r="D413" s="561"/>
      <c r="E413" s="561"/>
    </row>
    <row r="414" spans="2:5" ht="20.05" customHeight="1" x14ac:dyDescent="0.35">
      <c r="B414" s="346" t="s">
        <v>17</v>
      </c>
      <c r="C414" s="346" t="s">
        <v>18</v>
      </c>
      <c r="D414" s="346" t="s">
        <v>19</v>
      </c>
      <c r="E414" s="346" t="s">
        <v>20</v>
      </c>
    </row>
    <row r="415" spans="2:5" ht="20.05" customHeight="1" x14ac:dyDescent="0.35">
      <c r="B415" s="17" t="s">
        <v>368</v>
      </c>
      <c r="C415" s="362" t="str">
        <f>sample_mgmt_vc_fqdn</f>
        <v>sfo-m01-vc01.sfo.rainpole.io</v>
      </c>
      <c r="D415" s="337" t="str">
        <f>mgmt_vc_fqdn</f>
        <v>Value Missing</v>
      </c>
      <c r="E415" s="4"/>
    </row>
    <row r="416" spans="2:5" ht="20.05" customHeight="1" x14ac:dyDescent="0.35">
      <c r="B416" s="17" t="s">
        <v>423</v>
      </c>
      <c r="C416" s="126" t="s">
        <v>1131</v>
      </c>
      <c r="D416" s="337"/>
      <c r="E416" s="66"/>
    </row>
    <row r="417" spans="2:5" ht="20.05" customHeight="1" x14ac:dyDescent="0.35">
      <c r="B417" s="17" t="s">
        <v>1132</v>
      </c>
      <c r="C417" s="126" t="s">
        <v>1133</v>
      </c>
      <c r="D417" s="337"/>
      <c r="E417" s="66"/>
    </row>
    <row r="418" spans="2:5" ht="20.05" customHeight="1" x14ac:dyDescent="0.35">
      <c r="B418" s="17" t="s">
        <v>427</v>
      </c>
      <c r="C418" s="362" t="str">
        <f>CONCATENATE(sample_wld_nsxt_global_mgrb_hostname,".",sample_child_dns_zone)</f>
        <v>sfo-w01-nsx-gm01b.sfo.rainpole.io</v>
      </c>
      <c r="D418" s="337" t="str">
        <f>wld_nsxt_global_mgrb_fqdn</f>
        <v>Value Missing</v>
      </c>
      <c r="E418" s="66"/>
    </row>
    <row r="419" spans="2:5" ht="20.05" customHeight="1" x14ac:dyDescent="0.35">
      <c r="B419" s="17" t="s">
        <v>428</v>
      </c>
      <c r="C419" s="362" t="str">
        <f>sample_wld_nsxt_global_mgra_ip</f>
        <v>10.11.10.142</v>
      </c>
      <c r="D419" s="337" t="str">
        <f>wld_nsxt_global_mgra_ip</f>
        <v>Value Missing</v>
      </c>
      <c r="E419" s="66"/>
    </row>
    <row r="420" spans="2:5" ht="20.05" customHeight="1" x14ac:dyDescent="0.35">
      <c r="B420" s="17" t="s">
        <v>429</v>
      </c>
      <c r="C420" s="362" t="str">
        <f>sample_wld_nsxt_global_mgr_cluster_id</f>
        <v>da3bd7dc-aa06-4f2d-a9e1-0c4999354c9b</v>
      </c>
      <c r="D420" s="337" t="str">
        <f>wld_nsxt_global_mgr_cluster_id</f>
        <v>Value Missing</v>
      </c>
      <c r="E420" s="66"/>
    </row>
    <row r="421" spans="2:5" ht="20.05" customHeight="1" x14ac:dyDescent="0.35">
      <c r="B421" s="17" t="s">
        <v>430</v>
      </c>
      <c r="C421" s="362" t="s">
        <v>431</v>
      </c>
      <c r="D421" s="337"/>
      <c r="E421" s="66"/>
    </row>
    <row r="422" spans="2:5" ht="20.05" customHeight="1" x14ac:dyDescent="0.35">
      <c r="B422" s="17" t="s">
        <v>432</v>
      </c>
      <c r="C422" s="362" t="str">
        <f>sample_nsxt_gm_admin_password</f>
        <v>VMw@re1!VMw@re1!</v>
      </c>
      <c r="D422" s="337" t="str">
        <f>nsxt_gm_admin_password</f>
        <v>Value Missing</v>
      </c>
      <c r="E422" s="66"/>
    </row>
    <row r="423" spans="2:5" ht="20.05" customHeight="1" x14ac:dyDescent="0.35">
      <c r="B423" s="17" t="s">
        <v>433</v>
      </c>
      <c r="C423" s="362" t="str">
        <f>sample_wld_nsxt_global_mgr_vmca_signed_thumbprint</f>
        <v>d7a6264cd8f74033e851944a205110afdeb046386af42ce47240939c417acb93</v>
      </c>
      <c r="D423" s="337" t="str">
        <f>wld_nsxt_global_mgr_vmca_signed_thumbprint</f>
        <v>Value Missing</v>
      </c>
      <c r="E423" s="66"/>
    </row>
    <row r="424" spans="2:5" ht="20.05" customHeight="1" x14ac:dyDescent="0.35">
      <c r="B424" s="17" t="s">
        <v>434</v>
      </c>
      <c r="C424" s="362" t="str">
        <f>CONCATENATE(sample_wld_nsxt_global_mgrc_hostname,".",sample_child_dns_zone)</f>
        <v>sfo-w01-nsx-gm01c.sfo.rainpole.io</v>
      </c>
      <c r="D424" s="337" t="str">
        <f>wld_nsxt_global_mgrc_fqdn</f>
        <v>Value Missing</v>
      </c>
      <c r="E424" s="66"/>
    </row>
    <row r="425" spans="2:5" ht="20.05" customHeight="1" x14ac:dyDescent="0.35">
      <c r="B425" s="17" t="s">
        <v>1134</v>
      </c>
      <c r="C425" s="362" t="str">
        <f>sample_wld_nsxt_global_mgra_ip</f>
        <v>10.11.10.142</v>
      </c>
      <c r="D425" s="337" t="str">
        <f>wld_nsxt_global_mgra_ip</f>
        <v>Value Missing</v>
      </c>
      <c r="E425" s="66"/>
    </row>
    <row r="426" spans="2:5" ht="20.05" customHeight="1" x14ac:dyDescent="0.35">
      <c r="B426" s="17" t="s">
        <v>1135</v>
      </c>
      <c r="C426" s="362" t="str">
        <f>sample_wld_nsxt_global_mgr_cluster_id</f>
        <v>da3bd7dc-aa06-4f2d-a9e1-0c4999354c9b</v>
      </c>
      <c r="D426" s="337" t="str">
        <f>wld_nsxt_global_mgr_cluster_id</f>
        <v>Value Missing</v>
      </c>
      <c r="E426" s="66"/>
    </row>
    <row r="427" spans="2:5" ht="20.05" customHeight="1" x14ac:dyDescent="0.35">
      <c r="B427" s="17" t="s">
        <v>437</v>
      </c>
      <c r="C427" s="362" t="s">
        <v>431</v>
      </c>
      <c r="D427" s="337"/>
      <c r="E427" s="66"/>
    </row>
    <row r="428" spans="2:5" ht="20.05" customHeight="1" x14ac:dyDescent="0.35">
      <c r="B428" s="17" t="s">
        <v>438</v>
      </c>
      <c r="C428" s="362" t="str">
        <f>sample_nsxt_gm_admin_password</f>
        <v>VMw@re1!VMw@re1!</v>
      </c>
      <c r="D428" s="337" t="str">
        <f>nsxt_gm_admin_password</f>
        <v>Value Missing</v>
      </c>
      <c r="E428" s="66"/>
    </row>
    <row r="429" spans="2:5" ht="20.05" customHeight="1" x14ac:dyDescent="0.35">
      <c r="B429" s="17" t="s">
        <v>439</v>
      </c>
      <c r="C429" s="362" t="str">
        <f>sample_wld_nsxt_global_mgr_vmca_signed_thumbprint</f>
        <v>d7a6264cd8f74033e851944a205110afdeb046386af42ce47240939c417acb93</v>
      </c>
      <c r="D429" s="337" t="str">
        <f>wld_nsxt_global_mgr_vmca_signed_thumbprint</f>
        <v>Value Missing</v>
      </c>
      <c r="E429" s="66"/>
    </row>
    <row r="430" spans="2:5" ht="16" customHeight="1" x14ac:dyDescent="0.35"/>
    <row r="431" spans="2:5" ht="20.05" customHeight="1" x14ac:dyDescent="0.35">
      <c r="B431" s="518" t="s">
        <v>440</v>
      </c>
      <c r="C431" s="519"/>
      <c r="D431" s="519"/>
      <c r="E431" s="520"/>
    </row>
    <row r="432" spans="2:5" ht="20.05" customHeight="1" x14ac:dyDescent="0.35">
      <c r="B432" s="346" t="s">
        <v>17</v>
      </c>
      <c r="C432" s="346" t="s">
        <v>18</v>
      </c>
      <c r="D432" s="346" t="s">
        <v>19</v>
      </c>
      <c r="E432" s="346" t="s">
        <v>20</v>
      </c>
    </row>
    <row r="433" spans="2:5" ht="20.05" customHeight="1" x14ac:dyDescent="0.35">
      <c r="B433" s="4" t="s">
        <v>368</v>
      </c>
      <c r="C433" s="362" t="str">
        <f>sample_mgmt_vc_fqdn</f>
        <v>sfo-m01-vc01.sfo.rainpole.io</v>
      </c>
      <c r="D433" s="337" t="str">
        <f>mgmt_vc_fqdn</f>
        <v>Value Missing</v>
      </c>
      <c r="E433" s="4"/>
    </row>
    <row r="434" spans="2:5" ht="20.05" customHeight="1" x14ac:dyDescent="0.35">
      <c r="B434" s="4" t="s">
        <v>261</v>
      </c>
      <c r="C434" s="362" t="str">
        <f>CONCATENATE(sample_wld_sddc_domain,"-anti-affinity-rule-nsx-global-managers")</f>
        <v>sfo-w01-anti-affinity-rule-nsx-global-managers</v>
      </c>
      <c r="D434" s="337"/>
      <c r="E434" s="4"/>
    </row>
    <row r="435" spans="2:5" ht="20.05" customHeight="1" x14ac:dyDescent="0.35">
      <c r="B435" s="4" t="s">
        <v>441</v>
      </c>
      <c r="C435" s="362" t="str">
        <f>sample_wld_nsxt_global_mgra_hostname</f>
        <v>sfo-w01-nsx-gm01a</v>
      </c>
      <c r="D435" s="337" t="str">
        <f>wld_nsxt_global_mgra_hostname</f>
        <v>Value Missing</v>
      </c>
      <c r="E435" s="4"/>
    </row>
    <row r="436" spans="2:5" ht="20.05" customHeight="1" x14ac:dyDescent="0.35">
      <c r="B436" s="4" t="s">
        <v>442</v>
      </c>
      <c r="C436" s="362" t="str">
        <f>sample_wld_nsxt_global_mgrb_hostname</f>
        <v>sfo-w01-nsx-gm01b</v>
      </c>
      <c r="D436" s="337" t="str">
        <f>wld_nsxt_global_mgrb_hostname</f>
        <v>Value Missing</v>
      </c>
      <c r="E436" s="4"/>
    </row>
    <row r="437" spans="2:5" ht="20.05" customHeight="1" x14ac:dyDescent="0.35">
      <c r="B437" s="4" t="s">
        <v>443</v>
      </c>
      <c r="C437" s="362" t="str">
        <f>sample_wld_nsxt_global_mgrc_hostname</f>
        <v>sfo-w01-nsx-gm01c</v>
      </c>
      <c r="D437" s="337" t="str">
        <f>wld_nsxt_global_mgrc_hostname</f>
        <v>Value Missing</v>
      </c>
      <c r="E437" s="4"/>
    </row>
    <row r="438" spans="2:5" ht="16" customHeight="1" x14ac:dyDescent="0.35"/>
    <row r="439" spans="2:5" ht="20.05" customHeight="1" x14ac:dyDescent="0.35">
      <c r="B439" s="518" t="s">
        <v>444</v>
      </c>
      <c r="C439" s="519"/>
      <c r="D439" s="519"/>
      <c r="E439" s="520"/>
    </row>
    <row r="440" spans="2:5" ht="20.05" customHeight="1" x14ac:dyDescent="0.35">
      <c r="B440" s="346" t="s">
        <v>17</v>
      </c>
      <c r="C440" s="346" t="s">
        <v>18</v>
      </c>
      <c r="D440" s="346" t="s">
        <v>19</v>
      </c>
      <c r="E440" s="346" t="s">
        <v>20</v>
      </c>
    </row>
    <row r="441" spans="2:5" ht="20.05" customHeight="1" x14ac:dyDescent="0.35">
      <c r="B441" s="4" t="s">
        <v>445</v>
      </c>
      <c r="C441" s="362" t="str">
        <f>CONCATENATE(sample_wld_nsxt_global_mgra_hostname,".",sample_child_dns_zone)</f>
        <v>sfo-w01-nsx-gm01a.sfo.rainpole.io</v>
      </c>
      <c r="D441" s="337" t="str">
        <f>wld_nsxt_global_mgra_fqdn</f>
        <v>Value Missing</v>
      </c>
      <c r="E441" s="4"/>
    </row>
    <row r="442" spans="2:5" ht="20.05" customHeight="1" x14ac:dyDescent="0.35">
      <c r="B442" s="4" t="s">
        <v>446</v>
      </c>
      <c r="C442" s="89" t="str">
        <f>IF(mgmt_dpg_reuse_result="Included",CONCATENATE(prefix_mgmt_az1_cidr,"10.",(141 + (30*(wld_domain_number_chosen - 1)))),CONCATENATE(prefix_mgmt_az1_cidr,"11.",(141 + (30*(wld_domain_number_chosen - 1)))))</f>
        <v>10.11.10.141</v>
      </c>
      <c r="D442" s="337"/>
      <c r="E442" s="4"/>
    </row>
    <row r="443" spans="2:5" ht="20.05" customHeight="1" x14ac:dyDescent="0.35">
      <c r="B443" s="4" t="s">
        <v>447</v>
      </c>
      <c r="C443" s="89" t="str">
        <f>CONCATENATE(this_instance,"-w0",wld_domain_number_chosen,"-nsx-gm01",".",sample_child_dns_zone)</f>
        <v>sfo-w01-nsx-gm01.sfo.rainpole.io</v>
      </c>
      <c r="D443" s="337"/>
      <c r="E443" s="66"/>
    </row>
    <row r="444" spans="2:5" ht="16" customHeight="1" x14ac:dyDescent="0.35"/>
    <row r="445" spans="2:5" ht="20.05" customHeight="1" x14ac:dyDescent="0.35">
      <c r="B445" s="518" t="s">
        <v>448</v>
      </c>
      <c r="C445" s="519"/>
      <c r="D445" s="519"/>
      <c r="E445" s="520"/>
    </row>
    <row r="446" spans="2:5" ht="20.05" customHeight="1" x14ac:dyDescent="0.35">
      <c r="B446" s="346" t="s">
        <v>17</v>
      </c>
      <c r="C446" s="346" t="s">
        <v>18</v>
      </c>
      <c r="D446" s="346" t="s">
        <v>19</v>
      </c>
      <c r="E446" s="346" t="s">
        <v>20</v>
      </c>
    </row>
    <row r="447" spans="2:5" ht="20.05" customHeight="1" x14ac:dyDescent="0.35">
      <c r="B447" s="4" t="s">
        <v>447</v>
      </c>
      <c r="C447" s="362" t="str">
        <f>sample_wld_nsxt_gm_vip_fqdn</f>
        <v>sfo-w01-nsx-gm01.sfo.rainpole.io</v>
      </c>
      <c r="D447" s="337" t="str">
        <f>wld_nsxt_gm_vip_fqdn</f>
        <v>Value Missing</v>
      </c>
      <c r="E447" s="66"/>
    </row>
    <row r="448" spans="2:5" ht="16" customHeight="1" x14ac:dyDescent="0.35"/>
    <row r="449" spans="2:5" ht="20.05" customHeight="1" x14ac:dyDescent="0.35">
      <c r="B449" s="518" t="s">
        <v>449</v>
      </c>
      <c r="C449" s="519"/>
      <c r="D449" s="519"/>
      <c r="E449" s="520"/>
    </row>
    <row r="450" spans="2:5" ht="20.05" customHeight="1" x14ac:dyDescent="0.35">
      <c r="B450" s="346" t="s">
        <v>17</v>
      </c>
      <c r="C450" s="346" t="s">
        <v>18</v>
      </c>
      <c r="D450" s="346" t="s">
        <v>19</v>
      </c>
      <c r="E450" s="346" t="s">
        <v>20</v>
      </c>
    </row>
    <row r="451" spans="2:5" ht="20.05" customHeight="1" x14ac:dyDescent="0.35">
      <c r="B451" s="4" t="s">
        <v>447</v>
      </c>
      <c r="C451" s="362" t="str">
        <f>sample_wld_nsxt_gm_vip_fqdn</f>
        <v>sfo-w01-nsx-gm01.sfo.rainpole.io</v>
      </c>
      <c r="D451" s="337" t="str">
        <f>wld_nsxt_gm_vip_fqdn</f>
        <v>Value Missing</v>
      </c>
      <c r="E451" s="66"/>
    </row>
    <row r="452" spans="2:5" ht="20.05" customHeight="1" x14ac:dyDescent="0.35">
      <c r="B452" s="4" t="s">
        <v>450</v>
      </c>
      <c r="C452" s="126" t="s">
        <v>1136</v>
      </c>
      <c r="D452" s="337"/>
      <c r="E452" s="66"/>
    </row>
    <row r="453" spans="2:5" ht="20.05" customHeight="1" x14ac:dyDescent="0.35">
      <c r="B453" s="4" t="s">
        <v>445</v>
      </c>
      <c r="C453" s="362" t="str">
        <f>CONCATENATE(sample_wld_nsxt_global_mgra_hostname,".",sample_child_dns_zone)</f>
        <v>sfo-w01-nsx-gm01a.sfo.rainpole.io</v>
      </c>
      <c r="D453" s="337" t="str">
        <f>wld_nsxt_global_mgra_fqdn</f>
        <v>Value Missing</v>
      </c>
      <c r="E453" s="4"/>
    </row>
    <row r="454" spans="2:5" ht="20.05" customHeight="1" x14ac:dyDescent="0.35">
      <c r="B454" s="4" t="s">
        <v>452</v>
      </c>
      <c r="C454" s="362" t="str">
        <f>sample_wld_nsxt_global_mgr_certificate_id</f>
        <v>b900065b-aeb5-457e-aca6-4612b17d06d9</v>
      </c>
      <c r="D454" s="337" t="str">
        <f>wld_nsxt_global_mgr_certificate_id</f>
        <v>Value Missing</v>
      </c>
      <c r="E454" s="66"/>
    </row>
    <row r="455" spans="2:5" ht="16" customHeight="1" x14ac:dyDescent="0.35"/>
    <row r="456" spans="2:5" ht="20.05" customHeight="1" x14ac:dyDescent="0.35">
      <c r="B456" s="518" t="s">
        <v>453</v>
      </c>
      <c r="C456" s="519"/>
      <c r="D456" s="519"/>
      <c r="E456" s="520"/>
    </row>
    <row r="457" spans="2:5" ht="20.05" customHeight="1" x14ac:dyDescent="0.35">
      <c r="B457" s="346" t="s">
        <v>17</v>
      </c>
      <c r="C457" s="346" t="s">
        <v>18</v>
      </c>
      <c r="D457" s="346" t="s">
        <v>19</v>
      </c>
      <c r="E457" s="346" t="s">
        <v>20</v>
      </c>
    </row>
    <row r="458" spans="2:5" ht="20.05" customHeight="1" x14ac:dyDescent="0.35">
      <c r="B458" s="4" t="s">
        <v>447</v>
      </c>
      <c r="C458" s="362" t="str">
        <f>sample_wld_nsxt_gm_vip_fqdn</f>
        <v>sfo-w01-nsx-gm01.sfo.rainpole.io</v>
      </c>
      <c r="D458" s="337" t="str">
        <f>wld_nsxt_gm_vip_fqdn</f>
        <v>Value Missing</v>
      </c>
      <c r="E458" s="66"/>
    </row>
    <row r="459" spans="2:5" ht="20.05" customHeight="1" x14ac:dyDescent="0.35">
      <c r="B459" s="4" t="s">
        <v>454</v>
      </c>
      <c r="C459" s="362" t="str">
        <f>CONCATENATE(sample_wld_nsxt_global_mgrb_hostname,".",sample_child_dns_zone)</f>
        <v>sfo-w01-nsx-gm01b.sfo.rainpole.io</v>
      </c>
      <c r="D459" s="337" t="str">
        <f>wld_nsxt_global_mgrb_fqdn</f>
        <v>Value Missing</v>
      </c>
      <c r="E459" s="4"/>
    </row>
    <row r="460" spans="2:5" ht="20.05" customHeight="1" x14ac:dyDescent="0.35">
      <c r="B460" s="4" t="s">
        <v>455</v>
      </c>
      <c r="C460" s="362" t="str">
        <f>CONCATENATE(sample_wld_nsxt_global_mgrc_hostname,".",sample_child_dns_zone)</f>
        <v>sfo-w01-nsx-gm01c.sfo.rainpole.io</v>
      </c>
      <c r="D460" s="337" t="str">
        <f>wld_nsxt_global_mgrc_fqdn</f>
        <v>Value Missing</v>
      </c>
      <c r="E460" s="4"/>
    </row>
    <row r="461" spans="2:5" ht="20.05" customHeight="1" x14ac:dyDescent="0.35">
      <c r="B461" s="4" t="s">
        <v>452</v>
      </c>
      <c r="C461" s="362" t="str">
        <f>sample_wld_nsxt_global_mgr_certificate_id</f>
        <v>b900065b-aeb5-457e-aca6-4612b17d06d9</v>
      </c>
      <c r="D461" s="337" t="str">
        <f>wld_nsxt_global_mgr_certificate_id</f>
        <v>Value Missing</v>
      </c>
      <c r="E461" s="66"/>
    </row>
    <row r="462" spans="2:5" ht="16" customHeight="1" x14ac:dyDescent="0.35"/>
    <row r="463" spans="2:5" ht="20.05" customHeight="1" x14ac:dyDescent="0.35">
      <c r="B463" s="518" t="s">
        <v>456</v>
      </c>
      <c r="C463" s="519"/>
      <c r="D463" s="519"/>
      <c r="E463" s="520"/>
    </row>
    <row r="464" spans="2:5" ht="20.05" customHeight="1" x14ac:dyDescent="0.35">
      <c r="B464" s="346" t="s">
        <v>261</v>
      </c>
      <c r="C464" s="346" t="s">
        <v>262</v>
      </c>
      <c r="D464" s="97" t="s">
        <v>19</v>
      </c>
      <c r="E464" s="346" t="s">
        <v>263</v>
      </c>
    </row>
    <row r="465" spans="2:5" ht="20.05" customHeight="1" x14ac:dyDescent="0.35">
      <c r="B465" s="4" t="s">
        <v>457</v>
      </c>
      <c r="C465" s="362" t="str">
        <f>sample_wld_nsxt_vip_fqdn</f>
        <v>sfo-w01-nsx01.sfo.rainpole.io</v>
      </c>
      <c r="D465" s="337" t="str">
        <f>wld_nsxt_vip_fqdn</f>
        <v>Value Missing</v>
      </c>
      <c r="E465" s="4"/>
    </row>
    <row r="466" spans="2:5" ht="20.05" customHeight="1" x14ac:dyDescent="0.35">
      <c r="B466" s="4" t="s">
        <v>261</v>
      </c>
      <c r="C466" s="80" t="str">
        <f>CONCATENATE(this_instance,"-w0",wld_domain_number_chosen,"-r01-ip-pool-rtep")</f>
        <v>sfo-w01-r01-ip-pool-rtep</v>
      </c>
      <c r="D466" s="337"/>
      <c r="E466" s="4"/>
    </row>
    <row r="467" spans="2:5" ht="20.05" customHeight="1" x14ac:dyDescent="0.35">
      <c r="B467" s="17" t="s">
        <v>458</v>
      </c>
      <c r="C467" s="80" t="str">
        <f>CONCATENATE(prefix_wld_az1_cidr,"20.101")</f>
        <v>10.13.20.101</v>
      </c>
      <c r="D467" s="337"/>
      <c r="E467" s="4"/>
    </row>
    <row r="468" spans="2:5" ht="20.05" customHeight="1" x14ac:dyDescent="0.35">
      <c r="B468" s="22" t="s">
        <v>459</v>
      </c>
      <c r="C468" s="80" t="str">
        <f>IF(wld_stretched_cluster_result="Excluded",CONCATENATE(prefix_wld_az1_cidr,"20.116"),CONCATENATE(prefix_wld_az1_cidr,"20.132"))</f>
        <v>10.13.20.116</v>
      </c>
      <c r="D468" s="337"/>
      <c r="E468" s="4"/>
    </row>
    <row r="469" spans="2:5" ht="20.05" customHeight="1" x14ac:dyDescent="0.35">
      <c r="B469" s="4" t="s">
        <v>460</v>
      </c>
      <c r="C469" s="80" t="str">
        <f>CONCATENATE(prefix_wld_az1_cidr,"20.0/24")</f>
        <v>10.13.20.0/24</v>
      </c>
      <c r="D469" s="337"/>
      <c r="E469" s="4"/>
    </row>
    <row r="470" spans="2:5" ht="20.05" customHeight="1" x14ac:dyDescent="0.35">
      <c r="B470" s="4" t="s">
        <v>461</v>
      </c>
      <c r="C470" s="80" t="str">
        <f>CONCATENATE(prefix_wld_az1_cidr,"20.1")</f>
        <v>10.13.20.1</v>
      </c>
      <c r="D470" s="337"/>
      <c r="E470" s="4"/>
    </row>
    <row r="471" spans="2:5" ht="20.05" customHeight="1" x14ac:dyDescent="0.35"/>
    <row r="472" spans="2:5" ht="20.05" customHeight="1" x14ac:dyDescent="0.35">
      <c r="B472" s="518" t="s">
        <v>462</v>
      </c>
      <c r="C472" s="519"/>
      <c r="D472" s="519"/>
      <c r="E472" s="520"/>
    </row>
    <row r="473" spans="2:5" ht="20.05" customHeight="1" x14ac:dyDescent="0.35">
      <c r="B473" s="346" t="s">
        <v>17</v>
      </c>
      <c r="C473" s="346" t="s">
        <v>18</v>
      </c>
      <c r="D473" s="346" t="s">
        <v>19</v>
      </c>
      <c r="E473" s="346" t="s">
        <v>20</v>
      </c>
    </row>
    <row r="474" spans="2:5" ht="20.05" customHeight="1" x14ac:dyDescent="0.35">
      <c r="B474" s="4" t="s">
        <v>463</v>
      </c>
      <c r="C474" s="362" t="str">
        <f>sample_wld_nsxt_gm_vip_fqdn</f>
        <v>sfo-w01-nsx-gm01.sfo.rainpole.io</v>
      </c>
      <c r="D474" s="337" t="str">
        <f>wld_nsxt_gm_vip_fqdn</f>
        <v>Value Missing</v>
      </c>
      <c r="E474" s="66"/>
    </row>
    <row r="475" spans="2:5" ht="20.05" customHeight="1" x14ac:dyDescent="0.35">
      <c r="B475" s="4" t="s">
        <v>464</v>
      </c>
      <c r="C475" s="362" t="str">
        <f>sample_wld_nsxt_federation_global_manager_name</f>
        <v>sfo-w01-nsx-gm01</v>
      </c>
      <c r="D475" s="337"/>
      <c r="E475" s="66"/>
    </row>
    <row r="476" spans="2:5" ht="16" customHeight="1" x14ac:dyDescent="0.35"/>
    <row r="477" spans="2:5" ht="20.05" customHeight="1" x14ac:dyDescent="0.35">
      <c r="B477" s="518" t="s">
        <v>465</v>
      </c>
      <c r="C477" s="519"/>
      <c r="D477" s="519"/>
      <c r="E477" s="520"/>
    </row>
    <row r="478" spans="2:5" ht="20.05" customHeight="1" x14ac:dyDescent="0.35">
      <c r="B478" s="346" t="s">
        <v>17</v>
      </c>
      <c r="C478" s="346" t="s">
        <v>18</v>
      </c>
      <c r="D478" s="346" t="s">
        <v>19</v>
      </c>
      <c r="E478" s="346" t="s">
        <v>20</v>
      </c>
    </row>
    <row r="479" spans="2:5" ht="20.05" customHeight="1" x14ac:dyDescent="0.35">
      <c r="B479" s="4" t="s">
        <v>466</v>
      </c>
      <c r="C479" s="362" t="str">
        <f>sample_wld_nsxt_gm_vip_fqdn</f>
        <v>sfo-w01-nsx-gm01.sfo.rainpole.io</v>
      </c>
      <c r="D479" s="337" t="str">
        <f>wld_nsxt_gm_vip_fqdn</f>
        <v>Value Missing</v>
      </c>
      <c r="E479" s="66"/>
    </row>
    <row r="480" spans="2:5" ht="20.05" customHeight="1" x14ac:dyDescent="0.35">
      <c r="B480" s="4" t="s">
        <v>467</v>
      </c>
      <c r="C480" s="362" t="s">
        <v>473</v>
      </c>
      <c r="D480" s="337"/>
      <c r="E480" s="66" t="s">
        <v>1137</v>
      </c>
    </row>
    <row r="481" spans="2:5" ht="20.05" customHeight="1" x14ac:dyDescent="0.35">
      <c r="B481" s="4" t="s">
        <v>469</v>
      </c>
      <c r="C481" s="362" t="str">
        <f t="array" ref="C481">IF(mgmt_domain_chosen="Initial VCF Instance",CONCATENATE(sample_wld_nsxt_gm_hostname,".",sample_child_dns_zone),sample_wld_existing_active_nsx_gm)</f>
        <v>lax-w01-nsx-gm01.lax.rainpole.io</v>
      </c>
      <c r="D481" s="337" t="str">
        <f>IF(mgmt_domain_chosen="First Domain",wld_nsxt_gm_vip_fqdn,wld_existing_active_nsx_gm)</f>
        <v>Value Missing</v>
      </c>
      <c r="E481" s="66"/>
    </row>
    <row r="482" spans="2:5" ht="20.05" customHeight="1" x14ac:dyDescent="0.35">
      <c r="B482" s="4" t="s">
        <v>470</v>
      </c>
      <c r="C482" s="126" t="str">
        <f>CONCATENATE(this_instance,"-w0",wld_domain_number_chosen,"-nsx-gm01")</f>
        <v>sfo-w01-nsx-gm01</v>
      </c>
      <c r="D482" s="337" t="str">
        <f>wld_nsxt_federation_global_manager_name</f>
        <v>Value Missing</v>
      </c>
      <c r="E482" s="66"/>
    </row>
    <row r="483" spans="2:5" ht="20.05" customHeight="1" x14ac:dyDescent="0.35">
      <c r="B483" s="4" t="s">
        <v>471</v>
      </c>
      <c r="C483" s="362" t="str">
        <f>sample_wld_nsxt_gm_vip_fqdn</f>
        <v>sfo-w01-nsx-gm01.sfo.rainpole.io</v>
      </c>
      <c r="D483" s="337" t="str">
        <f>wld_nsxt_gm_vip_fqdn</f>
        <v>Value Missing</v>
      </c>
      <c r="E483" s="66"/>
    </row>
    <row r="484" spans="2:5" ht="20.05" customHeight="1" x14ac:dyDescent="0.35">
      <c r="B484" s="4" t="s">
        <v>27</v>
      </c>
      <c r="C484" s="362" t="s">
        <v>431</v>
      </c>
      <c r="D484" s="337" t="str">
        <f>C484</f>
        <v>admin</v>
      </c>
      <c r="E484" s="66"/>
    </row>
    <row r="485" spans="2:5" ht="20.05" customHeight="1" x14ac:dyDescent="0.35">
      <c r="B485" s="4" t="s">
        <v>29</v>
      </c>
      <c r="C485" s="362" t="str">
        <f>sample_wld_nsxt_gm_admin_password</f>
        <v>VMw@re1!VMw@re1!</v>
      </c>
      <c r="D485" s="337" t="str">
        <f>wld_nsxt_gm_admin_password</f>
        <v>Value Missing</v>
      </c>
      <c r="E485" s="66"/>
    </row>
    <row r="486" spans="2:5" ht="20.05" customHeight="1" x14ac:dyDescent="0.35">
      <c r="B486" s="4" t="s">
        <v>467</v>
      </c>
      <c r="C486" s="362" t="str">
        <f>sample_wld_nsxt_gm_fingerprint</f>
        <v>676edbc9b8c639d9311aaea32a357c7c81226856ad4f8c73a68dd760652d6b5d</v>
      </c>
      <c r="D486" s="337" t="str">
        <f>wld_nsxt_gm_fingerprint</f>
        <v>Value Missing</v>
      </c>
      <c r="E486" s="66"/>
    </row>
    <row r="487" spans="2:5" ht="16" customHeight="1" x14ac:dyDescent="0.35"/>
    <row r="488" spans="2:5" ht="20.05" customHeight="1" x14ac:dyDescent="0.35">
      <c r="B488" s="518" t="s">
        <v>472</v>
      </c>
      <c r="C488" s="519"/>
      <c r="D488" s="519"/>
      <c r="E488" s="520"/>
    </row>
    <row r="489" spans="2:5" ht="20.05" customHeight="1" x14ac:dyDescent="0.35">
      <c r="B489" s="346" t="s">
        <v>17</v>
      </c>
      <c r="C489" s="346" t="s">
        <v>18</v>
      </c>
      <c r="D489" s="346" t="s">
        <v>19</v>
      </c>
      <c r="E489" s="346" t="s">
        <v>20</v>
      </c>
    </row>
    <row r="490" spans="2:5" ht="20.05" customHeight="1" x14ac:dyDescent="0.35">
      <c r="B490" s="4" t="s">
        <v>457</v>
      </c>
      <c r="C490" s="362" t="str">
        <f>sample_wld_nsxt_vip_fqdn</f>
        <v>sfo-w01-nsx01.sfo.rainpole.io</v>
      </c>
      <c r="D490" s="337" t="str">
        <f>wld_nsxt_vip_fqdn</f>
        <v>Value Missing</v>
      </c>
      <c r="E490" s="4"/>
    </row>
    <row r="491" spans="2:5" ht="20.05" customHeight="1" x14ac:dyDescent="0.35">
      <c r="B491" s="4" t="s">
        <v>467</v>
      </c>
      <c r="C491" s="362" t="s">
        <v>468</v>
      </c>
      <c r="D491" s="337"/>
      <c r="E491" s="66" t="s">
        <v>1137</v>
      </c>
    </row>
    <row r="492" spans="2:5" ht="20.05" customHeight="1" x14ac:dyDescent="0.35">
      <c r="B492" s="4" t="s">
        <v>469</v>
      </c>
      <c r="C492" s="362" t="str">
        <f t="array" ref="C492">IF(mgmt_domain_chosen="Initial VCF Instance",CONCATENATE(sample_wld_nsxt_gm_hostname,".",sample_child_dns_zone),sample_wld_existing_active_nsx_gm)</f>
        <v>lax-w01-nsx-gm01.lax.rainpole.io</v>
      </c>
      <c r="D492" s="337" t="str">
        <f>IF(mgmt_domain_chosen="First Instance",wld_nsxt_gm_vip_fqdn,wld_existing_active_nsx_gm)</f>
        <v>Value Missing</v>
      </c>
      <c r="E492" s="66"/>
    </row>
    <row r="493" spans="2:5" ht="20.05" customHeight="1" x14ac:dyDescent="0.35">
      <c r="B493" s="4" t="s">
        <v>474</v>
      </c>
      <c r="C493" s="126" t="str">
        <f>CONCATENATE(this_instance,"-w0",wld_domain_number_chosen,)</f>
        <v>sfo-w01</v>
      </c>
      <c r="D493" s="337"/>
      <c r="E493" s="66"/>
    </row>
    <row r="494" spans="2:5" ht="20.05" customHeight="1" x14ac:dyDescent="0.35">
      <c r="B494" s="4" t="s">
        <v>471</v>
      </c>
      <c r="C494" s="362" t="str">
        <f>sample_wld_nsxt_vip_fqdn</f>
        <v>sfo-w01-nsx01.sfo.rainpole.io</v>
      </c>
      <c r="D494" s="337" t="str">
        <f>wld_nsxt_vip_fqdn</f>
        <v>Value Missing</v>
      </c>
      <c r="E494" s="66"/>
    </row>
    <row r="495" spans="2:5" ht="20.05" customHeight="1" x14ac:dyDescent="0.35">
      <c r="B495" s="4" t="s">
        <v>27</v>
      </c>
      <c r="C495" s="362" t="s">
        <v>431</v>
      </c>
      <c r="D495" s="337"/>
      <c r="E495" s="66"/>
    </row>
    <row r="496" spans="2:5" ht="20.05" customHeight="1" x14ac:dyDescent="0.35">
      <c r="B496" s="4" t="s">
        <v>29</v>
      </c>
      <c r="C496" s="362" t="str">
        <f>sample_wld_nsxt_lm_admin_password</f>
        <v>VMw@re1!VMw@re1!</v>
      </c>
      <c r="D496" s="337" t="str">
        <f>wld_nsxt_lm_admin_password</f>
        <v>Value Missing</v>
      </c>
      <c r="E496" s="66"/>
    </row>
    <row r="497" spans="2:5" ht="20.05" customHeight="1" x14ac:dyDescent="0.35">
      <c r="B497" s="4" t="s">
        <v>467</v>
      </c>
      <c r="C497" s="362" t="str">
        <f>sample_wld_nsxt_lm_fingerprint</f>
        <v>0d472de0d92da89f2b469d4d10ab23505ad4edb90cd7e68f84497008f6c89ff1</v>
      </c>
      <c r="D497" s="337" t="str">
        <f>wld_nsxt_lm_fingerprint</f>
        <v>Value Missing</v>
      </c>
      <c r="E497" s="66"/>
    </row>
    <row r="498" spans="2:5" ht="20.05" customHeight="1" x14ac:dyDescent="0.35">
      <c r="B498" s="4" t="s">
        <v>475</v>
      </c>
      <c r="C498" s="362" t="s">
        <v>476</v>
      </c>
      <c r="D498" s="337" t="str">
        <f>C498</f>
        <v>nsxDefaultHostSwitch</v>
      </c>
      <c r="E498" s="143"/>
    </row>
    <row r="499" spans="2:5" ht="20.05" customHeight="1" x14ac:dyDescent="0.35">
      <c r="B499" s="4" t="s">
        <v>477</v>
      </c>
      <c r="C499" s="80" t="str">
        <f>CONCATENATE(prefix_wld_az1_vlan,"20")</f>
        <v>1320</v>
      </c>
      <c r="D499" s="337"/>
      <c r="E499" s="66"/>
    </row>
    <row r="500" spans="2:5" ht="20.05" customHeight="1" x14ac:dyDescent="0.35">
      <c r="B500" s="4" t="s">
        <v>478</v>
      </c>
      <c r="C500" s="362" t="str">
        <f>sample_wld_az1_rtep_ip_pool_name</f>
        <v>sfo-w01-r01-ip-pool-rtep</v>
      </c>
      <c r="D500" s="337" t="str">
        <f>wld_az1_rtep_ip_pool_name</f>
        <v>Value Missing</v>
      </c>
      <c r="E500" s="66"/>
    </row>
    <row r="501" spans="2:5" ht="16" customHeight="1" x14ac:dyDescent="0.35"/>
    <row r="502" spans="2:5" ht="20.05" customHeight="1" x14ac:dyDescent="0.35">
      <c r="B502" s="518" t="s">
        <v>479</v>
      </c>
      <c r="C502" s="519"/>
      <c r="D502" s="519"/>
      <c r="E502" s="520"/>
    </row>
    <row r="503" spans="2:5" ht="20.05" customHeight="1" x14ac:dyDescent="0.35">
      <c r="B503" s="346" t="s">
        <v>17</v>
      </c>
      <c r="C503" s="346" t="s">
        <v>18</v>
      </c>
      <c r="D503" s="346" t="s">
        <v>19</v>
      </c>
      <c r="E503" s="346" t="s">
        <v>20</v>
      </c>
    </row>
    <row r="504" spans="2:5" ht="20.05" customHeight="1" x14ac:dyDescent="0.35">
      <c r="B504" s="4" t="s">
        <v>447</v>
      </c>
      <c r="C504" s="362" t="str">
        <f>sample_wld_nsxt_gm_vip_fqdn</f>
        <v>sfo-w01-nsx-gm01.sfo.rainpole.io</v>
      </c>
      <c r="D504" s="337" t="str">
        <f>wld_nsxt_gm_vip_fqdn</f>
        <v>Value Missing</v>
      </c>
      <c r="E504" s="66"/>
    </row>
    <row r="505" spans="2:5" ht="20.05" customHeight="1" x14ac:dyDescent="0.35">
      <c r="B505" s="4" t="s">
        <v>480</v>
      </c>
      <c r="C505" s="126" t="str">
        <f>CONCATENATE(prefix_portable_component,"-w0",wld_domain_number_chosen,"-ec01-t1-gw01")</f>
        <v>flt-w01-ec01-t1-gw01</v>
      </c>
      <c r="D505" s="337"/>
      <c r="E505" s="66"/>
    </row>
    <row r="506" spans="2:5" ht="20.05" customHeight="1" x14ac:dyDescent="0.35">
      <c r="B506" s="4" t="s">
        <v>481</v>
      </c>
      <c r="C506" s="362" t="str">
        <f>sample_wld_tier0_name</f>
        <v>sfo-w01-ec01-t0-gw01</v>
      </c>
      <c r="D506" s="337" t="str">
        <f>wld_tier0_name</f>
        <v>Value Missing</v>
      </c>
      <c r="E506" s="66"/>
    </row>
    <row r="507" spans="2:5" ht="20.05" customHeight="1" x14ac:dyDescent="0.35">
      <c r="B507" s="4" t="s">
        <v>482</v>
      </c>
      <c r="C507" s="362" t="str">
        <f>sample_wld_nsxt_federation_location_name</f>
        <v>sfo-w01</v>
      </c>
      <c r="D507" s="337" t="str">
        <f>wld_nsxt_federation_location_name</f>
        <v>Value Missing</v>
      </c>
      <c r="E507" s="25"/>
    </row>
    <row r="508" spans="2:5" ht="20.05" customHeight="1" x14ac:dyDescent="0.35">
      <c r="B508" s="4" t="s">
        <v>88</v>
      </c>
      <c r="C508" s="362" t="str">
        <f>sample_wld_ec_name</f>
        <v>sfo-w01-ec01</v>
      </c>
      <c r="D508" s="337" t="str">
        <f>wld_ec_name</f>
        <v>Value Missing</v>
      </c>
      <c r="E508" s="66"/>
    </row>
    <row r="509" spans="2:5" ht="16" customHeight="1" x14ac:dyDescent="0.35"/>
    <row r="510" spans="2:5" ht="20.05" customHeight="1" x14ac:dyDescent="0.35">
      <c r="B510" s="518" t="s">
        <v>486</v>
      </c>
      <c r="C510" s="519"/>
      <c r="D510" s="519"/>
      <c r="E510" s="520"/>
    </row>
    <row r="511" spans="2:5" ht="20.05" customHeight="1" x14ac:dyDescent="0.35">
      <c r="B511" s="346" t="s">
        <v>17</v>
      </c>
      <c r="C511" s="346" t="s">
        <v>18</v>
      </c>
      <c r="D511" s="346" t="s">
        <v>19</v>
      </c>
      <c r="E511" s="346" t="s">
        <v>20</v>
      </c>
    </row>
    <row r="512" spans="2:5" ht="20.05" customHeight="1" x14ac:dyDescent="0.35">
      <c r="B512" s="4" t="s">
        <v>469</v>
      </c>
      <c r="C512" s="362" t="str">
        <f>IF(mgmt_domain_chosen="First Domain",CONCATENATE(this_instance,"-w01-nsx-gm01.",this_instance,".",sample_parent_dns_zone),CONCATENATE(other_instance,"-w01-nsx-gm01.",other_instance,".",sample_parent_dns_zone))</f>
        <v>lax-w01-nsx-gm01.lax.rainpole.io</v>
      </c>
      <c r="D512" s="337"/>
      <c r="E512" s="66"/>
    </row>
    <row r="513" spans="2:5" ht="20.05" customHeight="1" x14ac:dyDescent="0.35">
      <c r="B513" s="4" t="s">
        <v>487</v>
      </c>
      <c r="C513" s="362" t="str">
        <f>CONCATENATE(this_instance,"-w01-ec01-t0-gw01")</f>
        <v>sfo-w01-ec01-t0-gw01</v>
      </c>
      <c r="D513" s="337"/>
      <c r="E513" s="66"/>
    </row>
    <row r="514" spans="2:5" ht="20.05" customHeight="1" x14ac:dyDescent="0.35">
      <c r="B514" s="4" t="s">
        <v>482</v>
      </c>
      <c r="C514" s="362" t="str">
        <f>sample_wld_nsxt_federation_location_name</f>
        <v>sfo-w01</v>
      </c>
      <c r="D514" s="337" t="str">
        <f>wld_nsxt_federation_location_name</f>
        <v>Value Missing</v>
      </c>
      <c r="E514" s="25"/>
    </row>
    <row r="515" spans="2:5" ht="20.05" customHeight="1" x14ac:dyDescent="0.35">
      <c r="B515" s="4" t="s">
        <v>88</v>
      </c>
      <c r="C515" s="362" t="str">
        <f>sample_wld_ec_name</f>
        <v>sfo-w01-ec01</v>
      </c>
      <c r="D515" s="337" t="str">
        <f>wld_ec_name</f>
        <v>Value Missing</v>
      </c>
      <c r="E515" s="66"/>
    </row>
    <row r="516" spans="2:5" ht="20.05" customHeight="1" x14ac:dyDescent="0.35">
      <c r="B516" s="4" t="s">
        <v>489</v>
      </c>
      <c r="C516" s="362" t="str">
        <f>CONCATENATE(sample_wld_az1_en1_hostname,"_VCF-edge_",sample_wld_ec_name,"_segment_",sample_wld_az1_uplink01_vlan,"_",sample_wld_az1_en1_uplink01_interface_cidr)</f>
        <v>sfo-w01-r01-en01_VCF-edge_sfo-w01-ec01_segment_1317_10.13.17.2/24</v>
      </c>
      <c r="D516" s="337" t="str">
        <f>CONCATENATE(wld_az1_en1_hostname,"_VCF-edge_",wld_ec_name,"_segment_",wld_az1_uplink01_vlan,"_",wld_az1_en1_uplink01_interface_cidr)</f>
        <v>Value Missing_VCF-edge_Value Missing_segment_Value Missing_Value Missing</v>
      </c>
      <c r="E516" s="66"/>
    </row>
    <row r="517" spans="2:5" ht="20.05" customHeight="1" x14ac:dyDescent="0.35">
      <c r="B517" s="4" t="s">
        <v>490</v>
      </c>
      <c r="C517" s="362" t="str">
        <f>sample_wld_nsxt_federation_location_name</f>
        <v>sfo-w01</v>
      </c>
      <c r="D517" s="337" t="str">
        <f>wld_nsxt_federation_location_name</f>
        <v>Value Missing</v>
      </c>
      <c r="E517" s="66"/>
    </row>
    <row r="518" spans="2:5" ht="20.05" customHeight="1" x14ac:dyDescent="0.35">
      <c r="B518" s="4" t="s">
        <v>491</v>
      </c>
      <c r="C518" s="362" t="str">
        <f>sample_wld_az1_en1_uplink01_interface_cidr</f>
        <v>10.13.17.2/24</v>
      </c>
      <c r="D518" s="337" t="str">
        <f>wld_az1_en1_uplink01_interface_cidr</f>
        <v>Value Missing</v>
      </c>
      <c r="E518" s="66"/>
    </row>
    <row r="519" spans="2:5" ht="20.05" customHeight="1" x14ac:dyDescent="0.35">
      <c r="B519" s="4" t="s">
        <v>492</v>
      </c>
      <c r="C519" s="362" t="str">
        <f>CONCATENATE("VCF-edge_",sample_wld_ec_name,"_segment_uplink1_",sample_wld_az1_uplink01_vlan)</f>
        <v>VCF-edge_sfo-w01-ec01_segment_uplink1_1317</v>
      </c>
      <c r="D519" s="337" t="str">
        <f>CONCATENATE("VCF-edge_",wld_ec_name,"_segment_uplink1_",wld_az1_uplink01_vlan)</f>
        <v>VCF-edge_Value Missing_segment_uplink1_Value Missing</v>
      </c>
      <c r="E519" s="66"/>
    </row>
    <row r="520" spans="2:5" ht="20.05" customHeight="1" x14ac:dyDescent="0.35">
      <c r="B520" s="4" t="s">
        <v>1138</v>
      </c>
      <c r="C520" s="362" t="str">
        <f>CONCATENATE(this_instance,"-w0",wld_domain_number_chosen,"-r01-en01")</f>
        <v>sfo-w01-r01-en01</v>
      </c>
      <c r="D520" s="337" t="str">
        <f>wld_az1_en1_hostname</f>
        <v>Value Missing</v>
      </c>
      <c r="E520" s="66"/>
    </row>
    <row r="521" spans="2:5" ht="20.05" customHeight="1" x14ac:dyDescent="0.35">
      <c r="B521" s="4" t="s">
        <v>1139</v>
      </c>
      <c r="C521" s="362">
        <f>sample_wld_az1_uplink01_mtu</f>
        <v>9000</v>
      </c>
      <c r="D521" s="337" t="str">
        <f>wld_az1_uplink01_mtu</f>
        <v>Value Missing</v>
      </c>
      <c r="E521" s="66"/>
    </row>
    <row r="522" spans="2:5" ht="20.05" customHeight="1" x14ac:dyDescent="0.35">
      <c r="B522" s="4" t="s">
        <v>1140</v>
      </c>
      <c r="C522" s="362" t="str">
        <f>CONCATENATE(sample_wld_az1_en1_hostname,"_VCF-edge_",sample_wld_ec_name,"_segment_",sample_wld_az1_uplink02_vlan,"_",sample_wld_az1_en1_uplink02_interface_cidr)</f>
        <v>sfo-w01-r01-en01_VCF-edge_sfo-w01-ec01_segment_1318_10.13.18.2/24</v>
      </c>
      <c r="D522" s="337" t="str">
        <f>CONCATENATE(wld_az1_en1_hostname,"_VCF-edge_",wld_ec_name,"_segment_",wld_az1_uplink02_vlan,"_",wld_az1_en1_uplink02_interface_cidr)</f>
        <v>Value Missing_VCF-edge_Value Missing_segment_Value Missing_Value Missing</v>
      </c>
      <c r="E522" s="66"/>
    </row>
    <row r="523" spans="2:5" ht="20.05" customHeight="1" x14ac:dyDescent="0.35">
      <c r="B523" s="4" t="s">
        <v>1141</v>
      </c>
      <c r="C523" s="362" t="str">
        <f>sample_wld_nsxt_federation_location_name</f>
        <v>sfo-w01</v>
      </c>
      <c r="D523" s="337" t="str">
        <f>wld_nsxt_federation_location_name</f>
        <v>Value Missing</v>
      </c>
      <c r="E523" s="66"/>
    </row>
    <row r="524" spans="2:5" ht="20.05" customHeight="1" x14ac:dyDescent="0.35">
      <c r="B524" s="4" t="s">
        <v>498</v>
      </c>
      <c r="C524" s="362" t="str">
        <f>sample_wld_az1_en1_uplink02_interface_cidr</f>
        <v>10.13.18.2/24</v>
      </c>
      <c r="D524" s="337" t="str">
        <f>wld_az1_en1_uplink02_interface_cidr</f>
        <v>Value Missing</v>
      </c>
      <c r="E524" s="66"/>
    </row>
    <row r="525" spans="2:5" ht="20.05" customHeight="1" x14ac:dyDescent="0.35">
      <c r="B525" s="17" t="s">
        <v>1142</v>
      </c>
      <c r="C525" s="362" t="str">
        <f>CONCATENATE("VCF-edge_",sample_wld_ec_name,"_segment_uplink2_",sample_wld_az1_uplink02_vlan)</f>
        <v>VCF-edge_sfo-w01-ec01_segment_uplink2_1318</v>
      </c>
      <c r="D525" s="337" t="str">
        <f>CONCATENATE("VCF-edge_",wld_ec_name,"_segment_uplink2_",wld_az1_uplink02_vlan)</f>
        <v>VCF-edge_Value Missing_segment_uplink2_Value Missing</v>
      </c>
      <c r="E525" s="66"/>
    </row>
    <row r="526" spans="2:5" ht="20.05" customHeight="1" x14ac:dyDescent="0.35">
      <c r="B526" s="4" t="s">
        <v>500</v>
      </c>
      <c r="C526" s="362" t="str">
        <f>sample_wld_az1_en1_hostname</f>
        <v>sfo-w01-r01-en01</v>
      </c>
      <c r="D526" s="337" t="str">
        <f>wld_az1_en1_hostname</f>
        <v>Value Missing</v>
      </c>
      <c r="E526" s="66"/>
    </row>
    <row r="527" spans="2:5" ht="20.05" customHeight="1" x14ac:dyDescent="0.35">
      <c r="B527" s="4" t="s">
        <v>502</v>
      </c>
      <c r="C527" s="362">
        <f>sample_wld_az1_uplink01_mtu</f>
        <v>9000</v>
      </c>
      <c r="D527" s="337" t="str">
        <f>wld_az1_uplink02_mtu</f>
        <v>Value Missing</v>
      </c>
      <c r="E527" s="66"/>
    </row>
    <row r="528" spans="2:5" ht="20.05" customHeight="1" x14ac:dyDescent="0.35">
      <c r="B528" s="4" t="s">
        <v>503</v>
      </c>
      <c r="C528" s="362" t="str">
        <f>CONCATENATE(sample_wld_az1_en2_hostname,"_VCF-edge_",sample_wld_ec_name,"_segment_",sample_wld_az1_uplink01_vlan,"_",sample_wld_az1_en2_uplink01_interface_cidr)</f>
        <v>sfo-w01-r01-en02_VCF-edge_sfo-w01-ec01_segment_1317_10.13.17.3/24</v>
      </c>
      <c r="D528" s="337" t="str">
        <f>CONCATENATE(wld_az1_en2_hostname,"_VCF-edge_",wld_ec_name,"_segment_",wld_az1_uplink01_vlan,"_",wld_az1_en2_uplink01_interface_cidr)</f>
        <v>Value Missing_VCF-edge_Value Missing_segment_Value Missing_Value Missing</v>
      </c>
      <c r="E528" s="66"/>
    </row>
    <row r="529" spans="2:5" ht="20.05" customHeight="1" x14ac:dyDescent="0.35">
      <c r="B529" s="4" t="s">
        <v>1143</v>
      </c>
      <c r="C529" s="362" t="str">
        <f>sample_wld_nsxt_federation_location_name</f>
        <v>sfo-w01</v>
      </c>
      <c r="D529" s="337" t="str">
        <f>wld_nsxt_federation_location_name</f>
        <v>Value Missing</v>
      </c>
      <c r="E529" s="66"/>
    </row>
    <row r="530" spans="2:5" ht="20.05" customHeight="1" x14ac:dyDescent="0.35">
      <c r="B530" s="4" t="s">
        <v>1144</v>
      </c>
      <c r="C530" s="362" t="str">
        <f>sample_wld_az1_en2_uplink01_interface_cidr</f>
        <v>10.13.17.3/24</v>
      </c>
      <c r="D530" s="337" t="str">
        <f>wld_az1_en2_uplink01_interface_cidr</f>
        <v>Value Missing</v>
      </c>
      <c r="E530" s="66"/>
    </row>
    <row r="531" spans="2:5" ht="20.05" customHeight="1" x14ac:dyDescent="0.35">
      <c r="B531" s="17" t="s">
        <v>1145</v>
      </c>
      <c r="C531" s="362" t="str">
        <f>CONCATENATE("VCF-edge_",sample_wld_ec_name,"_segment_uplink1_",sample_wld_az1_uplink01_vlan)</f>
        <v>VCF-edge_sfo-w01-ec01_segment_uplink1_1317</v>
      </c>
      <c r="D531" s="337" t="str">
        <f>CONCATENATE("VCF-edge_",wld_ec_name,"_segment_uplink1_",wld_az1_uplink01_vlan)</f>
        <v>VCF-edge_Value Missing_segment_uplink1_Value Missing</v>
      </c>
      <c r="E531" s="66"/>
    </row>
    <row r="532" spans="2:5" ht="20.05" customHeight="1" x14ac:dyDescent="0.35">
      <c r="B532" s="4" t="s">
        <v>1146</v>
      </c>
      <c r="C532" s="362" t="str">
        <f>CONCATENATE(this_instance,"-w0",wld_domain_number_chosen,"-r01-en02")</f>
        <v>sfo-w01-r01-en02</v>
      </c>
      <c r="D532" s="337" t="str">
        <f>wld_az1_en2_hostname</f>
        <v>Value Missing</v>
      </c>
      <c r="E532" s="66"/>
    </row>
    <row r="533" spans="2:5" ht="20.05" customHeight="1" x14ac:dyDescent="0.35">
      <c r="B533" s="4" t="s">
        <v>1147</v>
      </c>
      <c r="C533" s="362">
        <f>sample_wld_az1_uplink01_mtu</f>
        <v>9000</v>
      </c>
      <c r="D533" s="337" t="str">
        <f>wld_az1_uplink01_mtu</f>
        <v>Value Missing</v>
      </c>
      <c r="E533" s="66"/>
    </row>
    <row r="534" spans="2:5" ht="20.05" customHeight="1" x14ac:dyDescent="0.35">
      <c r="B534" s="4" t="s">
        <v>509</v>
      </c>
      <c r="C534" s="362" t="str">
        <f>CONCATENATE(sample_wld_az1_en2_hostname,"_VCF-edge_",sample_wld_ec_name,"_segment_",sample_wld_az1_uplink02_vlan,"_",sample_wld_az1_en2_uplink02_interface_cidr)</f>
        <v>sfo-w01-r01-en02_VCF-edge_sfo-w01-ec01_segment_1318_10.13.18.3/24</v>
      </c>
      <c r="D534" s="337" t="str">
        <f>CONCATENATE(wld_az1_en2_hostname,"_VCF-edge_",wld_ec_name,"_segment_",wld_az1_uplink02_vlan,"_",wld_az1_en2_uplink02_interface_cidr)</f>
        <v>Value Missing_VCF-edge_Value Missing_segment_Value Missing_Value Missing</v>
      </c>
      <c r="E534" s="66"/>
    </row>
    <row r="535" spans="2:5" ht="20.05" customHeight="1" x14ac:dyDescent="0.35">
      <c r="B535" s="4" t="s">
        <v>510</v>
      </c>
      <c r="C535" s="362" t="str">
        <f>sample_wld_nsxt_federation_location_name</f>
        <v>sfo-w01</v>
      </c>
      <c r="D535" s="337" t="str">
        <f>wld_nsxt_federation_location_name</f>
        <v>Value Missing</v>
      </c>
      <c r="E535" s="66"/>
    </row>
    <row r="536" spans="2:5" ht="20.05" customHeight="1" x14ac:dyDescent="0.35">
      <c r="B536" s="4" t="s">
        <v>1148</v>
      </c>
      <c r="C536" s="362" t="str">
        <f>sample_wld_az1_en2_uplink02_interface_cidr</f>
        <v>10.13.18.3/24</v>
      </c>
      <c r="D536" s="337" t="str">
        <f>wld_az1_en2_uplink02_interface_cidr</f>
        <v>Value Missing</v>
      </c>
      <c r="E536" s="66"/>
    </row>
    <row r="537" spans="2:5" ht="20.05" customHeight="1" x14ac:dyDescent="0.35">
      <c r="B537" s="17" t="s">
        <v>512</v>
      </c>
      <c r="C537" s="362" t="str">
        <f>CONCATENATE("VCF-edge_",sample_wld_ec_name,"_segment_uplink2_",sample_wld_az1_uplink02_vlan)</f>
        <v>VCF-edge_sfo-w01-ec01_segment_uplink2_1318</v>
      </c>
      <c r="D537" s="337" t="str">
        <f>CONCATENATE("VCF-edge_",wld_ec_name,"_segment_uplink2_",wld_az1_uplink02_vlan)</f>
        <v>VCF-edge_Value Missing_segment_uplink2_Value Missing</v>
      </c>
      <c r="E537" s="66"/>
    </row>
    <row r="538" spans="2:5" ht="20.05" customHeight="1" x14ac:dyDescent="0.35">
      <c r="B538" s="4" t="s">
        <v>1149</v>
      </c>
      <c r="C538" s="362" t="str">
        <f>sample_wld_az1_en2_hostname</f>
        <v>sfo-w01-r01-en02</v>
      </c>
      <c r="D538" s="337" t="str">
        <f>wld_az1_en2_hostname</f>
        <v>Value Missing</v>
      </c>
      <c r="E538" s="66"/>
    </row>
    <row r="539" spans="2:5" ht="20.05" customHeight="1" x14ac:dyDescent="0.35">
      <c r="B539" s="4" t="s">
        <v>514</v>
      </c>
      <c r="C539" s="362">
        <f>sample_wld_az1_uplink01_mtu</f>
        <v>9000</v>
      </c>
      <c r="D539" s="337" t="str">
        <f>wld_az1_uplink02_mtu</f>
        <v>Value Missing</v>
      </c>
      <c r="E539" s="66"/>
    </row>
    <row r="540" spans="2:5" ht="20.05" customHeight="1" x14ac:dyDescent="0.35">
      <c r="B540" s="4" t="s">
        <v>515</v>
      </c>
      <c r="C540" s="362" t="str">
        <f>sample_wld_az1_tor1_peer_ip</f>
        <v>10.13.17.10</v>
      </c>
      <c r="D540" s="337" t="str">
        <f>wld_az1_tor1_peer_ip</f>
        <v>Value Missing</v>
      </c>
      <c r="E540" s="66"/>
    </row>
    <row r="541" spans="2:5" ht="20.05" customHeight="1" x14ac:dyDescent="0.35">
      <c r="B541" s="4" t="s">
        <v>1150</v>
      </c>
      <c r="C541" s="362" t="str">
        <f>sample_wld_nsxt_federation_location_name</f>
        <v>sfo-w01</v>
      </c>
      <c r="D541" s="337" t="str">
        <f>wld_nsxt_federation_location_name</f>
        <v>Value Missing</v>
      </c>
      <c r="E541" s="66"/>
    </row>
    <row r="542" spans="2:5" ht="20.05" customHeight="1" x14ac:dyDescent="0.35">
      <c r="B542" s="4" t="s">
        <v>517</v>
      </c>
      <c r="C542" s="362" t="str">
        <f>sample_wld_az1_tor1_peer_asn</f>
        <v>65131</v>
      </c>
      <c r="D542" s="337" t="str">
        <f>wld_az1_tor1_peer_asn</f>
        <v>Value Missing</v>
      </c>
      <c r="E542" s="66"/>
    </row>
    <row r="543" spans="2:5" ht="20.05" customHeight="1" x14ac:dyDescent="0.35">
      <c r="B543" s="4" t="s">
        <v>1151</v>
      </c>
      <c r="C543" s="362" t="str">
        <f>sample_wld_az1_en1_uplink01_interface_cidr</f>
        <v>10.13.17.2/24</v>
      </c>
      <c r="D543" s="337" t="str">
        <f>wld_az1_en1_uplink01_interface_cidr</f>
        <v>Value Missing</v>
      </c>
      <c r="E543" s="66"/>
    </row>
    <row r="544" spans="2:5" ht="20.05" customHeight="1" x14ac:dyDescent="0.35">
      <c r="B544" s="4" t="s">
        <v>1152</v>
      </c>
      <c r="C544" s="362" t="str">
        <f>sample_wld_az1_en2_uplink01_interface_cidr</f>
        <v>10.13.17.3/24</v>
      </c>
      <c r="D544" s="337" t="str">
        <f>wld_az1_en2_uplink01_interface_cidr</f>
        <v>Value Missing</v>
      </c>
      <c r="E544" s="66"/>
    </row>
    <row r="545" spans="2:5" ht="20.05" customHeight="1" x14ac:dyDescent="0.35">
      <c r="B545" s="4" t="s">
        <v>1153</v>
      </c>
      <c r="C545" s="362" t="str">
        <f>sample_wld_az1_tor1_peer_bgp_password</f>
        <v>VMw@re1!</v>
      </c>
      <c r="D545" s="337" t="str">
        <f>wld_az1_tor1_peer_bgp_password</f>
        <v>Value Missing</v>
      </c>
      <c r="E545" s="66"/>
    </row>
    <row r="546" spans="2:5" ht="20.05" customHeight="1" x14ac:dyDescent="0.35">
      <c r="B546" s="4" t="s">
        <v>1154</v>
      </c>
      <c r="C546" s="362" t="str">
        <f>sample_wld_az1_tor2_peer_ip</f>
        <v>10.13.18.10</v>
      </c>
      <c r="D546" s="337" t="str">
        <f>wld_az1_tor2_peer_ip</f>
        <v>Value Missing</v>
      </c>
      <c r="E546" s="66"/>
    </row>
    <row r="547" spans="2:5" ht="20.05" customHeight="1" x14ac:dyDescent="0.35">
      <c r="B547" s="4" t="s">
        <v>522</v>
      </c>
      <c r="C547" s="362" t="str">
        <f>sample_wld_nsxt_federation_location_name</f>
        <v>sfo-w01</v>
      </c>
      <c r="D547" s="337" t="str">
        <f>wld_nsxt_federation_location_name</f>
        <v>Value Missing</v>
      </c>
      <c r="E547" s="66"/>
    </row>
    <row r="548" spans="2:5" ht="20.05" customHeight="1" x14ac:dyDescent="0.35">
      <c r="B548" s="4" t="s">
        <v>1155</v>
      </c>
      <c r="C548" s="362" t="str">
        <f>sample_wld_az1_tor1_peer_asn</f>
        <v>65131</v>
      </c>
      <c r="D548" s="337" t="str">
        <f>wld_az1_tor1_peer_asn</f>
        <v>Value Missing</v>
      </c>
      <c r="E548" s="66"/>
    </row>
    <row r="549" spans="2:5" ht="20.05" customHeight="1" x14ac:dyDescent="0.35">
      <c r="B549" s="4" t="s">
        <v>1156</v>
      </c>
      <c r="C549" s="362" t="str">
        <f>sample_wld_az1_en1_uplink02_interface_cidr</f>
        <v>10.13.18.2/24</v>
      </c>
      <c r="D549" s="337" t="str">
        <f>wld_az1_en1_uplink02_interface_cidr</f>
        <v>Value Missing</v>
      </c>
      <c r="E549" s="66"/>
    </row>
    <row r="550" spans="2:5" ht="20.05" customHeight="1" x14ac:dyDescent="0.35">
      <c r="B550" s="4" t="s">
        <v>1157</v>
      </c>
      <c r="C550" s="362" t="str">
        <f>sample_wld_az1_en2_uplink02_interface_cidr</f>
        <v>10.13.18.3/24</v>
      </c>
      <c r="D550" s="337" t="str">
        <f>wld_az1_en2_uplink02_interface_cidr</f>
        <v>Value Missing</v>
      </c>
      <c r="E550" s="66"/>
    </row>
    <row r="551" spans="2:5" ht="20.05" customHeight="1" x14ac:dyDescent="0.35">
      <c r="B551" s="4" t="s">
        <v>526</v>
      </c>
      <c r="C551" s="362" t="str">
        <f>sample_wld_az1_tor2_peer_bgp_password</f>
        <v>VMw@re1!</v>
      </c>
      <c r="D551" s="337" t="str">
        <f>wld_az1_tor2_peer_bgp_password</f>
        <v>Value Missing</v>
      </c>
      <c r="E551" s="66"/>
    </row>
    <row r="552" spans="2:5" ht="16" customHeight="1" x14ac:dyDescent="0.35"/>
    <row r="553" spans="2:5" ht="20.05" customHeight="1" x14ac:dyDescent="0.35">
      <c r="B553" s="518" t="s">
        <v>527</v>
      </c>
      <c r="C553" s="519"/>
      <c r="D553" s="519"/>
      <c r="E553" s="520"/>
    </row>
    <row r="554" spans="2:5" ht="20.05" customHeight="1" x14ac:dyDescent="0.35">
      <c r="B554" s="346" t="s">
        <v>17</v>
      </c>
      <c r="C554" s="346" t="s">
        <v>18</v>
      </c>
      <c r="D554" s="346" t="s">
        <v>19</v>
      </c>
      <c r="E554" s="346" t="s">
        <v>20</v>
      </c>
    </row>
    <row r="555" spans="2:5" ht="20.05" customHeight="1" x14ac:dyDescent="0.35">
      <c r="B555" s="4" t="s">
        <v>469</v>
      </c>
      <c r="C555" s="362" t="str">
        <f>sample_wld_existing_active_nsx_gm</f>
        <v>lax-w01-nsx-gm01.lax.rainpole.io</v>
      </c>
      <c r="D555" s="337" t="str">
        <f>IF(mgmt_domain_chosen="First Domain",wld_nsxt_gm_vip_fqdn,wld_existing_active_nsx_gm)</f>
        <v>Value Missing</v>
      </c>
      <c r="E555" s="66"/>
    </row>
    <row r="556" spans="2:5" ht="20.05" customHeight="1" x14ac:dyDescent="0.35">
      <c r="B556" s="4" t="s">
        <v>485</v>
      </c>
      <c r="C556" s="362" t="str">
        <f>sample_wld_nsxt_xreg_t1_name</f>
        <v>flt-w01-ec01-t1-gw01</v>
      </c>
      <c r="D556" s="337" t="str">
        <f>IF(mgmt_domain_chosen="First Domain",wld_nsxt_xreg_t1_name,wld_existing_cross_instance_t0_name)</f>
        <v>Value Missing</v>
      </c>
      <c r="E556" s="66"/>
    </row>
    <row r="557" spans="2:5" ht="20.05" customHeight="1" x14ac:dyDescent="0.35">
      <c r="B557" s="4" t="s">
        <v>482</v>
      </c>
      <c r="C557" s="362" t="str">
        <f>sample_wld_nsxt_federation_location_name</f>
        <v>sfo-w01</v>
      </c>
      <c r="D557" s="337" t="str">
        <f>wld_nsxt_federation_location_name</f>
        <v>Value Missing</v>
      </c>
      <c r="E557" s="25"/>
    </row>
    <row r="558" spans="2:5" ht="20.05" customHeight="1" x14ac:dyDescent="0.35">
      <c r="B558" s="4" t="s">
        <v>88</v>
      </c>
      <c r="C558" s="362" t="str">
        <f>sample_wld_ec_name</f>
        <v>sfo-w01-ec01</v>
      </c>
      <c r="D558" s="337" t="str">
        <f>wld_ec_name</f>
        <v>Value Missing</v>
      </c>
      <c r="E558" s="66"/>
    </row>
  </sheetData>
  <sheetProtection algorithmName="SHA-512" hashValue="JmFKu9gYOQBp9pMmUpdXaHGJaOmAFM4XkLwceYdNsdFwO7wZ8fSUL7azfX79sI9bLrome5vWGJFaE+5oltp71w==" saltValue="ARhbVZOGf0DwngVnLBhd4A==" spinCount="100000" sheet="1" selectLockedCells="1"/>
  <mergeCells count="68">
    <mergeCell ref="B377:E377"/>
    <mergeCell ref="B394:E394"/>
    <mergeCell ref="B220:E220"/>
    <mergeCell ref="B338:E338"/>
    <mergeCell ref="B342:E342"/>
    <mergeCell ref="B357:E357"/>
    <mergeCell ref="B356:E356"/>
    <mergeCell ref="B294:E294"/>
    <mergeCell ref="B334:E334"/>
    <mergeCell ref="B300:E300"/>
    <mergeCell ref="B283:E283"/>
    <mergeCell ref="B289:E289"/>
    <mergeCell ref="B262:E262"/>
    <mergeCell ref="B229:E229"/>
    <mergeCell ref="B255:E255"/>
    <mergeCell ref="B333:E333"/>
    <mergeCell ref="B553:E553"/>
    <mergeCell ref="B488:E488"/>
    <mergeCell ref="B502:E502"/>
    <mergeCell ref="B510:E510"/>
    <mergeCell ref="B477:E477"/>
    <mergeCell ref="B463:E463"/>
    <mergeCell ref="B472:E472"/>
    <mergeCell ref="B413:E413"/>
    <mergeCell ref="B431:E431"/>
    <mergeCell ref="B439:E439"/>
    <mergeCell ref="B445:E445"/>
    <mergeCell ref="B456:E456"/>
    <mergeCell ref="B449:E449"/>
    <mergeCell ref="B360:E360"/>
    <mergeCell ref="B100:E100"/>
    <mergeCell ref="B115:E115"/>
    <mergeCell ref="B53:E53"/>
    <mergeCell ref="B79:E79"/>
    <mergeCell ref="B165:E165"/>
    <mergeCell ref="B94:E94"/>
    <mergeCell ref="B130:E130"/>
    <mergeCell ref="B163:E163"/>
    <mergeCell ref="B152:E152"/>
    <mergeCell ref="B154:E154"/>
    <mergeCell ref="B147:E147"/>
    <mergeCell ref="B150:E150"/>
    <mergeCell ref="B133:E133"/>
    <mergeCell ref="B135:E135"/>
    <mergeCell ref="B143:E143"/>
    <mergeCell ref="B139:E139"/>
    <mergeCell ref="B191:E191"/>
    <mergeCell ref="B204:E204"/>
    <mergeCell ref="B212:E212"/>
    <mergeCell ref="B168:E168"/>
    <mergeCell ref="B173:E173"/>
    <mergeCell ref="B196:E196"/>
    <mergeCell ref="B230:E230"/>
    <mergeCell ref="B148:E148"/>
    <mergeCell ref="B166:E166"/>
    <mergeCell ref="B192:E192"/>
    <mergeCell ref="B2:E2"/>
    <mergeCell ref="B3:E3"/>
    <mergeCell ref="B17:E17"/>
    <mergeCell ref="B18:E18"/>
    <mergeCell ref="B67:E67"/>
    <mergeCell ref="B29:E29"/>
    <mergeCell ref="B30:E30"/>
    <mergeCell ref="B32:E32"/>
    <mergeCell ref="B37:E37"/>
    <mergeCell ref="B34:E34"/>
    <mergeCell ref="B41:E41"/>
    <mergeCell ref="B9:E9"/>
  </mergeCells>
  <phoneticPr fontId="0" type="noConversion"/>
  <conditionalFormatting sqref="B11">
    <cfRule type="expression" dxfId="1620" priority="1531">
      <formula>AND((vcf_granular_option_chosen="Deploy a new VCF fleet"),(wld_signed_certs_chosen="Include"),(wld_signed_certs_result="Excluded"))</formula>
    </cfRule>
    <cfRule type="expression" dxfId="1619" priority="1532">
      <formula>AND((wld_signed_certs_chosen="Include"),(wld_signed_certs_result="Excluded"))</formula>
    </cfRule>
    <cfRule type="expression" dxfId="1618" priority="1533">
      <formula>AND((wld_signed_certs_chosen="Include"),(wld_signed_certs_result="Included"))</formula>
    </cfRule>
    <cfRule type="expression" dxfId="1617" priority="1530">
      <formula>(wld_signed_certs_chosen="Exclude")</formula>
    </cfRule>
  </conditionalFormatting>
  <conditionalFormatting sqref="B12 D12:E12">
    <cfRule type="expression" dxfId="1616" priority="1522">
      <formula>AND((wld_bgp_chosen&lt;&gt;"Exclude"),(wld_bgp_result="Excluded"))</formula>
    </cfRule>
  </conditionalFormatting>
  <conditionalFormatting sqref="B12">
    <cfRule type="expression" dxfId="1615" priority="1542">
      <formula>(wld_bgp_chosen="Exclude")</formula>
    </cfRule>
  </conditionalFormatting>
  <conditionalFormatting sqref="B12:B14">
    <cfRule type="expression" dxfId="1614" priority="1545">
      <formula>AND((wld_bgp_chosen&lt;&gt;"Exclude"),(wld_bgp_result="Included"))</formula>
    </cfRule>
  </conditionalFormatting>
  <conditionalFormatting sqref="B13 D13:E13">
    <cfRule type="expression" dxfId="1613" priority="1490">
      <formula>AND((wld_avi_loadbalancer_chosen&lt;&gt;"Exclude"),(wld_avi_loadbalancer_result="Excluded"))</formula>
    </cfRule>
    <cfRule type="expression" dxfId="1612" priority="1523">
      <formula>AND((vcf_granular_option_chosen&lt;&gt;"Additional MGMT Cluster"),(wld_avi_loadbalancer_chosen="Include"),(wld_avi_loadbalancer_result="Excluded"))</formula>
    </cfRule>
    <cfRule type="expression" dxfId="1611" priority="1492">
      <formula>AND((wld_avi_loadbalancer_chosen="Include"),(wld_avi_loadbalancer_result="Included"))</formula>
    </cfRule>
    <cfRule type="expression" dxfId="1610" priority="1491">
      <formula>wld_avi_loadbalancer_result="Excluded"</formula>
    </cfRule>
  </conditionalFormatting>
  <conditionalFormatting sqref="B14 D14:E14">
    <cfRule type="expression" dxfId="1609" priority="178">
      <formula>AND((wld_stretched_cluster_chosen="Include"),(wld_stretched_cluster_result="Excluded"))</formula>
    </cfRule>
  </conditionalFormatting>
  <conditionalFormatting sqref="B15">
    <cfRule type="expression" dxfId="1608" priority="1534">
      <formula>(wld_nsxt_federation_chosen="Exclude")</formula>
    </cfRule>
    <cfRule type="expression" dxfId="1607" priority="1535">
      <formula>AND((wld_nsxt_federation_chosen&lt;&gt;"Exclude"),(wld_nsxt_federation_result="Excluded"))</formula>
    </cfRule>
    <cfRule type="expression" dxfId="1606" priority="1536">
      <formula>AND((wld_nsxt_federation_chosen&lt;&gt;"Exclude"),(wld_nsxt_federation_result="Included"))</formula>
    </cfRule>
  </conditionalFormatting>
  <conditionalFormatting sqref="D20:D27 D33 D35:D36 D38:D40 D42:D52 D54:D66 D68:D78 D80:D93 D95:D99 D101:D114 D116:D129 D131:D132 D134 D136:D138 D140:D142 D144:D145 D151 D153 D155:D161 D169:D172 D174:D189 D194:D195 D197:D203 D205:D211 D213:D219 D221:D227 D232:D253 D257:D260 D265:D282 D285:D288 D291:D293 D296:D298 D303:D332 D337 D340:D341 D344:D354 D359 D361:D376 D378:D393 D395:D411 D415:D429 D433:D437 D441:D443 D447 D451:D454 D465:D470 D474:D475 D479:D486 D490:D500 D504:D508 D512:D551 D555:D558">
    <cfRule type="notContainsBlanks" dxfId="1604" priority="1354">
      <formula>LEN(TRIM(D20))&gt;0</formula>
    </cfRule>
  </conditionalFormatting>
  <conditionalFormatting sqref="D20:D27 D447 D451:D454 D474:D475 D479:D486 D490:D500 D555:D558 D116:D129 D54:D66 D151 D153 D155:D161 D337 D340:D341 D344:D354 D441:D443 D465:D470 D512:D551 D359 D361:D376 D378:D393 D395:D411 D415:D429 D433:D437 D504:D508 D303:D332 D80:D93 D101:D114 D42:D52 D68:D78 D169:D172 D213:D219 D174:D189 D232:D253 D33 D38:D40 D95:D99 D131:D132 D35:D36 D257:D260 D136:D138 D140:D142 D144:D145 D197:D203 D205:D211 D265:D282 D134 D194:D195 D221:D227 D285:D288 D291:D293 D296:D298">
    <cfRule type="containsBlanks" dxfId="1603" priority="1342">
      <formula>LEN(TRIM(D20))=0</formula>
    </cfRule>
  </conditionalFormatting>
  <conditionalFormatting sqref="D20:D27">
    <cfRule type="expression" dxfId="1602" priority="1339">
      <formula>wld_signed_certs_result="Excluded"</formula>
    </cfRule>
  </conditionalFormatting>
  <conditionalFormatting sqref="D35:D36">
    <cfRule type="expression" dxfId="1601" priority="149" stopIfTrue="1">
      <formula>input_wld_ec_gateway_type="Centralized Connectivity"</formula>
    </cfRule>
    <cfRule type="expression" dxfId="1600" priority="131">
      <formula>wld_bgp_chosen="Exclude"</formula>
    </cfRule>
  </conditionalFormatting>
  <conditionalFormatting sqref="D38:D40 D42:D52 D54:D66 D68:D78 D80:D93 D96:D99 D101:D114 D116:D129">
    <cfRule type="expression" dxfId="1599" priority="52">
      <formula>wld_bgp_chosen="Distributed Connectivity"</formula>
    </cfRule>
  </conditionalFormatting>
  <conditionalFormatting sqref="D46 D72">
    <cfRule type="expression" dxfId="1598" priority="637">
      <formula>wld_ec01_host_group_affinity_rule_chosen="No"</formula>
    </cfRule>
  </conditionalFormatting>
  <conditionalFormatting sqref="D50:D51">
    <cfRule type="expression" dxfId="1597" priority="337">
      <formula>wld_az1_en1_ip_allocation_chosen="DHCP"</formula>
    </cfRule>
  </conditionalFormatting>
  <conditionalFormatting sqref="D54:D66 D101:D114 D116:D129 D80:D93 D38:D40 D42:D52 D68:D78 D96:D99 D33 D131:D132">
    <cfRule type="expression" dxfId="1596" priority="150">
      <formula>wld_bgp_result="Excluded"</formula>
    </cfRule>
  </conditionalFormatting>
  <conditionalFormatting sqref="D58:D66 D84:D91">
    <cfRule type="expression" dxfId="1595" priority="154">
      <formula>wld_ec01_use_host_overlay_chosen="Selected"</formula>
    </cfRule>
  </conditionalFormatting>
  <conditionalFormatting sqref="D60:D62">
    <cfRule type="expression" dxfId="1594" priority="636">
      <formula>wld_az1_en1_edge_overlay_network_ip_allocation_chosen&lt;&gt;"IP Pool"</formula>
    </cfRule>
  </conditionalFormatting>
  <conditionalFormatting sqref="D63:D64 D66">
    <cfRule type="expression" dxfId="1593" priority="788">
      <formula>wld_az1_en1_edge_overlay_network_ip_allocation_chosen&lt;&gt;"Static IP List"</formula>
    </cfRule>
  </conditionalFormatting>
  <conditionalFormatting sqref="D65">
    <cfRule type="expression" dxfId="1592" priority="148">
      <formula>wld_az1_en1_edge_overlay_network_ip_allocation_chosen="DHCP"</formula>
    </cfRule>
  </conditionalFormatting>
  <conditionalFormatting sqref="D76:D77">
    <cfRule type="expression" dxfId="1591" priority="248">
      <formula>wld_az1_en2_ip_allocation_chosen="DHCP"</formula>
    </cfRule>
  </conditionalFormatting>
  <conditionalFormatting sqref="D86">
    <cfRule type="expression" dxfId="1590" priority="231" stopIfTrue="1">
      <formula>wld_az1_en2_edge_overlay_network_ip_allocation_chosen&lt;&gt;"IP Pool"</formula>
    </cfRule>
  </conditionalFormatting>
  <conditionalFormatting sqref="D87:D90">
    <cfRule type="expression" dxfId="1589" priority="639">
      <formula>wld_az1_en2_edge_overlay_network_ip_allocation_chosen&lt;&gt;"Static IP List"</formula>
    </cfRule>
  </conditionalFormatting>
  <conditionalFormatting sqref="D92:D93">
    <cfRule type="expression" dxfId="1588" priority="134">
      <formula>wld_az1_ec01_password_creation_chosen="Selected"</formula>
    </cfRule>
  </conditionalFormatting>
  <conditionalFormatting sqref="D95">
    <cfRule type="expression" dxfId="1587" priority="23">
      <formula>wld_bgp_chosen&lt;&gt;"Centralized Connectivity"</formula>
    </cfRule>
    <cfRule type="expression" dxfId="1586" priority="21">
      <formula>wld_bgp_result="Excluded"</formula>
    </cfRule>
  </conditionalFormatting>
  <conditionalFormatting sqref="D96:D99">
    <cfRule type="expression" dxfId="1585" priority="15">
      <formula>wld_tier0_skip_chosen="Selected"</formula>
    </cfRule>
    <cfRule type="expression" dxfId="1584" priority="14">
      <formula>OR((wld_nsxt_federation_chosen="Standby Global Manager"),(wld_nsxt_federation_chosen="Connect Instance"))</formula>
    </cfRule>
  </conditionalFormatting>
  <conditionalFormatting sqref="D103:D107 D110:D114 D118:D122 D125:D129">
    <cfRule type="expression" dxfId="1583" priority="135">
      <formula>wld_gateway_routing_type_chosen="STATIC"</formula>
    </cfRule>
  </conditionalFormatting>
  <conditionalFormatting sqref="D105">
    <cfRule type="expression" dxfId="1582" priority="638">
      <formula>AND(wld_multi_rack_count_result&lt;&gt;"Excluded",wld_dedicated_edge_cluster_chosen_first&lt;&gt;1,wld_dedicated_edge_cluster_chosen_second&lt;&gt;1)</formula>
    </cfRule>
  </conditionalFormatting>
  <conditionalFormatting sqref="D118 D121:D122 D125 D128:D129">
    <cfRule type="expression" dxfId="1581" priority="805">
      <formula>(mgmt_vns_chosen="VLAN-Backed")</formula>
    </cfRule>
  </conditionalFormatting>
  <conditionalFormatting sqref="D134">
    <cfRule type="expression" dxfId="1580" priority="24">
      <formula>(wld_bgp_chosen="Exclude")</formula>
    </cfRule>
    <cfRule type="expression" dxfId="1579" priority="5267">
      <formula>AND((wld_bgp_chosen&lt;&gt;"Exclude"),(wld_bgp_result="Included"))</formula>
    </cfRule>
    <cfRule type="expression" dxfId="1578" priority="25">
      <formula>$D$134="Exclude"</formula>
    </cfRule>
    <cfRule type="expression" dxfId="1577" priority="37">
      <formula>AND((wld_bgp_chosen&lt;&gt;"Exclude"),(wld_bgp_result="Excluded"))</formula>
    </cfRule>
  </conditionalFormatting>
  <conditionalFormatting sqref="D136 D140">
    <cfRule type="expression" dxfId="1576" priority="7">
      <formula>wld_ec_api_chosen="Exclude"</formula>
    </cfRule>
  </conditionalFormatting>
  <conditionalFormatting sqref="D136:D138">
    <cfRule type="expression" dxfId="1575" priority="67">
      <formula>AND(wld_multi_rack_count_result&lt;&gt;"Excluded",wld_dedicated_edge_cluster_chosen_first&lt;&gt;1,wld_dedicated_edge_cluster_chosen_second&lt;&gt;1)</formula>
    </cfRule>
    <cfRule type="expression" dxfId="1574" priority="73">
      <formula>OR((wld_domain_result="Excluded"),(wld_bgp_result="Excluded"))</formula>
    </cfRule>
  </conditionalFormatting>
  <conditionalFormatting sqref="D137:D138 D141:D142 D144:D145">
    <cfRule type="expression" dxfId="1573" priority="1">
      <formula>wld_bgp_chosen="Distributed Connectivity"</formula>
    </cfRule>
  </conditionalFormatting>
  <conditionalFormatting sqref="D140:D142">
    <cfRule type="expression" dxfId="1572" priority="62">
      <formula>OR((wld_domain_result="Excluded"),(wld_bgp_result="Excluded"))</formula>
    </cfRule>
  </conditionalFormatting>
  <conditionalFormatting sqref="D143">
    <cfRule type="expression" dxfId="1571" priority="115">
      <formula>input_mgmt_principal_storage_chosen="VMFS on Fibre Channel (FC)"</formula>
    </cfRule>
    <cfRule type="expression" dxfId="1570" priority="116">
      <formula>mgmt_domain_existing_vcenter_chosen="Selected"</formula>
    </cfRule>
    <cfRule type="notContainsBlanks" dxfId="1568" priority="118">
      <formula>LEN(TRIM(D143))&gt;0</formula>
    </cfRule>
    <cfRule type="containsBlanks" dxfId="1567" priority="119">
      <formula>LEN(TRIM(D143))=0</formula>
    </cfRule>
  </conditionalFormatting>
  <conditionalFormatting sqref="D144:D145">
    <cfRule type="expression" dxfId="1566" priority="57">
      <formula>OR((wld_domain_result="Excluded"),(wld_bgp_result="Excluded"))</formula>
    </cfRule>
  </conditionalFormatting>
  <conditionalFormatting sqref="D151 D153 D155:D161 D163">
    <cfRule type="expression" dxfId="1565" priority="728">
      <formula>wld_avi_loadbalancer_result="Excluded"</formula>
    </cfRule>
  </conditionalFormatting>
  <conditionalFormatting sqref="D169:D172 D174:D189 D194:D195 D197:D203 D205:D211 D213:D219 D221:D227 D232:D253 D285:D288 D291:D293 D296:D298 D303:D332 D258">
    <cfRule type="expression" dxfId="1564" priority="12">
      <formula>OR((wld_domain_result="Excluded"),(wld_stretched_cluster_result="Excluded"))</formula>
    </cfRule>
  </conditionalFormatting>
  <conditionalFormatting sqref="D169:D172">
    <cfRule type="expression" dxfId="1563" priority="229">
      <formula>wld_multi_rack_count_result&lt;&gt;"Excluded"</formula>
    </cfRule>
  </conditionalFormatting>
  <conditionalFormatting sqref="D174:D189">
    <cfRule type="expression" dxfId="1562" priority="153">
      <formula>wld_multi_rack_count_result&lt;&gt;"Excluded"</formula>
    </cfRule>
  </conditionalFormatting>
  <conditionalFormatting sqref="D197:D203 D205:D211 D213:D219">
    <cfRule type="expression" dxfId="1561" priority="51">
      <formula>wld_az2_reuse_vcf_networkpool_chosen="Re-use an existing VCF Network Pool"</formula>
    </cfRule>
  </conditionalFormatting>
  <conditionalFormatting sqref="D204">
    <cfRule type="expression" dxfId="1560" priority="327">
      <formula>input_mgmt_principal_storage_chosen="VMFS on Fibre Channel (FC)"</formula>
    </cfRule>
    <cfRule type="expression" dxfId="1559" priority="328">
      <formula>mgmt_domain_existing_vcenter_chosen="Selected"</formula>
    </cfRule>
    <cfRule type="containsBlanks" dxfId="1557" priority="330">
      <formula>LEN(TRIM(D204))=0</formula>
    </cfRule>
    <cfRule type="notContainsBlanks" dxfId="1556" priority="331">
      <formula>LEN(TRIM(D204))&gt;0</formula>
    </cfRule>
  </conditionalFormatting>
  <conditionalFormatting sqref="D205:D211">
    <cfRule type="expression" dxfId="1555" priority="13">
      <formula>AND((wld_principal_storage_chosen&lt;&gt;"vSAN-ESA"),(wld_principal_storage_chosen&lt;&gt;"vSAN-OSA"))</formula>
    </cfRule>
  </conditionalFormatting>
  <conditionalFormatting sqref="D213:D219">
    <cfRule type="expression" dxfId="1554" priority="168">
      <formula>OR((wld_domain_result="Excluded"),(wld_stretched_cluster_result="Excluded"),(wld_secondary_storage_result="Excluded"))</formula>
    </cfRule>
  </conditionalFormatting>
  <conditionalFormatting sqref="D221:D227">
    <cfRule type="expression" dxfId="1553" priority="9">
      <formula>wld_principal_storage_chosen&lt;&gt;"vSAN Storage Cluster"</formula>
    </cfRule>
  </conditionalFormatting>
  <conditionalFormatting sqref="D248:D253">
    <cfRule type="expression" dxfId="1552" priority="152">
      <formula>wld_domain_result="Excluded"</formula>
    </cfRule>
  </conditionalFormatting>
  <conditionalFormatting sqref="D255">
    <cfRule type="expression" dxfId="1551" priority="145">
      <formula>mgmt_domain_existing_vcenter_chosen="Selected"</formula>
    </cfRule>
  </conditionalFormatting>
  <conditionalFormatting sqref="D257">
    <cfRule type="expression" dxfId="1550" priority="121">
      <formula>wld_multi_rack_count_result&lt;&gt;"Excluded"</formula>
    </cfRule>
    <cfRule type="expression" dxfId="1549" priority="130">
      <formula>OR((wld_domain_result="Excluded"),(wld_stretched_cluster_result="Excluded"))</formula>
    </cfRule>
  </conditionalFormatting>
  <conditionalFormatting sqref="D257:D260">
    <cfRule type="expression" dxfId="1548" priority="78">
      <formula>mgmt_domain_deployment_type_chosen="VMware vSphere Foundation"</formula>
    </cfRule>
  </conditionalFormatting>
  <conditionalFormatting sqref="D259">
    <cfRule type="expression" dxfId="1547" priority="86">
      <formula>wld_multi_rack_count_result&lt;&gt;"Excluded"</formula>
    </cfRule>
    <cfRule type="expression" dxfId="1546" priority="120">
      <formula>OR((wld_domain_result="Excluded"),(wld_stretched_cluster_result="Excluded"))</formula>
    </cfRule>
  </conditionalFormatting>
  <conditionalFormatting sqref="D260">
    <cfRule type="expression" dxfId="1545" priority="85">
      <formula>OR((wld_domain_result="Excluded"),(wld_stretched_cluster_result="Excluded"))</formula>
    </cfRule>
  </conditionalFormatting>
  <conditionalFormatting sqref="D265:D282">
    <cfRule type="expression" dxfId="1544" priority="38">
      <formula>OR((wld_domain_result="Excluded"),(wld_stretched_cluster_result="Excluded"))</formula>
    </cfRule>
  </conditionalFormatting>
  <conditionalFormatting sqref="D303:D318">
    <cfRule type="expression" dxfId="1543" priority="643">
      <formula>wld_multi_rack_count_result&lt;&gt;"Excluded"</formula>
    </cfRule>
    <cfRule type="expression" dxfId="1542" priority="647">
      <formula>OR((wld_domain_result="Excluded"),(wld_stretched_cluster_result="Excluded"))</formula>
    </cfRule>
  </conditionalFormatting>
  <conditionalFormatting sqref="D320">
    <cfRule type="expression" dxfId="1541" priority="48" stopIfTrue="1">
      <formula>wld_domain_result="Excluded"</formula>
    </cfRule>
    <cfRule type="expression" dxfId="1540" priority="50">
      <formula>wld_multirack_result="Included"</formula>
    </cfRule>
    <cfRule type="expression" dxfId="1539" priority="42">
      <formula>wld_domain_chosen="Import Workload Domain"</formula>
    </cfRule>
    <cfRule type="expression" dxfId="1538" priority="44" stopIfTrue="1">
      <formula>wld_domain_result="Excluded"</formula>
    </cfRule>
    <cfRule type="expression" dxfId="1537" priority="46">
      <formula>wld_host_overlay_addressing_chosen="DHCP"</formula>
    </cfRule>
  </conditionalFormatting>
  <conditionalFormatting sqref="D324:D328">
    <cfRule type="expression" dxfId="1536" priority="53">
      <formula>wld_multi_rack_count_result&lt;&gt;"Excluded"</formula>
    </cfRule>
  </conditionalFormatting>
  <conditionalFormatting sqref="D327:D328">
    <cfRule type="expression" dxfId="1535" priority="161">
      <formula>OR((wld_domain_result="Excluded"),(wld_stretched_cluster_result="Excluded"),(wld_host_overlay_addressing_chosen&lt;&gt;"Static IP Pool"))</formula>
    </cfRule>
  </conditionalFormatting>
  <conditionalFormatting sqref="D337 D340:D341 D344:D354">
    <cfRule type="expression" dxfId="1534" priority="727">
      <formula>OR((wld_domain_result="Excluded"),(wld_stretched_cluster_result="Excluded"),(wld_bgp_chosen&lt;&gt;"Centralized Connectivity"))</formula>
    </cfRule>
  </conditionalFormatting>
  <conditionalFormatting sqref="D359 D361:D376 D378:D393 D395:D411 D415:D429 D433:D437 D441:D443 D452 D454 D458:D461 D474:D475 D479:D486 D504:D508">
    <cfRule type="expression" dxfId="1533" priority="666" stopIfTrue="1">
      <formula>OR((wld_nsxt_federation_result="Excluded"),(wld_nsxt_federation_chosen="Connect Instance"))</formula>
    </cfRule>
  </conditionalFormatting>
  <conditionalFormatting sqref="D442:D443">
    <cfRule type="expression" dxfId="1532" priority="709">
      <formula>OR((wld_domain_result="Excluded"),(wld_nsxt_federation_result="Excluded"),(wld_nsxt_federation_chosen="Connect Instance"))</formula>
    </cfRule>
  </conditionalFormatting>
  <conditionalFormatting sqref="D447">
    <cfRule type="expression" dxfId="1531" priority="1336">
      <formula>OR((wld_nsxt_federation_result="Excluded"),(wld_nsxt_federation_chosen="Connect Instance"),(wld_signed_certs_result="Excluded"))</formula>
    </cfRule>
  </conditionalFormatting>
  <conditionalFormatting sqref="D451:D454">
    <cfRule type="expression" dxfId="1530" priority="1333">
      <formula>OR((wld_nsxt_federation_result="Excluded"),(wld_nsxt_federation_chosen="Connect Instance"),(wld_signed_certs_result="Excluded"))</formula>
    </cfRule>
  </conditionalFormatting>
  <conditionalFormatting sqref="D458:D461 D20:D27 D33 D35:D36 D38:D40 D42:D52 D54:D66 D68:D78 D80:D93 D96:D99 D101:D114 D116:D129 D131:D132 D151 D153 D155:D161 D169:D172 D174:D189 D194:D195 D197:D203 D205:D211 D213:D219 D221:D227 D232:D253 D265 D267:D282 D285:D288 D291:D293 D296:D298 D303:D332 D337 D340:D341 D344:D354 D359 D361:D376 D378:D393 D395:D411 D415:D429 D433:D437 D441:D443 D447 D451:D454 D465:D470 D474:D475 D479:D486 D490:D500 D504:D508 D512:D551 D555:D558">
    <cfRule type="expression" dxfId="1529" priority="10">
      <formula>mgmt_domain_deployment_type_chosen="VMware vSphere Foundation"</formula>
    </cfRule>
  </conditionalFormatting>
  <conditionalFormatting sqref="D458:D461">
    <cfRule type="containsBlanks" dxfId="1528" priority="3">
      <formula>LEN(TRIM(D458))=0</formula>
    </cfRule>
    <cfRule type="notContainsBlanks" dxfId="1526" priority="5">
      <formula>LEN(TRIM(D458))&gt;0</formula>
    </cfRule>
    <cfRule type="expression" dxfId="1525" priority="2">
      <formula>OR((wld_nsxt_federation_result="Excluded"),(wld_nsxt_federation_chosen="Connect Instance"),(wld_signed_certs_result="Excluded"))</formula>
    </cfRule>
    <cfRule type="expression" dxfId="1524" priority="1341">
      <formula>OR((wld_nsxt_federation_result="Excluded"),(wld_nsxt_federation_chosen="Connect Instance"),(wld_signed_certs_result="Excluded"))</formula>
    </cfRule>
  </conditionalFormatting>
  <conditionalFormatting sqref="D465:D470">
    <cfRule type="expression" dxfId="1523" priority="665">
      <formula>OR((wld_domain_result="Excluded"),(wld_nsxt_federation_result="Excluded"))</formula>
    </cfRule>
  </conditionalFormatting>
  <conditionalFormatting sqref="D467:D468">
    <cfRule type="expression" dxfId="1522" priority="648">
      <formula>wld_domain_result="Excluded"</formula>
    </cfRule>
  </conditionalFormatting>
  <conditionalFormatting sqref="D469:D470">
    <cfRule type="expression" dxfId="1521" priority="708">
      <formula>OR((wld_domain_result="Excluded"),(wld_nsxt_federation_result="Excluded"))</formula>
    </cfRule>
    <cfRule type="expression" dxfId="1520" priority="707">
      <formula>AND(wld_multi_rack_count_result&lt;&gt;"Excluded",wld_dedicated_edge_cluster_chosen_first&lt;&gt;1,wld_dedicated_edge_cluster_chosen_second&lt;&gt;1)</formula>
    </cfRule>
  </conditionalFormatting>
  <conditionalFormatting sqref="D474:D475">
    <cfRule type="expression" dxfId="1519" priority="1055">
      <formula>OR((wld_nsxt_federation_result="Excluded"),(wld_nsxt_federation_chosen&lt;&gt;"Active Global Manager"))</formula>
    </cfRule>
  </conditionalFormatting>
  <conditionalFormatting sqref="D479:D486 D490:D500">
    <cfRule type="expression" dxfId="1518" priority="935">
      <formula>OR((wld_nsxt_federation_result="Excluded"),(wld_nsxt_federation_chosen&lt;&gt;"Standby Global Manager"))</formula>
    </cfRule>
  </conditionalFormatting>
  <conditionalFormatting sqref="D512">
    <cfRule type="expression" dxfId="1517" priority="699">
      <formula>wld_domain_result="Excluded"</formula>
    </cfRule>
    <cfRule type="expression" dxfId="1516" priority="701">
      <formula>OR((wld_domain_result="Excluded"),(wld_nsxt_federation_result="Excluded"))</formula>
    </cfRule>
  </conditionalFormatting>
  <conditionalFormatting sqref="D512:D551">
    <cfRule type="expression" dxfId="1515" priority="41">
      <formula>OR((wld_nsxt_federation_result="Excluded"),(wld_nsxt_federation_chosen="Active Global Manager"))</formula>
    </cfRule>
  </conditionalFormatting>
  <conditionalFormatting sqref="D555:D558">
    <cfRule type="expression" dxfId="1514" priority="887">
      <formula>OR((wld_nsxt_federation_result="Excluded"),(wld_nsxt_federation_chosen="Active Global Manager"))</formula>
    </cfRule>
  </conditionalFormatting>
  <conditionalFormatting sqref="D11:E11 B11">
    <cfRule type="expression" dxfId="1513" priority="183">
      <formula>AND((wld_signed_certs_chosen&lt;&gt;"Exclude"),(wld_signed_certs_result="Excluded"))</formula>
    </cfRule>
  </conditionalFormatting>
  <conditionalFormatting sqref="D11:E11">
    <cfRule type="expression" dxfId="1512" priority="1487">
      <formula>(wld_signed_certs_chosen="Exclude")</formula>
    </cfRule>
    <cfRule type="expression" dxfId="1511" priority="1488">
      <formula>AND((wld_signed_certs_chosen="Include"),(wld_signed_certs_result="Excluded"))</formula>
    </cfRule>
    <cfRule type="expression" dxfId="1510" priority="1529">
      <formula>AND((wld_signed_certs_chosen="Include"),(wld_signed_certs_result="Included"))</formula>
    </cfRule>
    <cfRule type="expression" dxfId="1509" priority="1528">
      <formula>AND((vcf_granular_option_chosen="Full Deployment"),(wld_signed_certs_chosen="Include"),(wld_signed_certs_result="Excluded"))</formula>
    </cfRule>
  </conditionalFormatting>
  <conditionalFormatting sqref="D12:E12">
    <cfRule type="expression" dxfId="1508" priority="1537">
      <formula>(wld_bgp_result="Excluded")</formula>
    </cfRule>
    <cfRule type="expression" dxfId="1507" priority="1539">
      <formula>AND((wld_bgp_chosen&lt;&gt;"Exclude"),(wld_bgp_result="Included"))</formula>
    </cfRule>
  </conditionalFormatting>
  <conditionalFormatting sqref="D14:E14 B14">
    <cfRule type="expression" dxfId="1506" priority="1540">
      <formula>(wld_stretched_cluster_chosen="Exclude")</formula>
    </cfRule>
    <cfRule type="expression" dxfId="1505" priority="1543">
      <formula>AND((wld_stretched_cluster_chosen="Include"),(wld_stretched_cluster_result="Included"))</formula>
    </cfRule>
  </conditionalFormatting>
  <conditionalFormatting sqref="D14:E14">
    <cfRule type="expression" dxfId="1504" priority="1541">
      <formula>AND((wld_stretched_cluster_chosen="Include"),(wld_stretched_cluster_result="Excluded"))</formula>
    </cfRule>
    <cfRule type="expression" dxfId="1503" priority="1544">
      <formula>AND((wld_stretched_cluster_chosen="Include"),(wld_stretched_cluster_result="Included"))</formula>
    </cfRule>
  </conditionalFormatting>
  <conditionalFormatting sqref="D15:E15">
    <cfRule type="expression" dxfId="1502" priority="1525">
      <formula>(wld_nsxt_federation_chosen="Exclude")</formula>
    </cfRule>
    <cfRule type="expression" dxfId="1501" priority="1526">
      <formula>AND((wld_nsxt_federation_chosen&lt;&gt;"Exclude"),(wld_nsxt_federation_result="Excluded"))</formula>
    </cfRule>
    <cfRule type="expression" dxfId="1500" priority="1527">
      <formula>AND((wld_nsxt_federation_chosen&lt;&gt;"Exclude"),(wld_nsxt_federation_result="Included"))</formula>
    </cfRule>
  </conditionalFormatting>
  <conditionalFormatting sqref="E14:E15">
    <cfRule type="containsText" dxfId="1498" priority="1484" operator="containsText" text="Note:">
      <formula>NOT(ISERROR(SEARCH("Note:",E14)))</formula>
    </cfRule>
  </conditionalFormatting>
  <dataValidations count="16">
    <dataValidation type="list" allowBlank="1" showInputMessage="1" showErrorMessage="1" sqref="B15" xr:uid="{4C87AA03-6454-D94F-9467-431FFA208D54}">
      <formula1>"Exclude, Active Global Manager, Standby Global Manager, Connect Instance"</formula1>
    </dataValidation>
    <dataValidation type="list" allowBlank="1" showInputMessage="1" showErrorMessage="1" sqref="B12" xr:uid="{2D9695D8-0E1C-EF44-AAB1-95F146F1964E}">
      <formula1>"Exclude,Centralized Connectivity,Distributed Connectivity"</formula1>
    </dataValidation>
    <dataValidation type="list" allowBlank="1" showInputMessage="1" showErrorMessage="1" sqref="B11 B13:B14 D134" xr:uid="{C69FA742-5038-9D45-BD6D-BB0D8DB6294F}">
      <formula1>"Include,Exclude"</formula1>
    </dataValidation>
    <dataValidation type="list" allowBlank="1" showInputMessage="1" showErrorMessage="1" sqref="D104 D95 D119" xr:uid="{1FA25AA4-C7C4-224F-A74A-E18EB0A0D6B9}">
      <formula1>"Unselected,Selected"</formula1>
    </dataValidation>
    <dataValidation type="list" allowBlank="1" showInputMessage="1" showErrorMessage="1" sqref="D98" xr:uid="{F2F55751-BB10-E84F-9AD8-518EAD20263D}">
      <formula1>"BGP,STATIC"</formula1>
    </dataValidation>
    <dataValidation type="list" allowBlank="1" showInputMessage="1" showErrorMessage="1" sqref="D52 D91" xr:uid="{6E218C7E-278E-A44E-BA80-EACBB79470BA}">
      <formula1>"Selected,Unselected"</formula1>
    </dataValidation>
    <dataValidation type="list" allowBlank="1" showInputMessage="1" showErrorMessage="1" sqref="D45" xr:uid="{140CA152-F868-7845-AEBE-6E3B151912BF}">
      <formula1>"Yes,No"</formula1>
    </dataValidation>
    <dataValidation type="list" allowBlank="1" showInputMessage="1" showErrorMessage="1" sqref="D48 D74" xr:uid="{B79D3647-2C48-7E4B-84CE-38073E4D2E1B}">
      <formula1>"DHCP,Static"</formula1>
    </dataValidation>
    <dataValidation type="list" allowBlank="1" showInputMessage="1" showErrorMessage="1" sqref="D59" xr:uid="{D4E60F0F-0F73-3E4E-B263-BF2E7937FF8E}">
      <formula1>"DHCP,IP Pool,Static IP List"</formula1>
    </dataValidation>
    <dataValidation type="list" allowBlank="1" showInputMessage="1" showErrorMessage="1" sqref="D40" xr:uid="{745744E8-9BDB-EF47-909E-01A0278A7BE3}">
      <formula1>"Small,Medium,Large,Extra Large"</formula1>
    </dataValidation>
    <dataValidation type="list" allowBlank="1" showInputMessage="1" showErrorMessage="1" sqref="D153" xr:uid="{223675FF-994A-B14A-A66F-B3D900280D48}">
      <formula1>"Excluded,Small,Medium,Large"</formula1>
    </dataValidation>
    <dataValidation type="list" allowBlank="1" showInputMessage="1" showErrorMessage="1" sqref="D97" xr:uid="{A470D2E1-F581-F74A-B599-24F7809B8FFB}">
      <formula1>"Active Active,Active Standby"</formula1>
    </dataValidation>
    <dataValidation type="list" allowBlank="1" showInputMessage="1" showErrorMessage="1" sqref="D194" xr:uid="{CCAF4F8A-F76A-2842-8C67-E8F0466D0CEA}">
      <formula1>"Re-use an existing VCF Network Pool,Create a new VCF Network Pool"</formula1>
    </dataValidation>
    <dataValidation type="list" allowBlank="1" showInputMessage="1" showErrorMessage="1" sqref="D320" xr:uid="{ADF891B3-FBF5-0544-BC0F-71FC8A0ADD84}">
      <formula1>"Re-use an existing Pool,Create New Static IP Pool"</formula1>
    </dataValidation>
    <dataValidation type="list" allowBlank="1" showInputMessage="1" showErrorMessage="1" sqref="D66 D200 D208 D216 D224" xr:uid="{F6283ECB-5E37-9248-9A2F-1A27ABA84247}">
      <formula1>table_masks</formula1>
    </dataValidation>
    <dataValidation type="list" allowBlank="1" showInputMessage="1" showErrorMessage="1" sqref="D364" xr:uid="{F610C192-E65D-4841-85C4-A947DAA7556F}">
      <formula1>"Small,Medium,Large,X-Large"</formula1>
    </dataValidation>
  </dataValidations>
  <hyperlinks>
    <hyperlink ref="B5" location="'Configure Workload Domain'!navigation_apply_signed_certs_wld_domain" display="Apply Signed Certificates" xr:uid="{00000000-0004-0000-0800-000000000000}"/>
    <hyperlink ref="C5" location="'Configure Workload Domain'!navigation_nsx_routing_wld_domain" display="NSX Network Connectivity for the Workload Domain" xr:uid="{00000000-0004-0000-0800-000001000000}"/>
    <hyperlink ref="D5" location="'Configure Workload Domain'!navigation_avi_lb_wld_domain" display="Deploy AVI Loadbalancer " xr:uid="{00000000-0004-0000-0800-000002000000}"/>
    <hyperlink ref="E5" location="'Configure Workload Domain'!navigation_stretched_cluster_wld_domain" display="Stretched Cluster" xr:uid="{00000000-0004-0000-0800-000003000000}"/>
    <hyperlink ref="B7" location="'Configure Workload Domain'!navigation_nsx_federation_for_wld_domain" display="NSX Federation for Workload Domain" xr:uid="{00000000-0004-0000-0800-000004000000}"/>
    <hyperlink ref="E20" location="'Configure Workload Domain'!navigation_apply_signed_certs_mgmt_domain" display="navigation_apply_signed_certs_mgmt_domain" xr:uid="{00000000-0004-0000-0800-000005000000}"/>
    <hyperlink ref="E43" location="'Deploy Workload Domain'!D163" display="Values are set based on vSphere Cluster configuration in the Deploy Workload Domain Tab. Click to Redirect" xr:uid="{00000000-0004-0000-0800-000006000000}"/>
    <hyperlink ref="E47" location="'Deploy Workload Domain'!D199" display="Values are set based on Datastore configuration in the Deploy Workload Domain Tab. Click to Redirect" xr:uid="{00000000-0004-0000-0800-000007000000}"/>
    <hyperlink ref="E49" location="'Deploy Workload Domain'!D250" display="Must be precreated in vCenter, Value is deterimined based on input in Deploy Workload Domain Tab." xr:uid="{00000000-0004-0000-0800-000008000000}"/>
    <hyperlink ref="E51" location="'Deploy Workload Domain'!D332" display="Value is deterimined based on input in Deploy Workload Domain Tab. Click to Redirect" xr:uid="{00000000-0004-0000-0800-000009000000}"/>
    <hyperlink ref="E69" location="'Deploy Workload Domain'!D163" display="Values are set based on vSphere Cluster configuration in the Deploy Workload Domain Tab. Click to Redirect" xr:uid="{00000000-0004-0000-0800-00000A000000}"/>
    <hyperlink ref="E70" location="'Deploy Workload Domain'!L94" display="Values are set based on vSphere Cluster configuration in the Deploy Workload Domain Tab" xr:uid="{00000000-0004-0000-0800-00000B000000}"/>
    <hyperlink ref="E73" location="'Deploy Workload Domain'!D199" display="Values are set based on Datastore configuration in the Deploy Workload Domain Tab. Click to Redirect" xr:uid="{00000000-0004-0000-0800-00000C000000}"/>
    <hyperlink ref="E75" location="'Deploy Workload Domain'!D250" display="Must be precreated in vCenter, Value is deterimined based on input in Deploy Workload Domain Tab." xr:uid="{00000000-0004-0000-0800-00000D000000}"/>
    <hyperlink ref="E77" location="'Deploy Workload Domain'!D332" display="Value is deterimined based on input in Deploy Workload Domain Tab. Click to Redirect" xr:uid="{00000000-0004-0000-0800-00000E000000}"/>
    <hyperlink ref="E480" location="'VI Workload Domain'!input_wld_nsxt_gm_fingerprint" display="Note: Click this cell to redirect to the location for storing this output" xr:uid="{00000000-0004-0000-0800-00000F000000}"/>
    <hyperlink ref="E491" location="'VI Workload Domain'!input_wld_nsxt_lm_fingerprint" display="Note: Click this cell to redirect to the location for storing this output" xr:uid="{00000000-0004-0000-0800-000010000000}"/>
  </hyperlinks>
  <pageMargins left="0.7" right="0.7" top="0.75" bottom="0.75" header="0.3" footer="0.3"/>
  <pageSetup paperSize="9" orientation="portrait" horizontalDpi="0" verticalDpi="0"/>
  <ignoredErrors>
    <ignoredError sqref="C62"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1343" operator="containsText" id="{17D4330D-4A3B-7F45-A84A-0EA101F3B4C0}">
            <xm:f>NOT(ISERROR(SEARCH("Value Missing",D20)))</xm:f>
            <xm:f>"Value Missing"</xm:f>
            <x14:dxf>
              <fill>
                <patternFill>
                  <bgColor rgb="FFFFBE29"/>
                </patternFill>
              </fill>
            </x14:dxf>
          </x14:cfRule>
          <xm:sqref>D20:D27 D33 D35:D36 D38:D40 D42:D52 D54:D66 D68:D78 D80:D93 D95:D99 D101:D114 D116:D129 D131:D132 D134 D136:D138 D140:D142 D144:D145 D151 D153 D155:D161 D169:D172 D174:D189 D194:D195 D197:D203 D205:D211 D213:D219 D221:D227 D232:D253 D257:D260 D265:D282 D285:D288 D291:D293 D296:D298 D303:D332 D337 D340:D341 D344:D354 D359 D361:D376 D378:D393 D395:D411 D415:D429 D433:D437 D441:D443 D447 D451:D454 D465:D470 D474:D475 D479:D486 D490:D500 D504:D508 D512:D551 D555:D558</xm:sqref>
        </x14:conditionalFormatting>
        <x14:conditionalFormatting xmlns:xm="http://schemas.microsoft.com/office/excel/2006/main">
          <x14:cfRule type="containsText" priority="117" stopIfTrue="1" operator="containsText" id="{C98AE17A-A6AF-AC4F-AB86-EC82F8190CF7}">
            <xm:f>NOT(ISERROR(SEARCH("Value Missing",D143)))</xm:f>
            <xm:f>"Value Missing"</xm:f>
            <x14:dxf>
              <font>
                <color rgb="FF0E223A"/>
              </font>
              <fill>
                <patternFill>
                  <bgColor rgb="FFFFBE29"/>
                </patternFill>
              </fill>
            </x14:dxf>
          </x14:cfRule>
          <xm:sqref>D143</xm:sqref>
        </x14:conditionalFormatting>
        <x14:conditionalFormatting xmlns:xm="http://schemas.microsoft.com/office/excel/2006/main">
          <x14:cfRule type="containsText" priority="329" stopIfTrue="1" operator="containsText" id="{0BA8D10D-B6F0-DA4D-AECB-738162EE74F4}">
            <xm:f>NOT(ISERROR(SEARCH("Value Missing",D204)))</xm:f>
            <xm:f>"Value Missing"</xm:f>
            <x14:dxf>
              <font>
                <color rgb="FF0E223A"/>
              </font>
              <fill>
                <patternFill>
                  <bgColor rgb="FFFFBE29"/>
                </patternFill>
              </fill>
            </x14:dxf>
          </x14:cfRule>
          <xm:sqref>D204</xm:sqref>
        </x14:conditionalFormatting>
        <x14:conditionalFormatting xmlns:xm="http://schemas.microsoft.com/office/excel/2006/main">
          <x14:cfRule type="containsText" priority="4" operator="containsText" id="{4D51BEA6-2F87-5A42-92E0-216754F83A07}">
            <xm:f>NOT(ISERROR(SEARCH("Value Missing",D458)))</xm:f>
            <xm:f>"Value Missing"</xm:f>
            <x14:dxf>
              <fill>
                <patternFill>
                  <bgColor rgb="FFFFBE29"/>
                </patternFill>
              </fill>
            </x14:dxf>
          </x14:cfRule>
          <xm:sqref>D458:D461</xm:sqref>
        </x14:conditionalFormatting>
        <x14:conditionalFormatting xmlns:xm="http://schemas.microsoft.com/office/excel/2006/main">
          <x14:cfRule type="containsText" priority="6" operator="containsText" id="{B99F52C8-C476-DB49-B76D-553C139C0585}">
            <xm:f>NOT(ISERROR(SEARCH("Create VI Workload Domain or Deploy a new VCF fleet not selected on VCF &amp; VVF Planning Tab",E11)))</xm:f>
            <xm:f>"Create VI Workload Domain or Deploy a new VCF fleet not selected on VCF &amp; VVF Planning Tab"</xm:f>
            <x14:dxf>
              <font>
                <color theme="1"/>
              </font>
              <fill>
                <patternFill>
                  <bgColor rgb="FFFFBE29"/>
                </patternFill>
              </fill>
            </x14:dxf>
          </x14:cfRule>
          <xm:sqref>E11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b3a237d-4129-4a2a-8fb3-b20be8ca4bd3" xsi:nil="true"/>
    <lcf76f155ced4ddcb4097134ff3c332f xmlns="7dc73e9a-a2c7-410e-a6a7-fe1b70e2a0b9">
      <Terms xmlns="http://schemas.microsoft.com/office/infopath/2007/PartnerControls"/>
    </lcf76f155ced4ddcb4097134ff3c332f>
    <SharedWithUsers xmlns="daa80f42-9ae5-4835-be60-e49709dd5722">
      <UserInfo>
        <DisplayName>Andy Beltz</DisplayName>
        <AccountId>525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82EF44E0227C24E85294C0D2197735E" ma:contentTypeVersion="16" ma:contentTypeDescription="Create a new document." ma:contentTypeScope="" ma:versionID="0762e96695b87e50645077735b0a3394">
  <xsd:schema xmlns:xsd="http://www.w3.org/2001/XMLSchema" xmlns:xs="http://www.w3.org/2001/XMLSchema" xmlns:p="http://schemas.microsoft.com/office/2006/metadata/properties" xmlns:ns2="7dc73e9a-a2c7-410e-a6a7-fe1b70e2a0b9" xmlns:ns3="daa80f42-9ae5-4835-be60-e49709dd5722" xmlns:ns4="eb3a237d-4129-4a2a-8fb3-b20be8ca4bd3" targetNamespace="http://schemas.microsoft.com/office/2006/metadata/properties" ma:root="true" ma:fieldsID="277ebc50a8058a9c036e40c5cb4292f8" ns2:_="" ns3:_="" ns4:_="">
    <xsd:import namespace="7dc73e9a-a2c7-410e-a6a7-fe1b70e2a0b9"/>
    <xsd:import namespace="daa80f42-9ae5-4835-be60-e49709dd5722"/>
    <xsd:import namespace="eb3a237d-4129-4a2a-8fb3-b20be8ca4bd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4: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c73e9a-a2c7-410e-a6a7-fe1b70e2a0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e2881d-93c9-4b6d-a08c-48bb4ed1ec6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a80f42-9ae5-4835-be60-e49709dd572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b3a237d-4129-4a2a-8fb3-b20be8ca4bd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f06e5e-f23f-4c2a-8b0f-6461e8fdd81c}" ma:internalName="TaxCatchAll" ma:showField="CatchAllData" ma:web="daa80f42-9ae5-4835-be60-e49709dd57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38FDAF-6C1D-43F6-B941-6E104C721C9F}">
  <ds:schemaRefs>
    <ds:schemaRef ds:uri="http://schemas.microsoft.com/office/2006/metadata/properties"/>
    <ds:schemaRef ds:uri="http://schemas.microsoft.com/office/infopath/2007/PartnerControls"/>
    <ds:schemaRef ds:uri="eb3a237d-4129-4a2a-8fb3-b20be8ca4bd3"/>
    <ds:schemaRef ds:uri="7dc73e9a-a2c7-410e-a6a7-fe1b70e2a0b9"/>
    <ds:schemaRef ds:uri="daa80f42-9ae5-4835-be60-e49709dd5722"/>
  </ds:schemaRefs>
</ds:datastoreItem>
</file>

<file path=customXml/itemProps2.xml><?xml version="1.0" encoding="utf-8"?>
<ds:datastoreItem xmlns:ds="http://schemas.openxmlformats.org/officeDocument/2006/customXml" ds:itemID="{68027453-C8FB-4CB4-AFBB-858BEA466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c73e9a-a2c7-410e-a6a7-fe1b70e2a0b9"/>
    <ds:schemaRef ds:uri="daa80f42-9ae5-4835-be60-e49709dd5722"/>
    <ds:schemaRef ds:uri="eb3a237d-4129-4a2a-8fb3-b20be8ca4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A35F94-42D7-4DE9-8B50-E0DB83B46D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8314</vt:i4>
      </vt:variant>
    </vt:vector>
  </HeadingPairs>
  <TitlesOfParts>
    <vt:vector size="8340" baseType="lpstr">
      <vt:lpstr>Prerequisite Checklist</vt:lpstr>
      <vt:lpstr>VCF &amp; VVF Planning</vt:lpstr>
      <vt:lpstr>Management Domain Sizing</vt:lpstr>
      <vt:lpstr>Deploy Management Domain</vt:lpstr>
      <vt:lpstr>Configure Management Domain</vt:lpstr>
      <vt:lpstr>Deploy Fleet Management Day-N</vt:lpstr>
      <vt:lpstr>Deploy Workload Domain</vt:lpstr>
      <vt:lpstr>Arkham</vt:lpstr>
      <vt:lpstr>Configure Workload Domain</vt:lpstr>
      <vt:lpstr>Deploy Cluster</vt:lpstr>
      <vt:lpstr>Change Control</vt:lpstr>
      <vt:lpstr>Value Reference Tables - MR</vt:lpstr>
      <vt:lpstr>Value Reference Tables</vt:lpstr>
      <vt:lpstr>Static Reference Tables</vt:lpstr>
      <vt:lpstr>Dumping Ground</vt:lpstr>
      <vt:lpstr>Additional Racks</vt:lpstr>
      <vt:lpstr>Site Protection &amp; DR</vt:lpstr>
      <vt:lpstr>On-Premises Ransomware Recovery</vt:lpstr>
      <vt:lpstr>Management Domain As Built</vt:lpstr>
      <vt:lpstr>Workload Domain As Built</vt:lpstr>
      <vt:lpstr>Public Reference Sheet</vt:lpstr>
      <vt:lpstr>Version History</vt:lpstr>
      <vt:lpstr>Private AI Ready Infrastructure</vt:lpstr>
      <vt:lpstr>Cloud-Based Ransomware Recovery</vt:lpstr>
      <vt:lpstr>Cross Cloud Mobility</vt:lpstr>
      <vt:lpstr>Active Directory Inputs</vt:lpstr>
      <vt:lpstr>Additional_Instance</vt:lpstr>
      <vt:lpstr>administrator_vsphere_local_password</vt:lpstr>
      <vt:lpstr>air_GPU_network_operator_namespace</vt:lpstr>
      <vt:lpstr>air_GPU_operator_namespace</vt:lpstr>
      <vt:lpstr>air_GPU_VM_class</vt:lpstr>
      <vt:lpstr>air_license</vt:lpstr>
      <vt:lpstr>asn_instance</vt:lpstr>
      <vt:lpstr>asn_mgmt_az1</vt:lpstr>
      <vt:lpstr>asn_mgmt_az2</vt:lpstr>
      <vt:lpstr>asn_start</vt:lpstr>
      <vt:lpstr>asn_wld_az1</vt:lpstr>
      <vt:lpstr>asn_wld_az2</vt:lpstr>
      <vt:lpstr>avilb_root_password</vt:lpstr>
      <vt:lpstr>aws_regions</vt:lpstr>
      <vt:lpstr>ca_administrator_password</vt:lpstr>
      <vt:lpstr>ca_administrator_username</vt:lpstr>
      <vt:lpstr>ca_algorithm</vt:lpstr>
      <vt:lpstr>ca_country</vt:lpstr>
      <vt:lpstr>ca_email_address</vt:lpstr>
      <vt:lpstr>ca_key_size</vt:lpstr>
      <vt:lpstr>ca_locality</vt:lpstr>
      <vt:lpstr>ca_organization</vt:lpstr>
      <vt:lpstr>ca_organization_unit</vt:lpstr>
      <vt:lpstr>ca_state</vt:lpstr>
      <vt:lpstr>ca_template_name</vt:lpstr>
      <vt:lpstr>calculated_mgmt_host_count</vt:lpstr>
      <vt:lpstr>cbr_aria_logs_key</vt:lpstr>
      <vt:lpstr>cbr_aria_logs_url</vt:lpstr>
      <vt:lpstr>cbr_chosen</vt:lpstr>
      <vt:lpstr>cbr_firewall_rule_vcenter</vt:lpstr>
      <vt:lpstr>cbr_recovery_host_count</vt:lpstr>
      <vt:lpstr>cbr_recovery_host_type</vt:lpstr>
      <vt:lpstr>cbr_recovery_management_subnet</vt:lpstr>
      <vt:lpstr>cbr_recovery_region</vt:lpstr>
      <vt:lpstr>cbr_recovery_sddc_name</vt:lpstr>
      <vt:lpstr>cbr_recovery_subnet</vt:lpstr>
      <vt:lpstr>cbr_recovery_vpc</vt:lpstr>
      <vt:lpstr>cbr_result</vt:lpstr>
      <vt:lpstr>cbr_vcdr_anti_affinity</vt:lpstr>
      <vt:lpstr>cbr_vcdr_cdp1_hostname</vt:lpstr>
      <vt:lpstr>cbr_vcdr_cdp1_ip</vt:lpstr>
      <vt:lpstr>cbr_vcdr_cdp2_hostname</vt:lpstr>
      <vt:lpstr>cbr_vcdr_cdp2_ip</vt:lpstr>
      <vt:lpstr>cbr_vcdr_email_recipient</vt:lpstr>
      <vt:lpstr>cbr_vcdr_email_sender</vt:lpstr>
      <vt:lpstr>cbr_vcdr_label</vt:lpstr>
      <vt:lpstr>cbr_vcdr_orchestrator_fqdn</vt:lpstr>
      <vt:lpstr>cbr_vcdr_ova</vt:lpstr>
      <vt:lpstr>cbr_vcdr_passcode</vt:lpstr>
      <vt:lpstr>cbr_vcdr_site_name</vt:lpstr>
      <vt:lpstr>cbr_vcdr_timezone</vt:lpstr>
      <vt:lpstr>cbr_vcdr_vsphere_role</vt:lpstr>
      <vt:lpstr>cbr_vm_folder</vt:lpstr>
      <vt:lpstr>ccm_aws_admin_password</vt:lpstr>
      <vt:lpstr>ccm_aws_admin_ssouser</vt:lpstr>
      <vt:lpstr>ccm_aws_host_count</vt:lpstr>
      <vt:lpstr>ccm_aws_host_type</vt:lpstr>
      <vt:lpstr>ccm_aws_management_subnet</vt:lpstr>
      <vt:lpstr>ccm_aws_region</vt:lpstr>
      <vt:lpstr>ccm_aws_sddc_name</vt:lpstr>
      <vt:lpstr>ccm_aws_subnet</vt:lpstr>
      <vt:lpstr>ccm_aws_vpc</vt:lpstr>
      <vt:lpstr>ccm_chosen</vt:lpstr>
      <vt:lpstr>ccm_firewall_group</vt:lpstr>
      <vt:lpstr>ccm_firewall_ip_addresses</vt:lpstr>
      <vt:lpstr>ccm_firewall_rule_hcx</vt:lpstr>
      <vt:lpstr>ccm_firewall_rule_vcenter</vt:lpstr>
      <vt:lpstr>ccm_hcx_admin_password</vt:lpstr>
      <vt:lpstr>ccm_hcx_cdp_hostname</vt:lpstr>
      <vt:lpstr>ccm_hcx_cdp_ip</vt:lpstr>
      <vt:lpstr>ccm_hcx_compute_profile</vt:lpstr>
      <vt:lpstr>ccm_hcx_dc_location</vt:lpstr>
      <vt:lpstr>ccm_hcx_license</vt:lpstr>
      <vt:lpstr>ccm_hcx_mgmt_network_ip_range</vt:lpstr>
      <vt:lpstr>ccm_hcx_nsx_svc_password</vt:lpstr>
      <vt:lpstr>ccm_hcx_nsx_svc_user</vt:lpstr>
      <vt:lpstr>ccm_hcx_remote_url</vt:lpstr>
      <vt:lpstr>ccm_hcx_resource_pool</vt:lpstr>
      <vt:lpstr>ccm_hcx_root_password</vt:lpstr>
      <vt:lpstr>ccm_hcx_service_mesh</vt:lpstr>
      <vt:lpstr>ccm_hcx_vm_folder</vt:lpstr>
      <vt:lpstr>ccm_hcx_vmotion_network_ip_range</vt:lpstr>
      <vt:lpstr>ccm_hcx_vsphere_role</vt:lpstr>
      <vt:lpstr>ccm_hcx_vsphere_svc_password</vt:lpstr>
      <vt:lpstr>ccm_hcx_vsphere_svc_user</vt:lpstr>
      <vt:lpstr>ccm_result</vt:lpstr>
      <vt:lpstr>ccm_vm_folder</vt:lpstr>
      <vt:lpstr>certificate_authority_fqdn</vt:lpstr>
      <vt:lpstr>certificate_authority_model</vt:lpstr>
      <vt:lpstr>certificate_authority_name</vt:lpstr>
      <vt:lpstr>change_control_new</vt:lpstr>
      <vt:lpstr>change_control_old</vt:lpstr>
      <vt:lpstr>child_ad_groups_ou</vt:lpstr>
      <vt:lpstr>child_ad_users_ou</vt:lpstr>
      <vt:lpstr>child_dns_zone</vt:lpstr>
      <vt:lpstr>child_svc_nsx_ad_password</vt:lpstr>
      <vt:lpstr>child_svc_nsx_ad_user</vt:lpstr>
      <vt:lpstr>child_svc_vsphere_ad_password</vt:lpstr>
      <vt:lpstr>child_svc_vsphere_ad_user</vt:lpstr>
      <vt:lpstr>cluster_az1_host_fqdns</vt:lpstr>
      <vt:lpstr>cluster_az1_host_mgmt_ips</vt:lpstr>
      <vt:lpstr>cluster_az1_host_overlay_cidr</vt:lpstr>
      <vt:lpstr>cluster_az1_host_overlay_gateway_ip</vt:lpstr>
      <vt:lpstr>cluster_az1_host_overlay_network_pool_description</vt:lpstr>
      <vt:lpstr>cluster_az1_host_overlay_network_pool_name</vt:lpstr>
      <vt:lpstr>cluster_az1_host_overlay_network_profile_name</vt:lpstr>
      <vt:lpstr>cluster_az1_host_overlay_new_pool_chosen</vt:lpstr>
      <vt:lpstr>cluster_az1_host_overlay_pool_end_ip</vt:lpstr>
      <vt:lpstr>cluster_az1_host_overlay_pool_start_ip</vt:lpstr>
      <vt:lpstr>cluster_az1_host_overlay_transport_zone</vt:lpstr>
      <vt:lpstr>cluster_az1_host_overlay_uplink_profile_name</vt:lpstr>
      <vt:lpstr>cluster_az1_host_overlay_vlan</vt:lpstr>
      <vt:lpstr>cluster_az1_host1_fqdn</vt:lpstr>
      <vt:lpstr>cluster_az1_host1_mgmt_ip</vt:lpstr>
      <vt:lpstr>cluster_az1_host10_fqdn</vt:lpstr>
      <vt:lpstr>cluster_az1_host10_mgmt_ip</vt:lpstr>
      <vt:lpstr>cluster_az1_host11_fqdn</vt:lpstr>
      <vt:lpstr>cluster_az1_host11_mgmt_ip</vt:lpstr>
      <vt:lpstr>cluster_az1_host12_fqdn</vt:lpstr>
      <vt:lpstr>cluster_az1_host12_mgmt_ip</vt:lpstr>
      <vt:lpstr>cluster_az1_host13_fqdn</vt:lpstr>
      <vt:lpstr>cluster_az1_host13_mgmt_ip</vt:lpstr>
      <vt:lpstr>cluster_az1_host14_fqdn</vt:lpstr>
      <vt:lpstr>cluster_az1_host14_mgmt_ip</vt:lpstr>
      <vt:lpstr>cluster_az1_host15_fqdn</vt:lpstr>
      <vt:lpstr>cluster_az1_host15_mgmt_ip</vt:lpstr>
      <vt:lpstr>cluster_az1_host16_fqdn</vt:lpstr>
      <vt:lpstr>cluster_az1_host16_mgmt_ip</vt:lpstr>
      <vt:lpstr>cluster_az1_host2_fqdn</vt:lpstr>
      <vt:lpstr>cluster_az1_host2_mgmt_ip</vt:lpstr>
      <vt:lpstr>cluster_az1_host3_fqdn</vt:lpstr>
      <vt:lpstr>cluster_az1_host3_mgmt_ip</vt:lpstr>
      <vt:lpstr>cluster_az1_host4_fqdn</vt:lpstr>
      <vt:lpstr>cluster_az1_host4_mgmt_ip</vt:lpstr>
      <vt:lpstr>cluster_az1_host5_fqdn</vt:lpstr>
      <vt:lpstr>cluster_az1_host5_mgmt_ip</vt:lpstr>
      <vt:lpstr>cluster_az1_host6_fqdn</vt:lpstr>
      <vt:lpstr>cluster_az1_host6_mgmt_ip</vt:lpstr>
      <vt:lpstr>cluster_az1_host7_fqdn</vt:lpstr>
      <vt:lpstr>cluster_az1_host7_mgmt_ip</vt:lpstr>
      <vt:lpstr>cluster_az1_host8_fqdn</vt:lpstr>
      <vt:lpstr>cluster_az1_host8_mgmt_ip</vt:lpstr>
      <vt:lpstr>cluster_az1_host9_fqdn</vt:lpstr>
      <vt:lpstr>cluster_az1_host9_mgmt_ip</vt:lpstr>
      <vt:lpstr>cluster_az1_mgmt_cidr</vt:lpstr>
      <vt:lpstr>cluster_az1_mgmt_gateway_ip</vt:lpstr>
      <vt:lpstr>cluster_az1_mgmt_lbt_chosen</vt:lpstr>
      <vt:lpstr>cluster_az1_mgmt_mtu</vt:lpstr>
      <vt:lpstr>cluster_az1_mgmt_pg</vt:lpstr>
      <vt:lpstr>cluster_az1_mgmt_uplink1_chosen</vt:lpstr>
      <vt:lpstr>cluster_az1_mgmt_uplink2_chosen</vt:lpstr>
      <vt:lpstr>cluster_az1_mgmt_vlan</vt:lpstr>
      <vt:lpstr>cluster_az1_mgmt_vm_lbt_chosen</vt:lpstr>
      <vt:lpstr>cluster_az1_mgmt_vm_pg</vt:lpstr>
      <vt:lpstr>cluster_az1_mgmt_vm_uplink1_chosen</vt:lpstr>
      <vt:lpstr>cluster_az1_mgmt_vm_uplink2_chosen</vt:lpstr>
      <vt:lpstr>cluster_az1_nsx_lbt_chosen</vt:lpstr>
      <vt:lpstr>cluster_az1_nsx_uplink_count</vt:lpstr>
      <vt:lpstr>cluster_az1_nsx_uplink1</vt:lpstr>
      <vt:lpstr>cluster_az1_nsx_uplink1_active</vt:lpstr>
      <vt:lpstr>cluster_az1_nsx_uplink2</vt:lpstr>
      <vt:lpstr>cluster_az1_nsx_uplink2_active</vt:lpstr>
      <vt:lpstr>cluster_az1_pool_name</vt:lpstr>
      <vt:lpstr>cluster_az1_principal_storage_cidr</vt:lpstr>
      <vt:lpstr>cluster_az1_principal_storage_gateway_ip</vt:lpstr>
      <vt:lpstr>cluster_az1_principal_storage_lbt_chosen</vt:lpstr>
      <vt:lpstr>cluster_az1_principal_storage_mask</vt:lpstr>
      <vt:lpstr>cluster_az1_principal_storage_mtu</vt:lpstr>
      <vt:lpstr>cluster_az1_principal_storage_network</vt:lpstr>
      <vt:lpstr>cluster_az1_principal_storage_pg</vt:lpstr>
      <vt:lpstr>cluster_az1_principal_storage_pool_end_ip</vt:lpstr>
      <vt:lpstr>cluster_az1_principal_storage_pool_start_ip</vt:lpstr>
      <vt:lpstr>cluster_az1_principal_storage_uplink1_chosen</vt:lpstr>
      <vt:lpstr>cluster_az1_principal_storage_uplink2_chosen</vt:lpstr>
      <vt:lpstr>cluster_az1_principal_storage_vlan</vt:lpstr>
      <vt:lpstr>cluster_az1_reuse_vcf_networkpool_chosen</vt:lpstr>
      <vt:lpstr>cluster_az1_reuse_vcf_networkpool_result</vt:lpstr>
      <vt:lpstr>cluster_az1_secondary_storage_cidr</vt:lpstr>
      <vt:lpstr>cluster_az1_secondary_storage_gateway_ip</vt:lpstr>
      <vt:lpstr>cluster_az1_secondary_storage_mask</vt:lpstr>
      <vt:lpstr>cluster_az1_secondary_storage_mtu</vt:lpstr>
      <vt:lpstr>cluster_az1_secondary_storage_network</vt:lpstr>
      <vt:lpstr>cluster_az1_secondary_storage_pool_end_ip</vt:lpstr>
      <vt:lpstr>cluster_az1_secondary_storage_pool_start_ip</vt:lpstr>
      <vt:lpstr>cluster_az1_secondary_storage_vlan</vt:lpstr>
      <vt:lpstr>cluster_az1_storage_cluster_cidr</vt:lpstr>
      <vt:lpstr>cluster_az1_storage_cluster_gateway_ip</vt:lpstr>
      <vt:lpstr>cluster_az1_storage_cluster_mask</vt:lpstr>
      <vt:lpstr>cluster_az1_storage_cluster_mtu</vt:lpstr>
      <vt:lpstr>cluster_az1_storage_cluster_network</vt:lpstr>
      <vt:lpstr>cluster_az1_storage_cluster_pool_end_ip</vt:lpstr>
      <vt:lpstr>cluster_az1_storage_cluster_pool_start_ip</vt:lpstr>
      <vt:lpstr>cluster_az1_storage_cluster_vlan</vt:lpstr>
      <vt:lpstr>cluster_az1_vmotion_cidr</vt:lpstr>
      <vt:lpstr>cluster_az1_vmotion_gateway_ip</vt:lpstr>
      <vt:lpstr>cluster_az1_vmotion_lbt_chosen</vt:lpstr>
      <vt:lpstr>cluster_az1_vmotion_mask</vt:lpstr>
      <vt:lpstr>cluster_az1_vmotion_mtu</vt:lpstr>
      <vt:lpstr>cluster_az1_vmotion_network</vt:lpstr>
      <vt:lpstr>cluster_az1_vmotion_pg</vt:lpstr>
      <vt:lpstr>cluster_az1_vmotion_pool_end_ip</vt:lpstr>
      <vt:lpstr>cluster_az1_vmotion_pool_start_ip</vt:lpstr>
      <vt:lpstr>cluster_az1_vmotion_uplink1_chosen</vt:lpstr>
      <vt:lpstr>cluster_az1_vmotion_uplink2_chosen</vt:lpstr>
      <vt:lpstr>cluster_az1_vmotion_vlan</vt:lpstr>
      <vt:lpstr>cluster_az1_vsan_storage_client_lbt_chosen</vt:lpstr>
      <vt:lpstr>cluster_az1_vsan_storage_client_pg</vt:lpstr>
      <vt:lpstr>cluster_az1_vsan_storage_client_uplink1</vt:lpstr>
      <vt:lpstr>cluster_az1_vsan_storage_client_uplink2</vt:lpstr>
      <vt:lpstr>cluster_az2_host_fqdns</vt:lpstr>
      <vt:lpstr>cluster_az2_host_mgmt_ips</vt:lpstr>
      <vt:lpstr>cluster_az2_host_overlay_cidr</vt:lpstr>
      <vt:lpstr>cluster_az2_host_overlay_gateway_ip</vt:lpstr>
      <vt:lpstr>cluster_az2_host_overlay_network_pool_name</vt:lpstr>
      <vt:lpstr>cluster_az2_host_overlay_network_profile_name</vt:lpstr>
      <vt:lpstr>cluster_az2_host_overlay_new_pool_chosen</vt:lpstr>
      <vt:lpstr>cluster_az2_host_overlay_pool_end_ip</vt:lpstr>
      <vt:lpstr>cluster_az2_host_overlay_pool_start_ip</vt:lpstr>
      <vt:lpstr>cluster_az2_host_overlay_uplink_profile_name</vt:lpstr>
      <vt:lpstr>cluster_az2_host_overlay_vlan</vt:lpstr>
      <vt:lpstr>cluster_az2_host1_fqdn</vt:lpstr>
      <vt:lpstr>cluster_az2_host1_mgmt_ip</vt:lpstr>
      <vt:lpstr>cluster_az2_host10_fqdn</vt:lpstr>
      <vt:lpstr>cluster_az2_host10_mgmt_ip</vt:lpstr>
      <vt:lpstr>cluster_az2_host11_fqdn</vt:lpstr>
      <vt:lpstr>cluster_az2_host11_mgmt_ip</vt:lpstr>
      <vt:lpstr>cluster_az2_host12_fqdn</vt:lpstr>
      <vt:lpstr>cluster_az2_host12_mgmt_ip</vt:lpstr>
      <vt:lpstr>cluster_az2_host13_fqdn</vt:lpstr>
      <vt:lpstr>cluster_az2_host13_mgmt_ip</vt:lpstr>
      <vt:lpstr>cluster_az2_host14_fqdn</vt:lpstr>
      <vt:lpstr>cluster_az2_host14_mgmt_ip</vt:lpstr>
      <vt:lpstr>cluster_az2_host15_fqdn</vt:lpstr>
      <vt:lpstr>cluster_az2_host15_mgmt_ip</vt:lpstr>
      <vt:lpstr>cluster_az2_host16_fqdn</vt:lpstr>
      <vt:lpstr>cluster_az2_host16_mgmt_ip</vt:lpstr>
      <vt:lpstr>cluster_az2_host2_fqdn</vt:lpstr>
      <vt:lpstr>cluster_az2_host2_mgmt_ip</vt:lpstr>
      <vt:lpstr>cluster_az2_host3_fqdn</vt:lpstr>
      <vt:lpstr>cluster_az2_host3_mgmt_ip</vt:lpstr>
      <vt:lpstr>cluster_az2_host4_fqdn</vt:lpstr>
      <vt:lpstr>cluster_az2_host4_mgmt_ip</vt:lpstr>
      <vt:lpstr>cluster_az2_host5_fqdn</vt:lpstr>
      <vt:lpstr>cluster_az2_host5_mgmt_ip</vt:lpstr>
      <vt:lpstr>cluster_az2_host6_fqdn</vt:lpstr>
      <vt:lpstr>cluster_az2_host6_mgmt_ip</vt:lpstr>
      <vt:lpstr>cluster_az2_host7_fqdn</vt:lpstr>
      <vt:lpstr>cluster_az2_host7_mgmt_ip</vt:lpstr>
      <vt:lpstr>cluster_az2_host8_fqdn</vt:lpstr>
      <vt:lpstr>cluster_az2_host8_mgmt_ip</vt:lpstr>
      <vt:lpstr>cluster_az2_host9_fqdn</vt:lpstr>
      <vt:lpstr>cluster_az2_host9_mgmt_ip</vt:lpstr>
      <vt:lpstr>cluster_az2_mgmt_cidr</vt:lpstr>
      <vt:lpstr>cluster_az2_mgmt_gateway_ip</vt:lpstr>
      <vt:lpstr>cluster_az2_mgmt_mtu</vt:lpstr>
      <vt:lpstr>cluster_az2_mgmt_vlan</vt:lpstr>
      <vt:lpstr>cluster_az2_pool_name</vt:lpstr>
      <vt:lpstr>cluster_az2_principal_storage_cidr</vt:lpstr>
      <vt:lpstr>cluster_az2_principal_storage_gateway_ip</vt:lpstr>
      <vt:lpstr>cluster_az2_principal_storage_mask</vt:lpstr>
      <vt:lpstr>cluster_az2_principal_storage_mtu</vt:lpstr>
      <vt:lpstr>cluster_az2_principal_storage_network</vt:lpstr>
      <vt:lpstr>cluster_az2_principal_storage_pool_end_ip</vt:lpstr>
      <vt:lpstr>cluster_az2_principal_storage_pool_start_ip</vt:lpstr>
      <vt:lpstr>cluster_az2_principal_storage_vlan</vt:lpstr>
      <vt:lpstr>cluster_az2_reuse_vcf_networkpool_chosen</vt:lpstr>
      <vt:lpstr>cluster_az2_secondary_storage_gateway_ip</vt:lpstr>
      <vt:lpstr>cluster_az2_secondary_storage_mask</vt:lpstr>
      <vt:lpstr>cluster_az2_secondary_storage_mtu</vt:lpstr>
      <vt:lpstr>cluster_az2_secondary_storage_network</vt:lpstr>
      <vt:lpstr>cluster_az2_secondary_storage_pool_end_ip</vt:lpstr>
      <vt:lpstr>cluster_az2_secondary_storage_pool_start_ip</vt:lpstr>
      <vt:lpstr>cluster_az2_secondary_storage_vlan</vt:lpstr>
      <vt:lpstr>cluster_az2_storage_cluster_cidr</vt:lpstr>
      <vt:lpstr>cluster_az2_storage_cluster_gateway_ip</vt:lpstr>
      <vt:lpstr>cluster_az2_storage_cluster_mask</vt:lpstr>
      <vt:lpstr>cluster_az2_storage_cluster_mtu</vt:lpstr>
      <vt:lpstr>cluster_az2_storage_cluster_network</vt:lpstr>
      <vt:lpstr>cluster_az2_storage_cluster_pool_end_ip</vt:lpstr>
      <vt:lpstr>cluster_az2_storage_cluster_pool_start_ip</vt:lpstr>
      <vt:lpstr>cluster_az2_storage_cluster_vlan</vt:lpstr>
      <vt:lpstr>cluster_az2_tor1_peer_asn</vt:lpstr>
      <vt:lpstr>cluster_az2_tor1_peer_ip</vt:lpstr>
      <vt:lpstr>cluster_az2_tor2_peer_asn</vt:lpstr>
      <vt:lpstr>cluster_az2_tor2_peer_ip</vt:lpstr>
      <vt:lpstr>cluster_az2_vmotion_cidr</vt:lpstr>
      <vt:lpstr>cluster_az2_vmotion_gateway_ip</vt:lpstr>
      <vt:lpstr>cluster_az2_vmotion_mask</vt:lpstr>
      <vt:lpstr>cluster_az2_vmotion_mtu</vt:lpstr>
      <vt:lpstr>cluster_az2_vmotion_network</vt:lpstr>
      <vt:lpstr>cluster_az2_vmotion_pool_end_ip</vt:lpstr>
      <vt:lpstr>cluster_az2_vmotion_pool_start_ip</vt:lpstr>
      <vt:lpstr>cluster_az2_vmotion_vlan</vt:lpstr>
      <vt:lpstr>cluster_chosen</vt:lpstr>
      <vt:lpstr>cluster_cl01_vds_copy_profile_chosen</vt:lpstr>
      <vt:lpstr>cluster_cluster_sddc_id</vt:lpstr>
      <vt:lpstr>cluster_compute_hosts_per_rack_chosen</vt:lpstr>
      <vt:lpstr>cluster_compute_hosts_per_rack_result</vt:lpstr>
      <vt:lpstr>cluster_datacenter</vt:lpstr>
      <vt:lpstr>cluster_domain_name</vt:lpstr>
      <vt:lpstr>cluster_esx_root_password</vt:lpstr>
      <vt:lpstr>cluster_esx_root_username</vt:lpstr>
      <vt:lpstr>cluster_host_overlay_addressing_chosen</vt:lpstr>
      <vt:lpstr>cluster_host_overlay_transportzone</vt:lpstr>
      <vt:lpstr>cluster_image_name</vt:lpstr>
      <vt:lpstr>cluster_multi_rack_count_chosen</vt:lpstr>
      <vt:lpstr>cluster_multi_rack_count_result</vt:lpstr>
      <vt:lpstr>cluster_name</vt:lpstr>
      <vt:lpstr>cluster_nfs_datastore_name</vt:lpstr>
      <vt:lpstr>cluster_nfs_server_address</vt:lpstr>
      <vt:lpstr>cluster_nfs_share_path</vt:lpstr>
      <vt:lpstr>cluster_nsx_default_operation_mode_chosen</vt:lpstr>
      <vt:lpstr>cluster_nsx_operation_mode_chosen</vt:lpstr>
      <vt:lpstr>cluster_nsx_overlay_transport_zone_chosen</vt:lpstr>
      <vt:lpstr>cluster_nsx_vlan_transport_zone_chosen</vt:lpstr>
      <vt:lpstr>cluster_nsx_vlan_transport_zone_name</vt:lpstr>
      <vt:lpstr>cluster_nsxt_vip_fqdn</vt:lpstr>
      <vt:lpstr>cluster_principal_storage_chosen</vt:lpstr>
      <vt:lpstr>cluster_principal_storage_result</vt:lpstr>
      <vt:lpstr>cluster_result</vt:lpstr>
      <vt:lpstr>cluster_secondary_storage_chosen</vt:lpstr>
      <vt:lpstr>cluster_secondary_storage_result</vt:lpstr>
      <vt:lpstr>cluster_storage_cluster_name</vt:lpstr>
      <vt:lpstr>cluster_stretched_cluster_chosen</vt:lpstr>
      <vt:lpstr>cluster_stretched_cluster_result</vt:lpstr>
      <vt:lpstr>cluster_vc_fqdn</vt:lpstr>
      <vt:lpstr>cluster_vds_profile_chosen</vt:lpstr>
      <vt:lpstr>cluster_vds01_lacp_mode_chosen</vt:lpstr>
      <vt:lpstr>cluster_vds01_lacp_timeout_chosen</vt:lpstr>
      <vt:lpstr>cluster_vds01_lag_lbt_chosen</vt:lpstr>
      <vt:lpstr>cluster_vds01_lag_name</vt:lpstr>
      <vt:lpstr>cluster_vds01_link_type_chosen</vt:lpstr>
      <vt:lpstr>cluster_vds01_mtu</vt:lpstr>
      <vt:lpstr>cluster_vds01_name</vt:lpstr>
      <vt:lpstr>cluster_vds01_pnics</vt:lpstr>
      <vt:lpstr>cluster_vds01_traffic_type</vt:lpstr>
      <vt:lpstr>cluster_vds01_uplink_count</vt:lpstr>
      <vt:lpstr>cluster_vds02_lacp_mode_chosen</vt:lpstr>
      <vt:lpstr>cluster_vds02_lacp_timeout_chosen</vt:lpstr>
      <vt:lpstr>cluster_vds02_lag_lbt_chosen</vt:lpstr>
      <vt:lpstr>cluster_vds02_lag_name</vt:lpstr>
      <vt:lpstr>cluster_vds02_link_type_chosen</vt:lpstr>
      <vt:lpstr>cluster_vds02_mtu</vt:lpstr>
      <vt:lpstr>cluster_vds02_name</vt:lpstr>
      <vt:lpstr>cluster_vds02_pnics</vt:lpstr>
      <vt:lpstr>cluster_vds02_traffic_type</vt:lpstr>
      <vt:lpstr>cluster_vds02_uplink_count</vt:lpstr>
      <vt:lpstr>cluster_vds03_lacp_mode_chosen</vt:lpstr>
      <vt:lpstr>cluster_vds03_lacp_timeout_chosen</vt:lpstr>
      <vt:lpstr>cluster_vds03_lag_lbt_chosen</vt:lpstr>
      <vt:lpstr>cluster_vds03_lag_name</vt:lpstr>
      <vt:lpstr>cluster_vds03_link_type_chosen</vt:lpstr>
      <vt:lpstr>cluster_vds03_mtu</vt:lpstr>
      <vt:lpstr>cluster_vds03_name</vt:lpstr>
      <vt:lpstr>cluster_vds03_pnics</vt:lpstr>
      <vt:lpstr>cluster_vds03_traffic_type</vt:lpstr>
      <vt:lpstr>cluster_vds03_uplink_count</vt:lpstr>
      <vt:lpstr>cluster_vmfs_datastore_name</vt:lpstr>
      <vt:lpstr>cluster_vsan_client_network</vt:lpstr>
      <vt:lpstr>cluster_vsan_compute_fault_domain_mapping_chosen</vt:lpstr>
      <vt:lpstr>cluster_vsan_compute_network_topology_chosen</vt:lpstr>
      <vt:lpstr>cluster_vsan_datastore</vt:lpstr>
      <vt:lpstr>cluster_vsan_dedupe_compression_chosen</vt:lpstr>
      <vt:lpstr>cluster_vsan_ftt_chosen</vt:lpstr>
      <vt:lpstr>cluster_vsan_type</vt:lpstr>
      <vt:lpstr>cluster_witness_cluster</vt:lpstr>
      <vt:lpstr>cluster_witness_dns1_ip</vt:lpstr>
      <vt:lpstr>cluster_witness_dns2_ip</vt:lpstr>
      <vt:lpstr>cluster_witness_fqdn</vt:lpstr>
      <vt:lpstr>cluster_witness_hostname</vt:lpstr>
      <vt:lpstr>cluster_witness_ip</vt:lpstr>
      <vt:lpstr>cluster_witness_mgmt_pg</vt:lpstr>
      <vt:lpstr>cluster_witness_ntp1_server</vt:lpstr>
      <vt:lpstr>cluster_witness_ntp2_server</vt:lpstr>
      <vt:lpstr>cluster_witness_vm_folder</vt:lpstr>
      <vt:lpstr>cluster_witness_vsan_datastore</vt:lpstr>
      <vt:lpstr>cluster_witness_zone_vc_fqdn</vt:lpstr>
      <vt:lpstr>cluster_witnessaz_mgmt_cidr</vt:lpstr>
      <vt:lpstr>cluster_witnessaz_mgmt_gateway_ip</vt:lpstr>
      <vt:lpstr>cluster_witnessaz_mgmt_mask</vt:lpstr>
      <vt:lpstr>cluster_witnessaz_mgmt_mtu</vt:lpstr>
      <vt:lpstr>cluster_witnessaz_mgmt_vlan</vt:lpstr>
      <vt:lpstr>cluster_wld_domain_chosen</vt:lpstr>
      <vt:lpstr>deployment_type_vcf</vt:lpstr>
      <vt:lpstr>deployment_type_vvf</vt:lpstr>
      <vt:lpstr>domain_controller_hostname</vt:lpstr>
      <vt:lpstr>dri_dns_servers</vt:lpstr>
      <vt:lpstr>dri_ec_name</vt:lpstr>
      <vt:lpstr>dri_k8s_server_address</vt:lpstr>
      <vt:lpstr>dri_k8s_size_hint</vt:lpstr>
      <vt:lpstr>dri_load_balancer_ge</vt:lpstr>
      <vt:lpstr>dri_load_balancer_le</vt:lpstr>
      <vt:lpstr>dri_network_address_range_size</vt:lpstr>
      <vt:lpstr>dri_network_mode</vt:lpstr>
      <vt:lpstr>dri_nsxt_vip_fqdn</vt:lpstr>
      <vt:lpstr>dri_ntp_servers</vt:lpstr>
      <vt:lpstr>dri_overlay_transport_zone</vt:lpstr>
      <vt:lpstr>dri_sddc_domain</vt:lpstr>
      <vt:lpstr>dri_tier0_name</vt:lpstr>
      <vt:lpstr>dri_vcenter_cluster</vt:lpstr>
      <vt:lpstr>dri_vcenter_datacenter</vt:lpstr>
      <vt:lpstr>dri_vcenter_fqdn</vt:lpstr>
      <vt:lpstr>dri_vcenter_vds_name</vt:lpstr>
      <vt:lpstr>dri_vcenter_vsan_datastore</vt:lpstr>
      <vt:lpstr>esxi_root_password</vt:lpstr>
      <vt:lpstr>first_domain_mgmt_only_viable</vt:lpstr>
      <vt:lpstr>first_domain_mgmt_vi_viable</vt:lpstr>
      <vt:lpstr>First_Instance</vt:lpstr>
      <vt:lpstr>flt_auto_node_pool_end_ip</vt:lpstr>
      <vt:lpstr>flt_auto_node_pool_start_ip</vt:lpstr>
      <vt:lpstr>flt_auto_sr_fqdn</vt:lpstr>
      <vt:lpstr>flt_auto_sr_ip</vt:lpstr>
      <vt:lpstr>flt_custom_management_cidr</vt:lpstr>
      <vt:lpstr>flt_custom_management_gateway_ip</vt:lpstr>
      <vt:lpstr>flt_custom_management_mask</vt:lpstr>
      <vt:lpstr>flt_custom_management_mtu</vt:lpstr>
      <vt:lpstr>flt_custom_management_network</vt:lpstr>
      <vt:lpstr>flt_custom_management_vlan</vt:lpstr>
      <vt:lpstr>flt_custom_network_auto_admin_password</vt:lpstr>
      <vt:lpstr>flt_custom_network_auto_cluster_cidr_chosen</vt:lpstr>
      <vt:lpstr>flt_custom_network_auto_nodea_ip</vt:lpstr>
      <vt:lpstr>flt_custom_network_auto_nodeb_ip</vt:lpstr>
      <vt:lpstr>flt_custom_network_auto_nodec_ip</vt:lpstr>
      <vt:lpstr>flt_custom_network_auto_noded_ip</vt:lpstr>
      <vt:lpstr>flt_custom_network_auto_nodee_ip</vt:lpstr>
      <vt:lpstr>flt_custom_network_auto_nodef_ip</vt:lpstr>
      <vt:lpstr>flt_custom_network_auto_prefix</vt:lpstr>
      <vt:lpstr>flt_custom_network_auto_vip_fqdn</vt:lpstr>
      <vt:lpstr>flt_custom_network_auto_vip_ip</vt:lpstr>
      <vt:lpstr>flt_custom_network_chosen</vt:lpstr>
      <vt:lpstr>flt_custom_network_flt_admin_password</vt:lpstr>
      <vt:lpstr>flt_custom_network_flt_existing_chosen</vt:lpstr>
      <vt:lpstr>flt_custom_network_flt_fqdn</vt:lpstr>
      <vt:lpstr>flt_custom_network_flt_ip</vt:lpstr>
      <vt:lpstr>flt_custom_network_flt_root_password</vt:lpstr>
      <vt:lpstr>flt_custom_network_ha_mode_chosen</vt:lpstr>
      <vt:lpstr>flt_custom_network_local_reg_gateway_ip</vt:lpstr>
      <vt:lpstr>flt_custom_network_local_reg_mask</vt:lpstr>
      <vt:lpstr>flt_custom_network_local_reg_pg</vt:lpstr>
      <vt:lpstr>flt_custom_network_ops_admin_password</vt:lpstr>
      <vt:lpstr>flt_custom_network_ops_collector_fqdn</vt:lpstr>
      <vt:lpstr>flt_custom_network_ops_collector_ip</vt:lpstr>
      <vt:lpstr>flt_custom_network_ops_collector_root_password</vt:lpstr>
      <vt:lpstr>flt_custom_network_ops_collector_size_chosen</vt:lpstr>
      <vt:lpstr>flt_custom_network_ops_collector_version</vt:lpstr>
      <vt:lpstr>flt_custom_network_ops_existing_chosen</vt:lpstr>
      <vt:lpstr>flt_custom_network_ops_nodea_fqdn</vt:lpstr>
      <vt:lpstr>flt_custom_network_ops_nodea_ip</vt:lpstr>
      <vt:lpstr>flt_custom_network_ops_nodeb_fqdn</vt:lpstr>
      <vt:lpstr>flt_custom_network_ops_nodeb_ip</vt:lpstr>
      <vt:lpstr>flt_custom_network_ops_nodec_fqdn</vt:lpstr>
      <vt:lpstr>flt_custom_network_ops_nodec_ip</vt:lpstr>
      <vt:lpstr>flt_custom_network_ops_root_password</vt:lpstr>
      <vt:lpstr>flt_custom_network_ops_size_chosen</vt:lpstr>
      <vt:lpstr>flt_custom_network_ops_vip_ip</vt:lpstr>
      <vt:lpstr>flt_custom_network_result</vt:lpstr>
      <vt:lpstr>flt_custom_network_vcf_ops_automation_chosen</vt:lpstr>
      <vt:lpstr>flt_custom_network_vcf_ops_automation_result</vt:lpstr>
      <vt:lpstr>flt_custom_network_x_reg_gateway_ip</vt:lpstr>
      <vt:lpstr>flt_custom_network_x_reg_mask</vt:lpstr>
      <vt:lpstr>flt_custom_network_x_reg_pg</vt:lpstr>
      <vt:lpstr>flt_fc_fqdn</vt:lpstr>
      <vt:lpstr>flt_fc_ip</vt:lpstr>
      <vt:lpstr>flt_ic_fqdn</vt:lpstr>
      <vt:lpstr>flt_ic_ip</vt:lpstr>
      <vt:lpstr>flt_lc_fqdn</vt:lpstr>
      <vt:lpstr>flt_lc_ip</vt:lpstr>
      <vt:lpstr>flt_logs_admin_email</vt:lpstr>
      <vt:lpstr>flt_logs_admin_password</vt:lpstr>
      <vt:lpstr>flt_logs_admin_password_alias</vt:lpstr>
      <vt:lpstr>flt_logs_admin_password_description</vt:lpstr>
      <vt:lpstr>flt_logs_admin_username</vt:lpstr>
      <vt:lpstr>flt_logs_affinty_rule_chosen</vt:lpstr>
      <vt:lpstr>flt_logs_cert_alias</vt:lpstr>
      <vt:lpstr>flt_logs_cert_country_code</vt:lpstr>
      <vt:lpstr>flt_logs_cert_ip_addresses</vt:lpstr>
      <vt:lpstr>flt_logs_cert_key_length_chosen</vt:lpstr>
      <vt:lpstr>flt_logs_cert_locality</vt:lpstr>
      <vt:lpstr>flt_logs_cert_organisation</vt:lpstr>
      <vt:lpstr>flt_logs_cert_state</vt:lpstr>
      <vt:lpstr>flt_logs_cert_type_chosen</vt:lpstr>
      <vt:lpstr>flt_logs_chosen</vt:lpstr>
      <vt:lpstr>flt_logs_cluster</vt:lpstr>
      <vt:lpstr>flt_logs_common_name</vt:lpstr>
      <vt:lpstr>flt_logs_configure_vip_chosen</vt:lpstr>
      <vt:lpstr>flt_logs_datastore</vt:lpstr>
      <vt:lpstr>flt_logs_disk_mode_chosen</vt:lpstr>
      <vt:lpstr>flt_logs_fips_mode_chosen</vt:lpstr>
      <vt:lpstr>flt_logs_folder</vt:lpstr>
      <vt:lpstr>flt_logs_gateway_ip</vt:lpstr>
      <vt:lpstr>flt_logs_ha_mode_chosen</vt:lpstr>
      <vt:lpstr>flt_logs_install_type_chosen</vt:lpstr>
      <vt:lpstr>flt_logs_install_version</vt:lpstr>
      <vt:lpstr>flt_logs_mask</vt:lpstr>
      <vt:lpstr>flt_logs_node_size_chosen</vt:lpstr>
      <vt:lpstr>flt_logs_nodea_fqdn</vt:lpstr>
      <vt:lpstr>flt_logs_nodea_hostname</vt:lpstr>
      <vt:lpstr>flt_logs_nodea_ip</vt:lpstr>
      <vt:lpstr>flt_logs_nodeb_fqdn</vt:lpstr>
      <vt:lpstr>flt_logs_nodeb_hostname</vt:lpstr>
      <vt:lpstr>flt_logs_nodeb_ip</vt:lpstr>
      <vt:lpstr>flt_logs_nodec_fqdn</vt:lpstr>
      <vt:lpstr>flt_logs_nodec_hostname</vt:lpstr>
      <vt:lpstr>flt_logs_nodec_ip</vt:lpstr>
      <vt:lpstr>flt_logs_ou_cert</vt:lpstr>
      <vt:lpstr>flt_logs_portgroup</vt:lpstr>
      <vt:lpstr>flt_logs_resource_pool</vt:lpstr>
      <vt:lpstr>flt_logs_result</vt:lpstr>
      <vt:lpstr>flt_logs_root_password</vt:lpstr>
      <vt:lpstr>flt_logs_root_password_alias</vt:lpstr>
      <vt:lpstr>flt_logs_root_password_description</vt:lpstr>
      <vt:lpstr>flt_logs_root_username</vt:lpstr>
      <vt:lpstr>flt_logs_time_sync_mode</vt:lpstr>
      <vt:lpstr>flt_logs_time_sync_mode_chosen</vt:lpstr>
      <vt:lpstr>flt_logs_upgrade_vm_compatabilty_chosen</vt:lpstr>
      <vt:lpstr>flt_logs_use_english_chosen</vt:lpstr>
      <vt:lpstr>flt_logs_vcenter_fqdn</vt:lpstr>
      <vt:lpstr>flt_logs_vip_fqdn</vt:lpstr>
      <vt:lpstr>flt_logs_vip_ip</vt:lpstr>
      <vt:lpstr>flt_net_admin_password</vt:lpstr>
      <vt:lpstr>flt_net_admin_password_alias</vt:lpstr>
      <vt:lpstr>flt_net_admin_password_description</vt:lpstr>
      <vt:lpstr>flt_net_admin_username</vt:lpstr>
      <vt:lpstr>flt_net_affinty_rule_chosen</vt:lpstr>
      <vt:lpstr>flt_net_cert_alias</vt:lpstr>
      <vt:lpstr>flt_net_cert_country_code</vt:lpstr>
      <vt:lpstr>flt_net_cert_key_length_chosen</vt:lpstr>
      <vt:lpstr>flt_net_cert_locality</vt:lpstr>
      <vt:lpstr>flt_net_cert_organisation</vt:lpstr>
      <vt:lpstr>flt_net_cert_state</vt:lpstr>
      <vt:lpstr>flt_net_cert_type_chosen</vt:lpstr>
      <vt:lpstr>flt_net_chosen</vt:lpstr>
      <vt:lpstr>flt_net_cluster</vt:lpstr>
      <vt:lpstr>flt_net_common_name</vt:lpstr>
      <vt:lpstr>flt_net_console_password</vt:lpstr>
      <vt:lpstr>flt_net_datastore</vt:lpstr>
      <vt:lpstr>flt_net_disk_mode_chosen</vt:lpstr>
      <vt:lpstr>flt_net_fips_mode_chosen</vt:lpstr>
      <vt:lpstr>flt_net_folder</vt:lpstr>
      <vt:lpstr>flt_net_ha_mode_chosen</vt:lpstr>
      <vt:lpstr>flt_net_install_type_chosen</vt:lpstr>
      <vt:lpstr>flt_net_install_version</vt:lpstr>
      <vt:lpstr>flt_net_integrate_auth_chosen</vt:lpstr>
      <vt:lpstr>flt_net_node_gateway_ip</vt:lpstr>
      <vt:lpstr>flt_net_node_mask</vt:lpstr>
      <vt:lpstr>flt_net_node_portgroup</vt:lpstr>
      <vt:lpstr>flt_net_nodea_fqdn</vt:lpstr>
      <vt:lpstr>flt_net_nodea_hostname</vt:lpstr>
      <vt:lpstr>flt_net_nodea_ip</vt:lpstr>
      <vt:lpstr>flt_net_nodea_size_chosen</vt:lpstr>
      <vt:lpstr>flt_net_nodeb_fqdn</vt:lpstr>
      <vt:lpstr>flt_net_nodeb_hostname</vt:lpstr>
      <vt:lpstr>flt_net_nodeb_ip</vt:lpstr>
      <vt:lpstr>flt_net_nodeb_size_chosen</vt:lpstr>
      <vt:lpstr>flt_net_nodec_fqdn</vt:lpstr>
      <vt:lpstr>flt_net_nodec_hostname</vt:lpstr>
      <vt:lpstr>flt_net_nodec_ip</vt:lpstr>
      <vt:lpstr>flt_net_nodec_size_chosen</vt:lpstr>
      <vt:lpstr>flt_net_ou_cert</vt:lpstr>
      <vt:lpstr>flt_net_platform_password</vt:lpstr>
      <vt:lpstr>flt_net_prxy_fqdn</vt:lpstr>
      <vt:lpstr>flt_net_prxy_gateway_ip</vt:lpstr>
      <vt:lpstr>flt_net_prxy_hostname</vt:lpstr>
      <vt:lpstr>flt_net_prxy_ip</vt:lpstr>
      <vt:lpstr>flt_net_prxy_mask</vt:lpstr>
      <vt:lpstr>flt_net_prxy_portgroup</vt:lpstr>
      <vt:lpstr>flt_net_prxy_size_chosen</vt:lpstr>
      <vt:lpstr>flt_net_resource_pool</vt:lpstr>
      <vt:lpstr>flt_net_result</vt:lpstr>
      <vt:lpstr>flt_net_support_password</vt:lpstr>
      <vt:lpstr>flt_net_time_sync_mode_chosen</vt:lpstr>
      <vt:lpstr>flt_net_vcenter_fqdn</vt:lpstr>
      <vt:lpstr>flt_net_vcenter_list</vt:lpstr>
      <vt:lpstr>flt_sr_fqdn</vt:lpstr>
      <vt:lpstr>flt_sr_ip</vt:lpstr>
      <vt:lpstr>flt_vcfms_node_pool_end_ip</vt:lpstr>
      <vt:lpstr>flt_vcfms_node_pool_start_ip</vt:lpstr>
      <vt:lpstr>flt_vidb_additional_vips</vt:lpstr>
      <vt:lpstr>flt_vidb_base_dn</vt:lpstr>
      <vt:lpstr>flt_vidb_bind_password</vt:lpstr>
      <vt:lpstr>flt_vidb_bind_username</vt:lpstr>
      <vt:lpstr>flt_vidb_cert_alias</vt:lpstr>
      <vt:lpstr>flt_vidb_cert_common_name</vt:lpstr>
      <vt:lpstr>flt_vidb_cert_country_code</vt:lpstr>
      <vt:lpstr>flt_vidb_cert_key_length_chosen</vt:lpstr>
      <vt:lpstr>flt_vidb_cert_locality</vt:lpstr>
      <vt:lpstr>flt_vidb_cert_organisation</vt:lpstr>
      <vt:lpstr>flt_vidb_cert_state</vt:lpstr>
      <vt:lpstr>flt_vidb_cert_type_chosen</vt:lpstr>
      <vt:lpstr>flt_vidb_chosen</vt:lpstr>
      <vt:lpstr>flt_vidb_cluster</vt:lpstr>
      <vt:lpstr>flt_vidb_datastore</vt:lpstr>
      <vt:lpstr>flt_vidb_deployment_mode</vt:lpstr>
      <vt:lpstr>flt_vidb_directory_name</vt:lpstr>
      <vt:lpstr>flt_vidb_directory_search_chosen</vt:lpstr>
      <vt:lpstr>flt_vidb_distinguished_name</vt:lpstr>
      <vt:lpstr>flt_vidb_employeeID</vt:lpstr>
      <vt:lpstr>flt_vidb_encrypted_cert</vt:lpstr>
      <vt:lpstr>flt_vidb_encrypted_connection_chosen</vt:lpstr>
      <vt:lpstr>flt_vidb_first_name</vt:lpstr>
      <vt:lpstr>flt_vidb_folder</vt:lpstr>
      <vt:lpstr>flt_vidb_gateway_ip</vt:lpstr>
      <vt:lpstr>flt_vidb_global_catalog_chosen</vt:lpstr>
      <vt:lpstr>flt_vidb_group_base_dn</vt:lpstr>
      <vt:lpstr>flt_vidb_hostname</vt:lpstr>
      <vt:lpstr>flt_vidb_identity_provider_chosen</vt:lpstr>
      <vt:lpstr>flt_vidb_internal_cidr_chosen</vt:lpstr>
      <vt:lpstr>flt_vidb_last_name</vt:lpstr>
      <vt:lpstr>flt_vidb_mail</vt:lpstr>
      <vt:lpstr>flt_vidb_mask</vt:lpstr>
      <vt:lpstr>flt_vidb_node_prefix</vt:lpstr>
      <vt:lpstr>flt_vidb_nodea_ip</vt:lpstr>
      <vt:lpstr>flt_vidb_nodeb_ip</vt:lpstr>
      <vt:lpstr>flt_vidb_nodec_ip</vt:lpstr>
      <vt:lpstr>flt_vidb_noded_ip</vt:lpstr>
      <vt:lpstr>flt_vidb_ou_cert</vt:lpstr>
      <vt:lpstr>flt_vidb_password</vt:lpstr>
      <vt:lpstr>flt_vidb_password_alias</vt:lpstr>
      <vt:lpstr>flt_vidb_password_description</vt:lpstr>
      <vt:lpstr>flt_vidb_pg</vt:lpstr>
      <vt:lpstr>flt_vidb_primary_domain_controller</vt:lpstr>
      <vt:lpstr>flt_vidb_primary_domain_controller_port</vt:lpstr>
      <vt:lpstr>flt_vidb_resource_pool</vt:lpstr>
      <vt:lpstr>flt_vidb_result</vt:lpstr>
      <vt:lpstr>flt_vidb_root_username</vt:lpstr>
      <vt:lpstr>flt_vidb_secondary_domain_controller</vt:lpstr>
      <vt:lpstr>flt_vidb_secondary_domain_controller_port</vt:lpstr>
      <vt:lpstr>flt_vidb_server_location_chosen</vt:lpstr>
      <vt:lpstr>flt_vidb_size_chosen</vt:lpstr>
      <vt:lpstr>flt_vidb_system_user_alias</vt:lpstr>
      <vt:lpstr>flt_vidb_system_user_description</vt:lpstr>
      <vt:lpstr>flt_vidb_system_user_password</vt:lpstr>
      <vt:lpstr>flt_vidb_time_sync_mode_chosen</vt:lpstr>
      <vt:lpstr>flt_vidb_type_chosen</vt:lpstr>
      <vt:lpstr>flt_vidb_user_base_dn</vt:lpstr>
      <vt:lpstr>flt_vidb_user_name</vt:lpstr>
      <vt:lpstr>flt_vidb_user_principal_name</vt:lpstr>
      <vt:lpstr>flt_vidb_vcenter_fqdn</vt:lpstr>
      <vt:lpstr>flt_vidb_version</vt:lpstr>
      <vt:lpstr>flt_vidb_vip_fqdn</vt:lpstr>
      <vt:lpstr>flt_vidb_vip_ip</vt:lpstr>
      <vt:lpstr>global_env_admin_password</vt:lpstr>
      <vt:lpstr>global_env_admin_password_alias</vt:lpstr>
      <vt:lpstr>global_env_admin_username</vt:lpstr>
      <vt:lpstr>group_gg_kub_admins</vt:lpstr>
      <vt:lpstr>group_gg_kub_readonly</vt:lpstr>
      <vt:lpstr>group_gg_nsx_auditors</vt:lpstr>
      <vt:lpstr>group_gg_nsx_enterprise_admins</vt:lpstr>
      <vt:lpstr>group_gg_nsx_network_admins</vt:lpstr>
      <vt:lpstr>group_gg_sso_admins</vt:lpstr>
      <vt:lpstr>group_gg_vc_admins</vt:lpstr>
      <vt:lpstr>group_gg_vc_read_only</vt:lpstr>
      <vt:lpstr>group_gg_vcf_admins</vt:lpstr>
      <vt:lpstr>group_gg_vcf_operators</vt:lpstr>
      <vt:lpstr>group_gg_vcf_viewers</vt:lpstr>
      <vt:lpstr>group_gg_vra_cloud_assembly_admins</vt:lpstr>
      <vt:lpstr>group_gg_vra_cloud_assembly_users</vt:lpstr>
      <vt:lpstr>group_gg_vra_cloud_assembly_viewers</vt:lpstr>
      <vt:lpstr>group_gg_vra_orchestrator_viewers</vt:lpstr>
      <vt:lpstr>group_gg_vra_org_owners</vt:lpstr>
      <vt:lpstr>group_gg_vra_project_admins_sample</vt:lpstr>
      <vt:lpstr>group_gg_vra_project_users_sample</vt:lpstr>
      <vt:lpstr>group_gg_vrli_admins</vt:lpstr>
      <vt:lpstr>group_gg_vrli_users</vt:lpstr>
      <vt:lpstr>group_gg_vrli_viewers</vt:lpstr>
      <vt:lpstr>group_gg_vrops_admins</vt:lpstr>
      <vt:lpstr>group_gg_vrops_content_admins</vt:lpstr>
      <vt:lpstr>group_gg_vrops_read_only</vt:lpstr>
      <vt:lpstr>group_gg_vrslcm_admins</vt:lpstr>
      <vt:lpstr>group_gg_vrslcm_content_developers</vt:lpstr>
      <vt:lpstr>group_gg_vrslcm_release_managers</vt:lpstr>
      <vt:lpstr>group_parent_gg_wsa_admins</vt:lpstr>
      <vt:lpstr>group_parent_gg_wsa_directory_admins</vt:lpstr>
      <vt:lpstr>group_parent_gg_wsa_read_only</vt:lpstr>
      <vt:lpstr>input_administrator_vsphere_local_password</vt:lpstr>
      <vt:lpstr>input_air_GPU_network_operator_namespace</vt:lpstr>
      <vt:lpstr>input_air_GPU_operator_namespace</vt:lpstr>
      <vt:lpstr>input_air_GPU_VM_class</vt:lpstr>
      <vt:lpstr>input_air_license</vt:lpstr>
      <vt:lpstr>input_avilb_root_password</vt:lpstr>
      <vt:lpstr>input_ca_administrator_password</vt:lpstr>
      <vt:lpstr>input_ca_administrator_username</vt:lpstr>
      <vt:lpstr>input_ca_algorithm</vt:lpstr>
      <vt:lpstr>input_ca_country</vt:lpstr>
      <vt:lpstr>input_ca_email_address</vt:lpstr>
      <vt:lpstr>input_ca_key_size</vt:lpstr>
      <vt:lpstr>input_ca_locality</vt:lpstr>
      <vt:lpstr>input_ca_organization</vt:lpstr>
      <vt:lpstr>input_ca_organization_unit</vt:lpstr>
      <vt:lpstr>input_ca_state</vt:lpstr>
      <vt:lpstr>input_ca_template_name</vt:lpstr>
      <vt:lpstr>input_cbr_aria_logs_key</vt:lpstr>
      <vt:lpstr>input_cbr_aria_logs_url</vt:lpstr>
      <vt:lpstr>input_cbr_firewall_group</vt:lpstr>
      <vt:lpstr>input_cbr_firewall_ip_addresses</vt:lpstr>
      <vt:lpstr>input_cbr_firewall_rule_vcenter</vt:lpstr>
      <vt:lpstr>input_cbr_recovery_host_count</vt:lpstr>
      <vt:lpstr>input_cbr_recovery_host_type</vt:lpstr>
      <vt:lpstr>input_cbr_recovery_management_subnet</vt:lpstr>
      <vt:lpstr>input_cbr_recovery_region</vt:lpstr>
      <vt:lpstr>input_cbr_recovery_sddc_name</vt:lpstr>
      <vt:lpstr>input_cbr_recovery_subnet</vt:lpstr>
      <vt:lpstr>input_cbr_recovery_vpc</vt:lpstr>
      <vt:lpstr>input_cbr_vcdr_anti_affinity</vt:lpstr>
      <vt:lpstr>input_cbr_vcdr_cdp1_hostname</vt:lpstr>
      <vt:lpstr>input_cbr_vcdr_cdp1_ip</vt:lpstr>
      <vt:lpstr>input_cbr_vcdr_cdp2_hostname</vt:lpstr>
      <vt:lpstr>input_cbr_vcdr_cdp2_ip</vt:lpstr>
      <vt:lpstr>input_cbr_vcdr_cloud_file_system</vt:lpstr>
      <vt:lpstr>input_cbr_vcdr_email_recipient</vt:lpstr>
      <vt:lpstr>input_cbr_vcdr_email_sender</vt:lpstr>
      <vt:lpstr>input_cbr_vcdr_label</vt:lpstr>
      <vt:lpstr>input_cbr_vcdr_orchestrator_fqdn</vt:lpstr>
      <vt:lpstr>input_cbr_vcdr_ova</vt:lpstr>
      <vt:lpstr>input_cbr_vcdr_passcode</vt:lpstr>
      <vt:lpstr>input_cbr_vcdr_site_name</vt:lpstr>
      <vt:lpstr>input_cbr_vcdr_timezone</vt:lpstr>
      <vt:lpstr>input_cbr_vcdr_vsphere_role</vt:lpstr>
      <vt:lpstr>input_cbr_vm_folder</vt:lpstr>
      <vt:lpstr>input_cbw_hcx_cdp_fqdn</vt:lpstr>
      <vt:lpstr>input_ccm_aws_admin_password</vt:lpstr>
      <vt:lpstr>input_ccm_aws_admin_ssouser</vt:lpstr>
      <vt:lpstr>input_ccm_aws_host_count</vt:lpstr>
      <vt:lpstr>input_ccm_aws_host_type</vt:lpstr>
      <vt:lpstr>input_ccm_aws_management_subnet</vt:lpstr>
      <vt:lpstr>input_ccm_aws_region</vt:lpstr>
      <vt:lpstr>input_ccm_aws_sddc_name</vt:lpstr>
      <vt:lpstr>input_ccm_aws_subnet</vt:lpstr>
      <vt:lpstr>input_ccm_aws_vpc</vt:lpstr>
      <vt:lpstr>input_ccm_firewall_group</vt:lpstr>
      <vt:lpstr>input_ccm_firewall_ip_addresses</vt:lpstr>
      <vt:lpstr>input_ccm_firewall_rule_hcx</vt:lpstr>
      <vt:lpstr>input_ccm_firewall_rule_vcenter</vt:lpstr>
      <vt:lpstr>input_ccm_hcx_admin_password</vt:lpstr>
      <vt:lpstr>input_ccm_hcx_cdp_hostname</vt:lpstr>
      <vt:lpstr>input_ccm_hcx_cdp_ip</vt:lpstr>
      <vt:lpstr>input_ccm_hcx_compute_profile</vt:lpstr>
      <vt:lpstr>input_ccm_hcx_dc_location</vt:lpstr>
      <vt:lpstr>input_ccm_hcx_license</vt:lpstr>
      <vt:lpstr>input_ccm_hcx_mgmt_network_ip_range</vt:lpstr>
      <vt:lpstr>input_ccm_hcx_remote_url</vt:lpstr>
      <vt:lpstr>input_ccm_hcx_resource_pool</vt:lpstr>
      <vt:lpstr>input_ccm_hcx_root_password</vt:lpstr>
      <vt:lpstr>input_ccm_hcx_service_mesh</vt:lpstr>
      <vt:lpstr>input_ccm_hcx_vm_folder</vt:lpstr>
      <vt:lpstr>input_ccm_hcx_vmotion_network_ip_range</vt:lpstr>
      <vt:lpstr>input_ccm_hcx_vsphere_role</vt:lpstr>
      <vt:lpstr>input_ccm_vm_folder</vt:lpstr>
      <vt:lpstr>input_certificate_authority_fqdn</vt:lpstr>
      <vt:lpstr>input_certificate_authority_name</vt:lpstr>
      <vt:lpstr>input_child_ad_groups_ou</vt:lpstr>
      <vt:lpstr>input_child_ad_users_ou</vt:lpstr>
      <vt:lpstr>input_child_dns_zone</vt:lpstr>
      <vt:lpstr>input_child_svc_nsx_ad_password</vt:lpstr>
      <vt:lpstr>input_child_svc_nsx_ad_user</vt:lpstr>
      <vt:lpstr>input_child_svc_vsphere_ad_password</vt:lpstr>
      <vt:lpstr>input_child_svc_vsphere_ad_user</vt:lpstr>
      <vt:lpstr>input_cluster_az1_host_overlay_cidr</vt:lpstr>
      <vt:lpstr>input_cluster_az1_host_overlay_gateway_ip</vt:lpstr>
      <vt:lpstr>input_cluster_az1_host_overlay_network_pool_description</vt:lpstr>
      <vt:lpstr>input_cluster_az1_host_overlay_network_pool_name</vt:lpstr>
      <vt:lpstr>input_cluster_az1_host_overlay_network_profile_name</vt:lpstr>
      <vt:lpstr>input_cluster_az1_host_overlay_pool_end_ip</vt:lpstr>
      <vt:lpstr>input_cluster_az1_host_overlay_pool_start_ip</vt:lpstr>
      <vt:lpstr>input_cluster_az1_host_overlay_uplink_profile_name</vt:lpstr>
      <vt:lpstr>input_cluster_az1_host_overlay_vlan</vt:lpstr>
      <vt:lpstr>input_cluster_az1_host1_fqdn</vt:lpstr>
      <vt:lpstr>input_cluster_az1_host1_mgmt_ip</vt:lpstr>
      <vt:lpstr>input_cluster_az1_host10_fqdn</vt:lpstr>
      <vt:lpstr>input_cluster_az1_host10_mgmt_ip</vt:lpstr>
      <vt:lpstr>input_cluster_az1_host11_fqdn</vt:lpstr>
      <vt:lpstr>input_cluster_az1_host11_mgmt_ip</vt:lpstr>
      <vt:lpstr>input_cluster_az1_host12_fqdn</vt:lpstr>
      <vt:lpstr>input_cluster_az1_host12_mgmt_ip</vt:lpstr>
      <vt:lpstr>input_cluster_az1_host13_fqdn</vt:lpstr>
      <vt:lpstr>input_cluster_az1_host13_mgmt_ip</vt:lpstr>
      <vt:lpstr>input_cluster_az1_host14_fqdn</vt:lpstr>
      <vt:lpstr>input_cluster_az1_host14_mgmt_ip</vt:lpstr>
      <vt:lpstr>input_cluster_az1_host15_fqdn</vt:lpstr>
      <vt:lpstr>input_cluster_az1_host15_mgmt_ip</vt:lpstr>
      <vt:lpstr>input_cluster_az1_host16_fqdn</vt:lpstr>
      <vt:lpstr>input_cluster_az1_host16_mgmt_ip</vt:lpstr>
      <vt:lpstr>input_cluster_az1_host2_fqdn</vt:lpstr>
      <vt:lpstr>input_cluster_az1_host2_mgmt_ip</vt:lpstr>
      <vt:lpstr>input_cluster_az1_host3_fqdn</vt:lpstr>
      <vt:lpstr>input_cluster_az1_host3_mgmt_ip</vt:lpstr>
      <vt:lpstr>input_cluster_az1_host4_fqdn</vt:lpstr>
      <vt:lpstr>input_cluster_az1_host4_mgmt_ip</vt:lpstr>
      <vt:lpstr>input_cluster_az1_host5_fqdn</vt:lpstr>
      <vt:lpstr>input_cluster_az1_host5_mgmt_ip</vt:lpstr>
      <vt:lpstr>input_cluster_az1_host6_fqdn</vt:lpstr>
      <vt:lpstr>input_cluster_az1_host6_mgmt_ip</vt:lpstr>
      <vt:lpstr>input_cluster_az1_host7_fqdn</vt:lpstr>
      <vt:lpstr>input_cluster_az1_host7_mgmt_ip</vt:lpstr>
      <vt:lpstr>input_cluster_az1_host8_fqdn</vt:lpstr>
      <vt:lpstr>input_cluster_az1_host8_mgmt_ip</vt:lpstr>
      <vt:lpstr>input_cluster_az1_host9_fqdn</vt:lpstr>
      <vt:lpstr>input_cluster_az1_host9_mgmt_ip</vt:lpstr>
      <vt:lpstr>input_cluster_az1_mgmt_cidr</vt:lpstr>
      <vt:lpstr>input_cluster_az1_mgmt_gateway_ip</vt:lpstr>
      <vt:lpstr>input_cluster_az1_mgmt_mtu</vt:lpstr>
      <vt:lpstr>input_cluster_az1_mgmt_pg</vt:lpstr>
      <vt:lpstr>input_cluster_az1_mgmt_vlan</vt:lpstr>
      <vt:lpstr>input_cluster_az1_mgmt_vm_pg</vt:lpstr>
      <vt:lpstr>input_cluster_az1_nsx_uplink_count</vt:lpstr>
      <vt:lpstr>input_cluster_az1_nsx_uplink1</vt:lpstr>
      <vt:lpstr>input_cluster_az1_nsx_uplink1_active</vt:lpstr>
      <vt:lpstr>input_cluster_az1_nsx_uplink2</vt:lpstr>
      <vt:lpstr>input_cluster_az1_nsx_uplink2_active</vt:lpstr>
      <vt:lpstr>input_cluster_az1_pool_name</vt:lpstr>
      <vt:lpstr>input_cluster_az1_principal_storage_gateway_ip</vt:lpstr>
      <vt:lpstr>input_cluster_az1_principal_storage_mask</vt:lpstr>
      <vt:lpstr>input_cluster_az1_principal_storage_mtu</vt:lpstr>
      <vt:lpstr>input_cluster_az1_principal_storage_network</vt:lpstr>
      <vt:lpstr>input_cluster_az1_principal_storage_pg</vt:lpstr>
      <vt:lpstr>input_cluster_az1_principal_storage_pool_end_ip</vt:lpstr>
      <vt:lpstr>input_cluster_az1_principal_storage_pool_start_ip</vt:lpstr>
      <vt:lpstr>input_cluster_az1_principal_storage_vlan</vt:lpstr>
      <vt:lpstr>input_cluster_az1_secondary_storage_gateway_ip</vt:lpstr>
      <vt:lpstr>input_cluster_az1_secondary_storage_mask</vt:lpstr>
      <vt:lpstr>input_cluster_az1_secondary_storage_mtu</vt:lpstr>
      <vt:lpstr>input_cluster_az1_secondary_storage_network</vt:lpstr>
      <vt:lpstr>input_cluster_az1_secondary_storage_pool_end_ip</vt:lpstr>
      <vt:lpstr>input_cluster_az1_secondary_storage_pool_start_ip</vt:lpstr>
      <vt:lpstr>input_cluster_az1_secondary_storage_vlan</vt:lpstr>
      <vt:lpstr>input_cluster_az1_storage_cluster_gateway_ip</vt:lpstr>
      <vt:lpstr>input_cluster_az1_storage_cluster_mask</vt:lpstr>
      <vt:lpstr>input_cluster_az1_storage_cluster_mtu</vt:lpstr>
      <vt:lpstr>input_cluster_az1_storage_cluster_network</vt:lpstr>
      <vt:lpstr>input_cluster_az1_storage_cluster_pool_end_ip</vt:lpstr>
      <vt:lpstr>input_cluster_az1_storage_cluster_pool_start_ip</vt:lpstr>
      <vt:lpstr>input_cluster_az1_storage_cluster_vlan</vt:lpstr>
      <vt:lpstr>input_cluster_az1_vmotion_gateway_ip</vt:lpstr>
      <vt:lpstr>input_cluster_az1_vmotion_mask</vt:lpstr>
      <vt:lpstr>input_cluster_az1_vmotion_mtu</vt:lpstr>
      <vt:lpstr>input_cluster_az1_vmotion_network</vt:lpstr>
      <vt:lpstr>input_cluster_az1_vmotion_pg</vt:lpstr>
      <vt:lpstr>input_cluster_az1_vmotion_pool_end_ip</vt:lpstr>
      <vt:lpstr>input_cluster_az1_vmotion_pool_start_ip</vt:lpstr>
      <vt:lpstr>input_cluster_az1_vmotion_vlan</vt:lpstr>
      <vt:lpstr>input_cluster_az1_vsan_storage_client_pg</vt:lpstr>
      <vt:lpstr>input_cluster_az2_host_overlay_cidr</vt:lpstr>
      <vt:lpstr>input_cluster_az2_host_overlay_gateway_ip</vt:lpstr>
      <vt:lpstr>input_cluster_az2_host_overlay_gateway_mtu</vt:lpstr>
      <vt:lpstr>input_cluster_az2_host_overlay_network_pool_name</vt:lpstr>
      <vt:lpstr>input_cluster_az2_host_overlay_network_profile_name</vt:lpstr>
      <vt:lpstr>input_cluster_az2_host_overlay_pool_end_ip</vt:lpstr>
      <vt:lpstr>input_cluster_az2_host_overlay_pool_start_ip</vt:lpstr>
      <vt:lpstr>input_cluster_az2_host_overlay_uplink_profile_name</vt:lpstr>
      <vt:lpstr>input_cluster_az2_host_overlay_vlan</vt:lpstr>
      <vt:lpstr>input_cluster_az2_host1_fqdn</vt:lpstr>
      <vt:lpstr>input_cluster_az2_host1_mgmt_ip</vt:lpstr>
      <vt:lpstr>input_cluster_az2_host10_fqdn</vt:lpstr>
      <vt:lpstr>input_cluster_az2_host10_mgmt_ip</vt:lpstr>
      <vt:lpstr>input_cluster_az2_host11_fqdn</vt:lpstr>
      <vt:lpstr>input_cluster_az2_host11_mgmt_ip</vt:lpstr>
      <vt:lpstr>input_cluster_az2_host12_fqdn</vt:lpstr>
      <vt:lpstr>input_cluster_az2_host12_mgmt_ip</vt:lpstr>
      <vt:lpstr>input_cluster_az2_host13_fqdn</vt:lpstr>
      <vt:lpstr>input_cluster_az2_host13_mgmt_ip</vt:lpstr>
      <vt:lpstr>input_cluster_az2_host14_fqdn</vt:lpstr>
      <vt:lpstr>input_cluster_az2_host14_mgmt_ip</vt:lpstr>
      <vt:lpstr>input_cluster_az2_host15_fqdn</vt:lpstr>
      <vt:lpstr>input_cluster_az2_host15_mgmt_ip</vt:lpstr>
      <vt:lpstr>input_cluster_az2_host16_fqdn</vt:lpstr>
      <vt:lpstr>input_cluster_az2_host16_mgmt_ip</vt:lpstr>
      <vt:lpstr>input_cluster_az2_host2_fqdn</vt:lpstr>
      <vt:lpstr>input_cluster_az2_host2_mgmt_ip</vt:lpstr>
      <vt:lpstr>input_cluster_az2_host3_fqdn</vt:lpstr>
      <vt:lpstr>input_cluster_az2_host3_mgmt_ip</vt:lpstr>
      <vt:lpstr>input_cluster_az2_host4_fqdn</vt:lpstr>
      <vt:lpstr>input_cluster_az2_host4_mgmt_ip</vt:lpstr>
      <vt:lpstr>input_cluster_az2_host5_fqdn</vt:lpstr>
      <vt:lpstr>input_cluster_az2_host5_mgmt_ip</vt:lpstr>
      <vt:lpstr>input_cluster_az2_host6_fqdn</vt:lpstr>
      <vt:lpstr>input_cluster_az2_host6_mgmt_ip</vt:lpstr>
      <vt:lpstr>input_cluster_az2_host7_fqdn</vt:lpstr>
      <vt:lpstr>input_cluster_az2_host7_mgmt_ip</vt:lpstr>
      <vt:lpstr>input_cluster_az2_host8_fqdn</vt:lpstr>
      <vt:lpstr>input_cluster_az2_host8_mgmt_ip</vt:lpstr>
      <vt:lpstr>input_cluster_az2_host9_fqdn</vt:lpstr>
      <vt:lpstr>input_cluster_az2_host9_mgmt_ip</vt:lpstr>
      <vt:lpstr>input_cluster_az2_mgmt_cidr</vt:lpstr>
      <vt:lpstr>input_cluster_az2_mgmt_gateway_ip</vt:lpstr>
      <vt:lpstr>input_cluster_az2_mgmt_mtu</vt:lpstr>
      <vt:lpstr>input_cluster_az2_mgmt_vlan</vt:lpstr>
      <vt:lpstr>input_cluster_az2_pool_name</vt:lpstr>
      <vt:lpstr>input_cluster_az2_principal_storage_gateway_ip</vt:lpstr>
      <vt:lpstr>input_cluster_az2_principal_storage_mask</vt:lpstr>
      <vt:lpstr>input_cluster_az2_principal_storage_mtu</vt:lpstr>
      <vt:lpstr>input_cluster_az2_principal_storage_network</vt:lpstr>
      <vt:lpstr>input_cluster_az2_principal_storage_pool_end_ip</vt:lpstr>
      <vt:lpstr>input_cluster_az2_principal_storage_pool_start_ip</vt:lpstr>
      <vt:lpstr>input_cluster_az2_principal_storage_vlan</vt:lpstr>
      <vt:lpstr>input_cluster_az2_secondary_storage_gateway_ip</vt:lpstr>
      <vt:lpstr>input_cluster_az2_secondary_storage_mask</vt:lpstr>
      <vt:lpstr>input_cluster_az2_secondary_storage_mtu</vt:lpstr>
      <vt:lpstr>input_cluster_az2_secondary_storage_network</vt:lpstr>
      <vt:lpstr>input_cluster_az2_secondary_storage_pool_end_ip</vt:lpstr>
      <vt:lpstr>input_cluster_az2_secondary_storage_pool_start_ip</vt:lpstr>
      <vt:lpstr>input_cluster_az2_secondary_storage_vlan</vt:lpstr>
      <vt:lpstr>input_cluster_az2_storage_cluster_gateway_ip</vt:lpstr>
      <vt:lpstr>input_cluster_az2_storage_cluster_mask</vt:lpstr>
      <vt:lpstr>input_cluster_az2_storage_cluster_mtu</vt:lpstr>
      <vt:lpstr>input_cluster_az2_storage_cluster_network</vt:lpstr>
      <vt:lpstr>input_cluster_az2_storage_cluster_pool_end_ip</vt:lpstr>
      <vt:lpstr>input_cluster_az2_storage_cluster_pool_start_ip</vt:lpstr>
      <vt:lpstr>input_cluster_az2_storage_cluster_vlan</vt:lpstr>
      <vt:lpstr>input_cluster_az2_tor1_peer_asn</vt:lpstr>
      <vt:lpstr>input_cluster_az2_tor1_peer_ip</vt:lpstr>
      <vt:lpstr>input_cluster_az2_tor2_peer_asn</vt:lpstr>
      <vt:lpstr>input_cluster_az2_tor2_peer_ip</vt:lpstr>
      <vt:lpstr>input_cluster_az2_vmotion_gateway_ip</vt:lpstr>
      <vt:lpstr>input_cluster_az2_vmotion_mask</vt:lpstr>
      <vt:lpstr>input_cluster_az2_vmotion_mtu</vt:lpstr>
      <vt:lpstr>input_cluster_az2_vmotion_network</vt:lpstr>
      <vt:lpstr>input_cluster_az2_vmotion_pool_end_ip</vt:lpstr>
      <vt:lpstr>input_cluster_az2_vmotion_pool_start_ip</vt:lpstr>
      <vt:lpstr>input_cluster_az2_vmotion_vlan</vt:lpstr>
      <vt:lpstr>input_cluster_cluster_sddc_id</vt:lpstr>
      <vt:lpstr>input_cluster_datacenter</vt:lpstr>
      <vt:lpstr>input_cluster_domain_name</vt:lpstr>
      <vt:lpstr>input_cluster_esx_root_password</vt:lpstr>
      <vt:lpstr>input_cluster_esx_root_username</vt:lpstr>
      <vt:lpstr>input_cluster_host_overlay_transportzone</vt:lpstr>
      <vt:lpstr>input_cluster_image_name</vt:lpstr>
      <vt:lpstr>input_cluster_name</vt:lpstr>
      <vt:lpstr>input_cluster_nfs_datastore_name</vt:lpstr>
      <vt:lpstr>input_cluster_nfs_server_address</vt:lpstr>
      <vt:lpstr>input_cluster_nfs_share_path</vt:lpstr>
      <vt:lpstr>input_cluster_nsx_vlan_transport_zone_name</vt:lpstr>
      <vt:lpstr>input_cluster_nsxt_vip_fqdn</vt:lpstr>
      <vt:lpstr>input_cluster_storage_cluster_name</vt:lpstr>
      <vt:lpstr>input_cluster_vc_fqdn</vt:lpstr>
      <vt:lpstr>input_cluster_vds01_lag_name</vt:lpstr>
      <vt:lpstr>input_cluster_vds01_mtu</vt:lpstr>
      <vt:lpstr>input_cluster_vds01_name</vt:lpstr>
      <vt:lpstr>input_cluster_vds01_pnics</vt:lpstr>
      <vt:lpstr>input_cluster_vds01_uplink_count</vt:lpstr>
      <vt:lpstr>input_cluster_vds02_lag_name</vt:lpstr>
      <vt:lpstr>input_cluster_vds02_mtu</vt:lpstr>
      <vt:lpstr>input_cluster_vds02_name</vt:lpstr>
      <vt:lpstr>input_cluster_vds02_pnics</vt:lpstr>
      <vt:lpstr>input_cluster_vds02_uplink_count</vt:lpstr>
      <vt:lpstr>input_cluster_vds03_lag_name</vt:lpstr>
      <vt:lpstr>input_cluster_vds03_mtu</vt:lpstr>
      <vt:lpstr>input_cluster_vds03_name</vt:lpstr>
      <vt:lpstr>input_cluster_vds03_pnics</vt:lpstr>
      <vt:lpstr>input_cluster_vds03_uplink_count</vt:lpstr>
      <vt:lpstr>input_cluster_vmfs_datastore_name</vt:lpstr>
      <vt:lpstr>input_cluster_vsan_datastore</vt:lpstr>
      <vt:lpstr>input_cluster_vsan_type_non_vsan_storage</vt:lpstr>
      <vt:lpstr>input_cluster_vsan_type_with_client_network</vt:lpstr>
      <vt:lpstr>input_cluster_vsan_type_without_client_network</vt:lpstr>
      <vt:lpstr>input_cluster_witness_cluster</vt:lpstr>
      <vt:lpstr>input_cluster_witness_dns1_ip</vt:lpstr>
      <vt:lpstr>input_cluster_witness_dns2_ip</vt:lpstr>
      <vt:lpstr>input_cluster_witness_fqdn</vt:lpstr>
      <vt:lpstr>input_cluster_witness_hostname</vt:lpstr>
      <vt:lpstr>input_cluster_witness_ip</vt:lpstr>
      <vt:lpstr>input_cluster_witness_mgmt_pg</vt:lpstr>
      <vt:lpstr>input_cluster_witness_ntp1_server</vt:lpstr>
      <vt:lpstr>input_cluster_witness_ntp2_server</vt:lpstr>
      <vt:lpstr>input_cluster_witness_vm_folder</vt:lpstr>
      <vt:lpstr>input_cluster_witness_vsan_datastore</vt:lpstr>
      <vt:lpstr>input_cluster_witness_zone_vc_fqdn</vt:lpstr>
      <vt:lpstr>input_cluster_witnessaz_mask</vt:lpstr>
      <vt:lpstr>input_cluster_witnessaz_mgmt_cidr</vt:lpstr>
      <vt:lpstr>input_cluster_witnessaz_mgmt_gateway_ip</vt:lpstr>
      <vt:lpstr>input_cluster_witnessaz_mgmt_mtu</vt:lpstr>
      <vt:lpstr>input_cluster_witnessaz_mgmt_vlan</vt:lpstr>
      <vt:lpstr>input_domain_controller_hostname</vt:lpstr>
      <vt:lpstr>input_esxi_root_password</vt:lpstr>
      <vt:lpstr>input_flt_auto_node_pool_end_ip</vt:lpstr>
      <vt:lpstr>input_flt_auto_node_pool_start_ip</vt:lpstr>
      <vt:lpstr>input_flt_auto_sr_fqdn</vt:lpstr>
      <vt:lpstr>input_flt_auto_sr_ip</vt:lpstr>
      <vt:lpstr>input_flt_custom_network_auto_admin_password</vt:lpstr>
      <vt:lpstr>input_flt_custom_network_auto_nodea_ip</vt:lpstr>
      <vt:lpstr>input_flt_custom_network_auto_nodeb_ip</vt:lpstr>
      <vt:lpstr>input_flt_custom_network_auto_nodec_ip</vt:lpstr>
      <vt:lpstr>input_flt_custom_network_auto_noded_ip</vt:lpstr>
      <vt:lpstr>input_flt_custom_network_auto_nodee_ip</vt:lpstr>
      <vt:lpstr>input_flt_custom_network_auto_nodef_ip</vt:lpstr>
      <vt:lpstr>input_flt_custom_network_auto_prefix</vt:lpstr>
      <vt:lpstr>input_flt_custom_network_auto_vip_fqdn</vt:lpstr>
      <vt:lpstr>input_flt_custom_network_auto_vip_ip</vt:lpstr>
      <vt:lpstr>input_flt_custom_network_flt_admin_password</vt:lpstr>
      <vt:lpstr>input_flt_custom_network_flt_fqdn</vt:lpstr>
      <vt:lpstr>input_flt_custom_network_flt_ip</vt:lpstr>
      <vt:lpstr>input_flt_custom_network_flt_root_password</vt:lpstr>
      <vt:lpstr>input_flt_custom_network_flt_use_existing</vt:lpstr>
      <vt:lpstr>input_flt_custom_network_local_reg_gateway_ip</vt:lpstr>
      <vt:lpstr>input_flt_custom_network_local_reg_mask</vt:lpstr>
      <vt:lpstr>input_flt_custom_network_local_reg_pg</vt:lpstr>
      <vt:lpstr>input_flt_custom_network_ops_admin_password</vt:lpstr>
      <vt:lpstr>input_flt_custom_network_ops_collector_fqdn</vt:lpstr>
      <vt:lpstr>input_flt_custom_network_ops_collector_ip</vt:lpstr>
      <vt:lpstr>input_flt_custom_network_ops_collector_root_password</vt:lpstr>
      <vt:lpstr>input_flt_custom_network_ops_collector_version</vt:lpstr>
      <vt:lpstr>input_flt_custom_network_ops_nodea_fqdn</vt:lpstr>
      <vt:lpstr>input_flt_custom_network_ops_nodea_ip</vt:lpstr>
      <vt:lpstr>input_flt_custom_network_ops_nodeb_fqdn</vt:lpstr>
      <vt:lpstr>input_flt_custom_network_ops_nodeb_ip</vt:lpstr>
      <vt:lpstr>input_flt_custom_network_ops_nodec_fqdn</vt:lpstr>
      <vt:lpstr>input_flt_custom_network_ops_nodec_ip</vt:lpstr>
      <vt:lpstr>input_flt_custom_network_ops_root_password</vt:lpstr>
      <vt:lpstr>input_flt_custom_network_ops_use_existing</vt:lpstr>
      <vt:lpstr>input_flt_custom_network_ops_vip_fqdn</vt:lpstr>
      <vt:lpstr>input_flt_custom_network_ops_vip_ip</vt:lpstr>
      <vt:lpstr>input_flt_custom_network_x_reg_gateway_ip</vt:lpstr>
      <vt:lpstr>input_flt_custom_network_x_reg_mask</vt:lpstr>
      <vt:lpstr>input_flt_custom_network_x_reg_pg</vt:lpstr>
      <vt:lpstr>input_flt_fc_fqdn</vt:lpstr>
      <vt:lpstr>input_flt_fc_ip</vt:lpstr>
      <vt:lpstr>input_flt_ic_fqdn</vt:lpstr>
      <vt:lpstr>input_flt_ic_ip</vt:lpstr>
      <vt:lpstr>input_flt_lc_fqdn</vt:lpstr>
      <vt:lpstr>input_flt_lc_ip</vt:lpstr>
      <vt:lpstr>input_flt_logs_admin_email</vt:lpstr>
      <vt:lpstr>input_flt_logs_admin_password</vt:lpstr>
      <vt:lpstr>input_flt_logs_admin_password_alias</vt:lpstr>
      <vt:lpstr>input_flt_logs_admin_password_description</vt:lpstr>
      <vt:lpstr>input_flt_logs_admin_username</vt:lpstr>
      <vt:lpstr>input_flt_logs_cert_alias</vt:lpstr>
      <vt:lpstr>input_flt_logs_cert_country_code</vt:lpstr>
      <vt:lpstr>input_flt_logs_cert_locality</vt:lpstr>
      <vt:lpstr>input_flt_logs_cert_organisation</vt:lpstr>
      <vt:lpstr>input_flt_logs_cert_state</vt:lpstr>
      <vt:lpstr>input_flt_logs_cluster</vt:lpstr>
      <vt:lpstr>input_flt_logs_common_name</vt:lpstr>
      <vt:lpstr>input_flt_logs_datastore</vt:lpstr>
      <vt:lpstr>input_flt_logs_folder</vt:lpstr>
      <vt:lpstr>input_flt_logs_gateway_ip</vt:lpstr>
      <vt:lpstr>input_flt_logs_mask</vt:lpstr>
      <vt:lpstr>input_flt_logs_nodea_fqdn</vt:lpstr>
      <vt:lpstr>input_flt_logs_nodea_hostname</vt:lpstr>
      <vt:lpstr>input_flt_logs_nodea_ip</vt:lpstr>
      <vt:lpstr>input_flt_logs_nodeb_fqdn</vt:lpstr>
      <vt:lpstr>input_flt_logs_nodeb_hostname</vt:lpstr>
      <vt:lpstr>input_flt_logs_nodeb_ip</vt:lpstr>
      <vt:lpstr>input_flt_logs_nodec_fqdn</vt:lpstr>
      <vt:lpstr>input_flt_logs_nodec_hostname</vt:lpstr>
      <vt:lpstr>input_flt_logs_nodec_ip</vt:lpstr>
      <vt:lpstr>input_flt_logs_ou_cert</vt:lpstr>
      <vt:lpstr>input_flt_logs_portgroup</vt:lpstr>
      <vt:lpstr>input_flt_logs_resource_pool</vt:lpstr>
      <vt:lpstr>input_flt_logs_root_password</vt:lpstr>
      <vt:lpstr>input_flt_logs_root_password_alias</vt:lpstr>
      <vt:lpstr>input_flt_logs_root_password_description</vt:lpstr>
      <vt:lpstr>input_flt_logs_root_username</vt:lpstr>
      <vt:lpstr>input_flt_logs_vcenter_fqdn</vt:lpstr>
      <vt:lpstr>input_flt_logs_vip_fqdn</vt:lpstr>
      <vt:lpstr>input_flt_logs_vip_ip</vt:lpstr>
      <vt:lpstr>input_flt_net_admin_password</vt:lpstr>
      <vt:lpstr>input_flt_net_admin_password_alias</vt:lpstr>
      <vt:lpstr>input_flt_net_admin_password_description</vt:lpstr>
      <vt:lpstr>input_flt_net_admin_username</vt:lpstr>
      <vt:lpstr>input_flt_net_cert_alias</vt:lpstr>
      <vt:lpstr>input_flt_net_cert_country_code</vt:lpstr>
      <vt:lpstr>input_flt_net_cert_locality</vt:lpstr>
      <vt:lpstr>input_flt_net_cert_organisation</vt:lpstr>
      <vt:lpstr>input_flt_net_cert_state</vt:lpstr>
      <vt:lpstr>input_flt_net_cluster</vt:lpstr>
      <vt:lpstr>input_flt_net_common_name</vt:lpstr>
      <vt:lpstr>input_flt_net_console_password</vt:lpstr>
      <vt:lpstr>input_flt_net_datastore</vt:lpstr>
      <vt:lpstr>input_flt_net_folder</vt:lpstr>
      <vt:lpstr>input_flt_net_node_gateway_ip</vt:lpstr>
      <vt:lpstr>input_flt_net_node_mask</vt:lpstr>
      <vt:lpstr>input_flt_net_node_portgroup</vt:lpstr>
      <vt:lpstr>input_flt_net_nodea_fqdn</vt:lpstr>
      <vt:lpstr>input_flt_net_nodea_ip</vt:lpstr>
      <vt:lpstr>input_flt_net_nodeb_fqdn</vt:lpstr>
      <vt:lpstr>input_flt_net_nodeb_ip</vt:lpstr>
      <vt:lpstr>input_flt_net_nodec_fqdn</vt:lpstr>
      <vt:lpstr>input_flt_net_nodec_ip</vt:lpstr>
      <vt:lpstr>input_flt_net_ou_cert</vt:lpstr>
      <vt:lpstr>input_flt_net_platform_password</vt:lpstr>
      <vt:lpstr>input_flt_net_prxy_fqdn</vt:lpstr>
      <vt:lpstr>input_flt_net_prxy_gateway_ip</vt:lpstr>
      <vt:lpstr>input_flt_net_prxy_ip</vt:lpstr>
      <vt:lpstr>input_flt_net_prxy_mask</vt:lpstr>
      <vt:lpstr>input_flt_net_prxy_portgroup</vt:lpstr>
      <vt:lpstr>input_flt_net_resource_pool</vt:lpstr>
      <vt:lpstr>input_flt_net_support_password</vt:lpstr>
      <vt:lpstr>input_flt_net_vcenter_fqdn</vt:lpstr>
      <vt:lpstr>input_flt_net_vcenter_list</vt:lpstr>
      <vt:lpstr>input_flt_sr_fqdn</vt:lpstr>
      <vt:lpstr>input_flt_sr_ip</vt:lpstr>
      <vt:lpstr>input_flt_vcfms_node_pool_end_ip</vt:lpstr>
      <vt:lpstr>input_flt_vcfms_node_pool_start_ip</vt:lpstr>
      <vt:lpstr>input_flt_vidb_additional_vips</vt:lpstr>
      <vt:lpstr>input_flt_vidb_base_dn</vt:lpstr>
      <vt:lpstr>input_flt_vidb_bind_password</vt:lpstr>
      <vt:lpstr>input_flt_vidb_bind_username</vt:lpstr>
      <vt:lpstr>input_flt_vidb_cert_alias</vt:lpstr>
      <vt:lpstr>input_flt_vidb_cert_common_name</vt:lpstr>
      <vt:lpstr>input_flt_vidb_cert_country_code</vt:lpstr>
      <vt:lpstr>input_flt_vidb_cert_locality</vt:lpstr>
      <vt:lpstr>input_flt_vidb_cert_organisation</vt:lpstr>
      <vt:lpstr>input_flt_vidb_cert_state</vt:lpstr>
      <vt:lpstr>input_flt_vidb_cluster</vt:lpstr>
      <vt:lpstr>input_flt_vidb_datastore</vt:lpstr>
      <vt:lpstr>input_flt_vidb_directory_name</vt:lpstr>
      <vt:lpstr>input_flt_vidb_distinguished_name</vt:lpstr>
      <vt:lpstr>input_flt_vidb_employeeID</vt:lpstr>
      <vt:lpstr>input_flt_vidb_encrypted_cert</vt:lpstr>
      <vt:lpstr>input_flt_vidb_first_name</vt:lpstr>
      <vt:lpstr>input_flt_vidb_folder</vt:lpstr>
      <vt:lpstr>input_flt_vidb_gateway_ip</vt:lpstr>
      <vt:lpstr>input_flt_vidb_group_base_dn</vt:lpstr>
      <vt:lpstr>input_flt_vidb_last_name</vt:lpstr>
      <vt:lpstr>input_flt_vidb_mail</vt:lpstr>
      <vt:lpstr>input_flt_vidb_mask</vt:lpstr>
      <vt:lpstr>input_flt_vidb_node_prefix</vt:lpstr>
      <vt:lpstr>input_flt_vidb_nodea_ip</vt:lpstr>
      <vt:lpstr>input_flt_vidb_nodeb_ip</vt:lpstr>
      <vt:lpstr>input_flt_vidb_nodec_ip</vt:lpstr>
      <vt:lpstr>input_flt_vidb_noded_ip</vt:lpstr>
      <vt:lpstr>input_flt_vidb_ou_cert</vt:lpstr>
      <vt:lpstr>input_flt_vidb_password</vt:lpstr>
      <vt:lpstr>input_flt_vidb_password_alias</vt:lpstr>
      <vt:lpstr>input_flt_vidb_password_description</vt:lpstr>
      <vt:lpstr>input_flt_vidb_pg</vt:lpstr>
      <vt:lpstr>input_flt_vidb_primary_domain_controller</vt:lpstr>
      <vt:lpstr>input_flt_vidb_primary_domain_controller_port</vt:lpstr>
      <vt:lpstr>input_flt_vidb_resource_pool</vt:lpstr>
      <vt:lpstr>input_flt_vidb_root_username</vt:lpstr>
      <vt:lpstr>input_flt_vidb_secondary_domain_controller</vt:lpstr>
      <vt:lpstr>input_flt_vidb_secondary_domain_controller_port</vt:lpstr>
      <vt:lpstr>input_flt_vidb_system_user_alias</vt:lpstr>
      <vt:lpstr>input_flt_vidb_system_user_description</vt:lpstr>
      <vt:lpstr>input_flt_vidb_system_user_password</vt:lpstr>
      <vt:lpstr>input_flt_vidb_user_base_dn</vt:lpstr>
      <vt:lpstr>input_flt_vidb_user_name</vt:lpstr>
      <vt:lpstr>input_flt_vidb_user_principal_name</vt:lpstr>
      <vt:lpstr>input_flt_vidb_vcenter_fqdn</vt:lpstr>
      <vt:lpstr>input_flt_vidb_version</vt:lpstr>
      <vt:lpstr>input_flt_vidb_vip_fqdn</vt:lpstr>
      <vt:lpstr>input_flt_vidb_vip_ip</vt:lpstr>
      <vt:lpstr>input_gg_kub_admins_group</vt:lpstr>
      <vt:lpstr>input_gg_kub_readonly_group</vt:lpstr>
      <vt:lpstr>input_gg_nsx_auditors_group</vt:lpstr>
      <vt:lpstr>input_gg_nsx_enterprise_admins_group</vt:lpstr>
      <vt:lpstr>input_gg_nsx_network_admins_group</vt:lpstr>
      <vt:lpstr>input_gg_sso_admins_group</vt:lpstr>
      <vt:lpstr>input_gg_vc_admins_group</vt:lpstr>
      <vt:lpstr>input_gg_vc_read_only_group</vt:lpstr>
      <vt:lpstr>input_gg_vcf_admins_group</vt:lpstr>
      <vt:lpstr>input_gg_vcf_operators_group</vt:lpstr>
      <vt:lpstr>input_gg_vcf_viewers_group</vt:lpstr>
      <vt:lpstr>input_gg_vra_cloud_assembly_admins_group</vt:lpstr>
      <vt:lpstr>input_gg_vra_cloud_assembly_users_group</vt:lpstr>
      <vt:lpstr>input_gg_vra_cloud_assembly_viewers_group</vt:lpstr>
      <vt:lpstr>input_gg_vra_orchestrator_admins_group</vt:lpstr>
      <vt:lpstr>input_gg_vra_orchestrator_designers_group</vt:lpstr>
      <vt:lpstr>input_gg_vra_orchestrator_viewers_group</vt:lpstr>
      <vt:lpstr>input_gg_vra_org_owners_group</vt:lpstr>
      <vt:lpstr>input_gg_vra_project_admins_sample_group</vt:lpstr>
      <vt:lpstr>input_gg_vra_project_users_sample_group</vt:lpstr>
      <vt:lpstr>input_gg_vra_service_broker_admins_group</vt:lpstr>
      <vt:lpstr>input_gg_vra_service_broker_users_group</vt:lpstr>
      <vt:lpstr>input_gg_vra_service_broker_viewers_group</vt:lpstr>
      <vt:lpstr>input_gg_vrli_admins_group</vt:lpstr>
      <vt:lpstr>input_gg_vrli_users_group</vt:lpstr>
      <vt:lpstr>input_gg_vrli_viewers_group</vt:lpstr>
      <vt:lpstr>input_gg_vrni_admin_group</vt:lpstr>
      <vt:lpstr>input_gg_vrni_auditor_group</vt:lpstr>
      <vt:lpstr>input_gg_vrni_member_group</vt:lpstr>
      <vt:lpstr>input_gg_vrops_admins_group</vt:lpstr>
      <vt:lpstr>input_gg_vrops_content_admins_group</vt:lpstr>
      <vt:lpstr>input_gg_vrops_read_only_group</vt:lpstr>
      <vt:lpstr>input_gg_vrslcm_admins_group</vt:lpstr>
      <vt:lpstr>input_gg_vrslcm_content_developers_group</vt:lpstr>
      <vt:lpstr>input_gg_vrslcm_release_managers_group</vt:lpstr>
      <vt:lpstr>input_k8s_cluster_name</vt:lpstr>
      <vt:lpstr>input_k8s_ip_prefixlist</vt:lpstr>
      <vt:lpstr>input_k8s_ip_routemap</vt:lpstr>
      <vt:lpstr>input_k8s_kubectl_path</vt:lpstr>
      <vt:lpstr>input_k8s_mgmt_seg</vt:lpstr>
      <vt:lpstr>input_k8s_namepsace</vt:lpstr>
      <vt:lpstr>input_k8s_tanzu_k8s_cluster_pod_pool_cidr</vt:lpstr>
      <vt:lpstr>input_k8s_tanzu_k8s_cluster_service_pool_cidr</vt:lpstr>
      <vt:lpstr>input_k8s_vcenter_category</vt:lpstr>
      <vt:lpstr>input_k8s_vcenter_content_library</vt:lpstr>
      <vt:lpstr>input_k8s_vcenter_storage_policy</vt:lpstr>
      <vt:lpstr>input_k8s_vcenter_tag</vt:lpstr>
      <vt:lpstr>input_k8s_vm_class</vt:lpstr>
      <vt:lpstr>input_mgmt_avilb_cluster_name</vt:lpstr>
      <vt:lpstr>input_mgmt_avilb_cluster_version</vt:lpstr>
      <vt:lpstr>input_mgmt_avilb_fqdn</vt:lpstr>
      <vt:lpstr>input_mgmt_avilb_ip</vt:lpstr>
      <vt:lpstr>input_mgmt_avilb_mgra_ip</vt:lpstr>
      <vt:lpstr>input_mgmt_avilb_mgrb_ip</vt:lpstr>
      <vt:lpstr>input_mgmt_avilb_mgrc_ip</vt:lpstr>
      <vt:lpstr>input_mgmt_az1_edge_overlay_cidr</vt:lpstr>
      <vt:lpstr>input_mgmt_az1_edge_overlay_gateway_ip</vt:lpstr>
      <vt:lpstr>input_mgmt_az1_edge_overlay_mask</vt:lpstr>
      <vt:lpstr>input_mgmt_az1_edge_overlay_mtu</vt:lpstr>
      <vt:lpstr>input_mgmt_az1_edge_overlay_network_pool_name</vt:lpstr>
      <vt:lpstr>input_mgmt_az1_edge_overlay_pool_end_ip</vt:lpstr>
      <vt:lpstr>input_mgmt_az1_edge_overlay_pool_start_ip</vt:lpstr>
      <vt:lpstr>input_mgmt_az1_edge_overlay_vlan</vt:lpstr>
      <vt:lpstr>input_mgmt_az1_en1_edge_overlay_interface_ip_1_ip</vt:lpstr>
      <vt:lpstr>input_mgmt_az1_en1_edge_overlay_interface_ip_2_ip</vt:lpstr>
      <vt:lpstr>input_mgmt_az1_en1_eth0_uplink0</vt:lpstr>
      <vt:lpstr>input_mgmt_az1_en1_eth0_uplink1</vt:lpstr>
      <vt:lpstr>input_mgmt_az1_en1_eth1_uplink0</vt:lpstr>
      <vt:lpstr>input_mgmt_az1_en1_eth1_uplink1</vt:lpstr>
      <vt:lpstr>input_mgmt_az1_en1_fqdn</vt:lpstr>
      <vt:lpstr>input_mgmt_az1_en1_mgmt_cidr</vt:lpstr>
      <vt:lpstr>input_mgmt_az1_en1_mgmt_ip</vt:lpstr>
      <vt:lpstr>input_mgmt_az1_en1_uplink01_interface_cidr</vt:lpstr>
      <vt:lpstr>input_mgmt_az1_en1_uplink02_interface_cidr</vt:lpstr>
      <vt:lpstr>input_mgmt_az1_en2_edge_overlay_interface_ip_1_ip</vt:lpstr>
      <vt:lpstr>input_mgmt_az1_en2_edge_overlay_interface_ip_2_ip</vt:lpstr>
      <vt:lpstr>input_mgmt_az1_en2_eth0_uplink0</vt:lpstr>
      <vt:lpstr>input_mgmt_az1_en2_eth0_uplink1</vt:lpstr>
      <vt:lpstr>input_mgmt_az1_en2_eth1_uplink0</vt:lpstr>
      <vt:lpstr>input_mgmt_az1_en2_eth1_uplink1</vt:lpstr>
      <vt:lpstr>input_mgmt_az1_en2_fqdn</vt:lpstr>
      <vt:lpstr>input_mgmt_az1_en2_mgmt_cidr</vt:lpstr>
      <vt:lpstr>input_mgmt_az1_en2_mgmt_ip</vt:lpstr>
      <vt:lpstr>input_mgmt_az1_en2_uplink01_interface_cidr</vt:lpstr>
      <vt:lpstr>input_mgmt_az1_en2_uplink02_interface_cidr</vt:lpstr>
      <vt:lpstr>input_mgmt_az1_host_overlay_cidr</vt:lpstr>
      <vt:lpstr>input_mgmt_az1_host_overlay_gateway_ip</vt:lpstr>
      <vt:lpstr>input_mgmt_az1_host_overlay_mtu</vt:lpstr>
      <vt:lpstr>input_mgmt_az1_host_overlay_network_pool_description</vt:lpstr>
      <vt:lpstr>input_mgmt_az1_host_overlay_network_pool_name</vt:lpstr>
      <vt:lpstr>input_mgmt_az1_host_overlay_pool_end_ip</vt:lpstr>
      <vt:lpstr>input_mgmt_az1_host_overlay_pool_start_ip</vt:lpstr>
      <vt:lpstr>input_mgmt_az1_host_overlay_vlan</vt:lpstr>
      <vt:lpstr>input_mgmt_az1_host1_fqdn</vt:lpstr>
      <vt:lpstr>input_mgmt_az1_host1_mgmt_ip</vt:lpstr>
      <vt:lpstr>input_mgmt_az1_host1_vrms_ip</vt:lpstr>
      <vt:lpstr>input_mgmt_az1_host10_fqdn</vt:lpstr>
      <vt:lpstr>input_mgmt_az1_host10_mgmt_ip</vt:lpstr>
      <vt:lpstr>input_mgmt_az1_host10_vrms_ip</vt:lpstr>
      <vt:lpstr>input_mgmt_az1_host11_fqdn</vt:lpstr>
      <vt:lpstr>input_mgmt_az1_host11_mgmt_ip</vt:lpstr>
      <vt:lpstr>input_mgmt_az1_host11_vrms_ip</vt:lpstr>
      <vt:lpstr>input_mgmt_az1_host12_fqdn</vt:lpstr>
      <vt:lpstr>input_mgmt_az1_host12_mgmt_ip</vt:lpstr>
      <vt:lpstr>input_mgmt_az1_host12_vrms_ip</vt:lpstr>
      <vt:lpstr>input_mgmt_az1_host13_fqdn</vt:lpstr>
      <vt:lpstr>input_mgmt_az1_host13_mgmt_ip</vt:lpstr>
      <vt:lpstr>input_mgmt_az1_host13_vrms_ip</vt:lpstr>
      <vt:lpstr>input_mgmt_az1_host14_fqdn</vt:lpstr>
      <vt:lpstr>input_mgmt_az1_host14_mgmt_ip</vt:lpstr>
      <vt:lpstr>input_mgmt_az1_host14_vrms_ip</vt:lpstr>
      <vt:lpstr>input_mgmt_az1_host15_fqdn</vt:lpstr>
      <vt:lpstr>input_mgmt_az1_host15_mgmt_ip</vt:lpstr>
      <vt:lpstr>input_mgmt_az1_host15_vrms_ip</vt:lpstr>
      <vt:lpstr>input_mgmt_az1_host16_fqdn</vt:lpstr>
      <vt:lpstr>input_mgmt_az1_host16_mgmt_ip</vt:lpstr>
      <vt:lpstr>input_mgmt_az1_host16_vrms_ip</vt:lpstr>
      <vt:lpstr>input_mgmt_az1_host2_fqdn</vt:lpstr>
      <vt:lpstr>input_mgmt_az1_host2_mgmt_ip</vt:lpstr>
      <vt:lpstr>input_mgmt_az1_host2_vrms_ip</vt:lpstr>
      <vt:lpstr>input_mgmt_az1_host3_fqdn</vt:lpstr>
      <vt:lpstr>input_mgmt_az1_host3_mgmt_ip</vt:lpstr>
      <vt:lpstr>input_mgmt_az1_host3_vrms_ip</vt:lpstr>
      <vt:lpstr>input_mgmt_az1_host4_fqdn</vt:lpstr>
      <vt:lpstr>input_mgmt_az1_host4_mgmt_ip</vt:lpstr>
      <vt:lpstr>input_mgmt_az1_host4_vrms_ip</vt:lpstr>
      <vt:lpstr>input_mgmt_az1_host5_fqdn</vt:lpstr>
      <vt:lpstr>input_mgmt_az1_host5_mgmt_ip</vt:lpstr>
      <vt:lpstr>input_mgmt_az1_host5_vrms_ip</vt:lpstr>
      <vt:lpstr>input_mgmt_az1_host6_fqdn</vt:lpstr>
      <vt:lpstr>input_mgmt_az1_host6_mgmt_ip</vt:lpstr>
      <vt:lpstr>input_mgmt_az1_host6_vrms_ip</vt:lpstr>
      <vt:lpstr>input_mgmt_az1_host7_fqdn</vt:lpstr>
      <vt:lpstr>input_mgmt_az1_host7_mgmt_ip</vt:lpstr>
      <vt:lpstr>input_mgmt_az1_host7_vrms_ip</vt:lpstr>
      <vt:lpstr>input_mgmt_az1_host8_fqdn</vt:lpstr>
      <vt:lpstr>input_mgmt_az1_host8_mgmt_ip</vt:lpstr>
      <vt:lpstr>input_mgmt_az1_host8_vrms_ip</vt:lpstr>
      <vt:lpstr>input_mgmt_az1_host9_fqdn</vt:lpstr>
      <vt:lpstr>input_mgmt_az1_host9_mgmt_ip</vt:lpstr>
      <vt:lpstr>input_mgmt_az1_host9_vrms_ip</vt:lpstr>
      <vt:lpstr>input_mgmt_az1_mgmt_cidr</vt:lpstr>
      <vt:lpstr>input_mgmt_az1_mgmt_gateway_ip</vt:lpstr>
      <vt:lpstr>input_mgmt_az1_mgmt_mtu</vt:lpstr>
      <vt:lpstr>input_mgmt_az1_mgmt_vlan</vt:lpstr>
      <vt:lpstr>input_mgmt_az1_mgmt_vm_cidr</vt:lpstr>
      <vt:lpstr>input_mgmt_az1_mgmt_vm_gateway_ip</vt:lpstr>
      <vt:lpstr>input_mgmt_az1_mgmt_vm_mtu</vt:lpstr>
      <vt:lpstr>input_mgmt_az1_mgmt_vm_vlan</vt:lpstr>
      <vt:lpstr>input_mgmt_az1_rtep_ip_pool_name</vt:lpstr>
      <vt:lpstr>input_mgmt_az1_rtep_overlay_cidr</vt:lpstr>
      <vt:lpstr>input_mgmt_az1_rtep_overlay_gateway_ip</vt:lpstr>
      <vt:lpstr>input_mgmt_az1_rtep_overlay_vlan</vt:lpstr>
      <vt:lpstr>input_mgmt_az1_secondary_storage_cidr</vt:lpstr>
      <vt:lpstr>input_mgmt_az1_secondary_storage_gateway_ip</vt:lpstr>
      <vt:lpstr>input_mgmt_az1_secondary_storage_mtu</vt:lpstr>
      <vt:lpstr>input_mgmt_az1_secondary_storage_pool_end_ip</vt:lpstr>
      <vt:lpstr>input_mgmt_az1_secondary_storage_pool_start_ip</vt:lpstr>
      <vt:lpstr>input_mgmt_az1_secondary_storage_vlan</vt:lpstr>
      <vt:lpstr>input_mgmt_az1_tor1_peer_asn</vt:lpstr>
      <vt:lpstr>input_mgmt_az1_tor1_peer_bgp_password</vt:lpstr>
      <vt:lpstr>input_mgmt_az1_tor1_peer_ip</vt:lpstr>
      <vt:lpstr>input_mgmt_az1_tor2_peer_asn</vt:lpstr>
      <vt:lpstr>input_mgmt_az1_tor2_peer_bgp_password</vt:lpstr>
      <vt:lpstr>input_mgmt_az1_tor2_peer_ip</vt:lpstr>
      <vt:lpstr>input_mgmt_az1_uplink01_cidr</vt:lpstr>
      <vt:lpstr>input_mgmt_az1_uplink01_gateway_ip</vt:lpstr>
      <vt:lpstr>input_mgmt_az1_uplink01_mtu</vt:lpstr>
      <vt:lpstr>input_mgmt_az1_uplink01_vlan</vt:lpstr>
      <vt:lpstr>input_mgmt_az1_uplink02_cidr</vt:lpstr>
      <vt:lpstr>input_mgmt_az1_uplink02_gateway_ip</vt:lpstr>
      <vt:lpstr>input_mgmt_az1_uplink02_mtu</vt:lpstr>
      <vt:lpstr>input_mgmt_az1_uplink02_vlan</vt:lpstr>
      <vt:lpstr>input_mgmt_az1_vmotion_cidr</vt:lpstr>
      <vt:lpstr>input_mgmt_az1_vmotion_gateway_ip</vt:lpstr>
      <vt:lpstr>input_mgmt_az1_vmotion_mtu</vt:lpstr>
      <vt:lpstr>input_mgmt_az1_vmotion_pool_end_ip</vt:lpstr>
      <vt:lpstr>input_mgmt_az1_vmotion_pool_start_ip</vt:lpstr>
      <vt:lpstr>input_mgmt_az1_vmotion_vlan</vt:lpstr>
      <vt:lpstr>input_mgmt_az1_vrms_mask</vt:lpstr>
      <vt:lpstr>input_mgmt_az1_vrms_mtu</vt:lpstr>
      <vt:lpstr>input_mgmt_az1_vrms_vlan</vt:lpstr>
      <vt:lpstr>input_mgmt_az1_vsan_cidr</vt:lpstr>
      <vt:lpstr>input_mgmt_az1_vsan_gateway_ip</vt:lpstr>
      <vt:lpstr>input_mgmt_az1_vsan_mtu</vt:lpstr>
      <vt:lpstr>input_mgmt_az1_vsan_pool_end_ip</vt:lpstr>
      <vt:lpstr>input_mgmt_az1_vsan_pool_start_ip</vt:lpstr>
      <vt:lpstr>input_mgmt_az1_vsan_vlan</vt:lpstr>
      <vt:lpstr>input_mgmt_az2_host_overlay_cidr</vt:lpstr>
      <vt:lpstr>input_mgmt_az2_host_overlay_gateway_ip</vt:lpstr>
      <vt:lpstr>input_mgmt_az2_host_overlay_mtu</vt:lpstr>
      <vt:lpstr>input_mgmt_az2_host_overlay_network_pool_name</vt:lpstr>
      <vt:lpstr>input_mgmt_az2_host_overlay_network_profile_name</vt:lpstr>
      <vt:lpstr>input_mgmt_az2_host_overlay_pool_end_ip</vt:lpstr>
      <vt:lpstr>input_mgmt_az2_host_overlay_pool_start_ip</vt:lpstr>
      <vt:lpstr>input_mgmt_az2_host_overlay_uplink_profile_name</vt:lpstr>
      <vt:lpstr>input_mgmt_az2_host_overlay_vlan</vt:lpstr>
      <vt:lpstr>input_mgmt_az2_host1_fqdn</vt:lpstr>
      <vt:lpstr>input_mgmt_az2_host1_mgmt_ip</vt:lpstr>
      <vt:lpstr>input_mgmt_az2_host1_sddc_id</vt:lpstr>
      <vt:lpstr>input_mgmt_az2_host1_vrms_ip</vt:lpstr>
      <vt:lpstr>input_mgmt_az2_host10_fqdn</vt:lpstr>
      <vt:lpstr>input_mgmt_az2_host10_mgmt_ip</vt:lpstr>
      <vt:lpstr>input_mgmt_az2_host10_vrms_ip</vt:lpstr>
      <vt:lpstr>input_mgmt_az2_host11_fqdn</vt:lpstr>
      <vt:lpstr>input_mgmt_az2_host11_mgmt_ip</vt:lpstr>
      <vt:lpstr>input_mgmt_az2_host11_vrms_ip</vt:lpstr>
      <vt:lpstr>input_mgmt_az2_host12_fqdn</vt:lpstr>
      <vt:lpstr>input_mgmt_az2_host12_mgmt_ip</vt:lpstr>
      <vt:lpstr>input_mgmt_az2_host12_vrms_ip</vt:lpstr>
      <vt:lpstr>input_mgmt_az2_host13_fqdn</vt:lpstr>
      <vt:lpstr>input_mgmt_az2_host13_mgmt_ip</vt:lpstr>
      <vt:lpstr>input_mgmt_az2_host13_vrms_ip</vt:lpstr>
      <vt:lpstr>input_mgmt_az2_host14_fqdn</vt:lpstr>
      <vt:lpstr>input_mgmt_az2_host14_mgmt_ip</vt:lpstr>
      <vt:lpstr>input_mgmt_az2_host14_vrms_ip</vt:lpstr>
      <vt:lpstr>input_mgmt_az2_host15_fqdn</vt:lpstr>
      <vt:lpstr>input_mgmt_az2_host15_mgmt_ip</vt:lpstr>
      <vt:lpstr>input_mgmt_az2_host15_vrms_ip</vt:lpstr>
      <vt:lpstr>input_mgmt_az2_host16_fqdn</vt:lpstr>
      <vt:lpstr>input_mgmt_az2_host16_mgmt_ip</vt:lpstr>
      <vt:lpstr>input_mgmt_az2_host16_vrms_ip</vt:lpstr>
      <vt:lpstr>input_mgmt_az2_host2_fqdn</vt:lpstr>
      <vt:lpstr>input_mgmt_az2_host2_mgmt_ip</vt:lpstr>
      <vt:lpstr>input_mgmt_az2_host2_sddc_id</vt:lpstr>
      <vt:lpstr>input_mgmt_az2_host2_vrms_ip</vt:lpstr>
      <vt:lpstr>input_mgmt_az2_host3_fqdn</vt:lpstr>
      <vt:lpstr>input_mgmt_az2_host3_mgmt_ip</vt:lpstr>
      <vt:lpstr>input_mgmt_az2_host3_sddc_id</vt:lpstr>
      <vt:lpstr>input_mgmt_az2_host3_vrms_ip</vt:lpstr>
      <vt:lpstr>input_mgmt_az2_host4_fqdn</vt:lpstr>
      <vt:lpstr>input_mgmt_az2_host4_mgmt_ip</vt:lpstr>
      <vt:lpstr>input_mgmt_az2_host4_sddc_id</vt:lpstr>
      <vt:lpstr>input_mgmt_az2_host4_vrms_ip</vt:lpstr>
      <vt:lpstr>input_mgmt_az2_host5_fqdn</vt:lpstr>
      <vt:lpstr>input_mgmt_az2_host5_mgmt_ip</vt:lpstr>
      <vt:lpstr>input_mgmt_az2_host5_vrms_ip</vt:lpstr>
      <vt:lpstr>input_mgmt_az2_host6_fqdn</vt:lpstr>
      <vt:lpstr>input_mgmt_az2_host6_mgmt_ip</vt:lpstr>
      <vt:lpstr>input_mgmt_az2_host6_vrms_ip</vt:lpstr>
      <vt:lpstr>input_mgmt_az2_host7_fqdn</vt:lpstr>
      <vt:lpstr>input_mgmt_az2_host7_mgmt_ip</vt:lpstr>
      <vt:lpstr>input_mgmt_az2_host7_vrms_ip</vt:lpstr>
      <vt:lpstr>input_mgmt_az2_host8_fqdn</vt:lpstr>
      <vt:lpstr>input_mgmt_az2_host8_mgmt_ip</vt:lpstr>
      <vt:lpstr>input_mgmt_az2_host8_vrms_ip</vt:lpstr>
      <vt:lpstr>input_mgmt_az2_host9_fqdn</vt:lpstr>
      <vt:lpstr>input_mgmt_az2_host9_mgmt_ip</vt:lpstr>
      <vt:lpstr>input_mgmt_az2_host9_vrms_ip</vt:lpstr>
      <vt:lpstr>input_mgmt_az2_mgmt_cidr</vt:lpstr>
      <vt:lpstr>input_mgmt_az2_mgmt_gateway_ip</vt:lpstr>
      <vt:lpstr>input_mgmt_az2_mgmt_mtu</vt:lpstr>
      <vt:lpstr>input_mgmt_az2_mgmt_vlan</vt:lpstr>
      <vt:lpstr>input_mgmt_az2_pool_name</vt:lpstr>
      <vt:lpstr>input_mgmt_az2_secondary_storage_gateway_ip</vt:lpstr>
      <vt:lpstr>input_mgmt_az2_secondary_storage_mask</vt:lpstr>
      <vt:lpstr>input_mgmt_az2_secondary_storage_mtu</vt:lpstr>
      <vt:lpstr>input_mgmt_az2_secondary_storage_network</vt:lpstr>
      <vt:lpstr>input_mgmt_az2_secondary_storage_pool_end_ip</vt:lpstr>
      <vt:lpstr>input_mgmt_az2_secondary_storage_pool_start_ip</vt:lpstr>
      <vt:lpstr>input_mgmt_az2_secondary_storage_vlan</vt:lpstr>
      <vt:lpstr>input_mgmt_az2_tor1_peer_asn</vt:lpstr>
      <vt:lpstr>input_mgmt_az2_tor1_peer_bgp_password</vt:lpstr>
      <vt:lpstr>input_mgmt_az2_tor1_peer_ip</vt:lpstr>
      <vt:lpstr>input_mgmt_az2_tor2_peer_asn</vt:lpstr>
      <vt:lpstr>input_mgmt_az2_tor2_peer_bgp_password</vt:lpstr>
      <vt:lpstr>input_mgmt_az2_tor2_peer_ip</vt:lpstr>
      <vt:lpstr>input_mgmt_az2_vmotion_gateway_ip</vt:lpstr>
      <vt:lpstr>input_mgmt_az2_vmotion_mask</vt:lpstr>
      <vt:lpstr>input_mgmt_az2_vmotion_mtu</vt:lpstr>
      <vt:lpstr>input_mgmt_az2_vmotion_network</vt:lpstr>
      <vt:lpstr>input_mgmt_az2_vmotion_pool_end_ip</vt:lpstr>
      <vt:lpstr>input_mgmt_az2_vmotion_pool_start_ip</vt:lpstr>
      <vt:lpstr>input_mgmt_az2_vmotion_vlan</vt:lpstr>
      <vt:lpstr>input_mgmt_az2_vsan_gateway_ip</vt:lpstr>
      <vt:lpstr>input_mgmt_az2_vsan_mask</vt:lpstr>
      <vt:lpstr>input_mgmt_az2_vsan_mtu</vt:lpstr>
      <vt:lpstr>input_mgmt_az2_vsan_network</vt:lpstr>
      <vt:lpstr>input_mgmt_az2_vsan_pool_end_ip</vt:lpstr>
      <vt:lpstr>input_mgmt_az2_vsan_pool_start_ip</vt:lpstr>
      <vt:lpstr>input_mgmt_az2_vsan_vlan</vt:lpstr>
      <vt:lpstr>input_mgmt_cl01_az1_mgmt_pg</vt:lpstr>
      <vt:lpstr>input_mgmt_cl01_az1_mgmt_vm_pg</vt:lpstr>
      <vt:lpstr>input_mgmt_cl01_az1_nfs_pg</vt:lpstr>
      <vt:lpstr>input_mgmt_cl01_az1_uplink01_pg</vt:lpstr>
      <vt:lpstr>input_mgmt_cl01_az1_uplink02_pg</vt:lpstr>
      <vt:lpstr>input_mgmt_cl01_az1_vcf_mgmt_pg</vt:lpstr>
      <vt:lpstr>input_mgmt_cl01_az1_vmotion_pg</vt:lpstr>
      <vt:lpstr>input_mgmt_cl01_az1_vsan_pg</vt:lpstr>
      <vt:lpstr>input_mgmt_cl01_cluster</vt:lpstr>
      <vt:lpstr>input_mgmt_cl01_cluster_sddc_id</vt:lpstr>
      <vt:lpstr>input_mgmt_cl01_nfs_server_ip</vt:lpstr>
      <vt:lpstr>input_mgmt_cl01_nfs_share</vt:lpstr>
      <vt:lpstr>input_mgmt_cl01_vds01_lag_name</vt:lpstr>
      <vt:lpstr>input_mgmt_cl01_vds01_mtu</vt:lpstr>
      <vt:lpstr>input_mgmt_cl01_vds01_name</vt:lpstr>
      <vt:lpstr>input_mgmt_cl01_vds01_uplink_count</vt:lpstr>
      <vt:lpstr>input_mgmt_cl01_vds01_uplink1</vt:lpstr>
      <vt:lpstr>input_mgmt_cl01_vds01_uplink2</vt:lpstr>
      <vt:lpstr>input_mgmt_cl01_vds02_lag_name</vt:lpstr>
      <vt:lpstr>input_mgmt_cl01_vds02_mtu</vt:lpstr>
      <vt:lpstr>input_mgmt_cl01_vds02_name</vt:lpstr>
      <vt:lpstr>input_mgmt_cl01_vds02_uplink_count</vt:lpstr>
      <vt:lpstr>input_mgmt_cl01_vds02_uplink1</vt:lpstr>
      <vt:lpstr>input_mgmt_cl01_vds02_uplink2</vt:lpstr>
      <vt:lpstr>input_mgmt_cl01_vds03_lag_name</vt:lpstr>
      <vt:lpstr>input_mgmt_cl01_vds03_mtu</vt:lpstr>
      <vt:lpstr>input_mgmt_cl01_vds03_name</vt:lpstr>
      <vt:lpstr>input_mgmt_cl01_vds03_uplink_count</vt:lpstr>
      <vt:lpstr>input_mgmt_cl01_vds03_uplink1</vt:lpstr>
      <vt:lpstr>input_mgmt_cl01_vds03_uplink2</vt:lpstr>
      <vt:lpstr>input_mgmt_cl01_vsan_datastore</vt:lpstr>
      <vt:lpstr>input_mgmt_cross_instance_linked_t0_name</vt:lpstr>
      <vt:lpstr>input_mgmt_datacenter</vt:lpstr>
      <vt:lpstr>input_mgmt_ec_mtu</vt:lpstr>
      <vt:lpstr>input_mgmt_ec_name</vt:lpstr>
      <vt:lpstr>input_mgmt_ec_rp_name</vt:lpstr>
      <vt:lpstr>input_mgmt_ec01_en01_host_group_affinity_rule_name</vt:lpstr>
      <vt:lpstr>input_mgmt_ec01_en02_host_group_affinity_rule_name</vt:lpstr>
      <vt:lpstr>input_mgmt_en_asn</vt:lpstr>
      <vt:lpstr>input_mgmt_existing_active_nsx_gm</vt:lpstr>
      <vt:lpstr>input_mgmt_existing_cross_instance_t0_name</vt:lpstr>
      <vt:lpstr>input_mgmt_host_overlay_transportzone</vt:lpstr>
      <vt:lpstr>input_mgmt_internet_proxy_address</vt:lpstr>
      <vt:lpstr>input_mgmt_internet_proxy_email</vt:lpstr>
      <vt:lpstr>input_mgmt_internet_proxy_password</vt:lpstr>
      <vt:lpstr>input_mgmt_internet_proxy_port</vt:lpstr>
      <vt:lpstr>input_mgmt_mgmt_rp</vt:lpstr>
      <vt:lpstr>input_mgmt_nsx_rp</vt:lpstr>
      <vt:lpstr>input_mgmt_nsxt_en_admin_password</vt:lpstr>
      <vt:lpstr>input_mgmt_nsxt_en_root_password</vt:lpstr>
      <vt:lpstr>input_mgmt_nsxt_federation_global_manager_name</vt:lpstr>
      <vt:lpstr>input_mgmt_nsxt_federation_location_name</vt:lpstr>
      <vt:lpstr>input_mgmt_nsxt_global_mgr_anti_affinity_rule_name</vt:lpstr>
      <vt:lpstr>input_mgmt_nsxt_global_mgr_certificate_id</vt:lpstr>
      <vt:lpstr>input_mgmt_nsxt_global_mgr_cluster_id</vt:lpstr>
      <vt:lpstr>input_mgmt_nsxt_global_mgr_vmca_signed_thumbprint</vt:lpstr>
      <vt:lpstr>input_mgmt_nsxt_global_mgra_fqdn</vt:lpstr>
      <vt:lpstr>input_mgmt_nsxt_global_mgra_hostname</vt:lpstr>
      <vt:lpstr>input_mgmt_nsxt_global_mgra_ip</vt:lpstr>
      <vt:lpstr>input_mgmt_nsxt_global_mgrb_fqdn</vt:lpstr>
      <vt:lpstr>input_mgmt_nsxt_global_mgrb_hostname</vt:lpstr>
      <vt:lpstr>input_mgmt_nsxt_global_mgrb_ip</vt:lpstr>
      <vt:lpstr>input_mgmt_nsxt_global_mgrc_fqdn</vt:lpstr>
      <vt:lpstr>input_mgmt_nsxt_global_mgrc_hostname</vt:lpstr>
      <vt:lpstr>input_mgmt_nsxt_global_mgrc_ip</vt:lpstr>
      <vt:lpstr>input_mgmt_nsxt_gm_fingerprint</vt:lpstr>
      <vt:lpstr>input_mgmt_nsxt_gm_vip_fqdn</vt:lpstr>
      <vt:lpstr>input_mgmt_nsxt_gm_vip_ip</vt:lpstr>
      <vt:lpstr>input_mgmt_nsxt_lm_fingerprint</vt:lpstr>
      <vt:lpstr>input_mgmt_nsxt_mgra_fqdn</vt:lpstr>
      <vt:lpstr>input_mgmt_nsxt_mgra_ip</vt:lpstr>
      <vt:lpstr>input_mgmt_nsxt_mgrb_fqdn</vt:lpstr>
      <vt:lpstr>input_mgmt_nsxt_mgrb_ip</vt:lpstr>
      <vt:lpstr>input_mgmt_nsxt_mgrc_fqdn</vt:lpstr>
      <vt:lpstr>input_mgmt_nsxt_mgrc_ip</vt:lpstr>
      <vt:lpstr>input_mgmt_nsxt_vip_fqdn</vt:lpstr>
      <vt:lpstr>input_mgmt_nsxt_vip_ip</vt:lpstr>
      <vt:lpstr>input_mgmt_nsxt_xreg_t1_name</vt:lpstr>
      <vt:lpstr>input_mgmt_offline_depot_fqdn</vt:lpstr>
      <vt:lpstr>input_mgmt_offline_depot_port</vt:lpstr>
      <vt:lpstr>input_mgmt_recovery_lb_creation_method</vt:lpstr>
      <vt:lpstr>input_mgmt_rtep_overlay_pool_end_ip</vt:lpstr>
      <vt:lpstr>input_mgmt_rtep_overlay_pool_start_ip</vt:lpstr>
      <vt:lpstr>input_mgmt_rwr_recovery_site_az1_mgmt_cidr</vt:lpstr>
      <vt:lpstr>input_mgmt_rwr_vc_fqdn</vt:lpstr>
      <vt:lpstr>input_mgmt_sddc_domain</vt:lpstr>
      <vt:lpstr>input_mgmt_srm_admin_email</vt:lpstr>
      <vt:lpstr>input_mgmt_srm_admin_password</vt:lpstr>
      <vt:lpstr>input_mgmt_srm_database_password</vt:lpstr>
      <vt:lpstr>input_mgmt_srm_days</vt:lpstr>
      <vt:lpstr>input_mgmt_srm_instances_per_day</vt:lpstr>
      <vt:lpstr>input_mgmt_srm_ip</vt:lpstr>
      <vt:lpstr>input_mgmt_srm_logs_pg</vt:lpstr>
      <vt:lpstr>input_mgmt_srm_logs_rp</vt:lpstr>
      <vt:lpstr>input_mgmt_srm_net_pg</vt:lpstr>
      <vt:lpstr>input_mgmt_srm_net_rp</vt:lpstr>
      <vt:lpstr>input_mgmt_srm_p12_password</vt:lpstr>
      <vt:lpstr>input_mgmt_srm_recovery_cluster</vt:lpstr>
      <vt:lpstr>input_mgmt_srm_recovery_datastore</vt:lpstr>
      <vt:lpstr>input_mgmt_srm_recovery_gateway</vt:lpstr>
      <vt:lpstr>input_mgmt_srm_recovery_mask</vt:lpstr>
      <vt:lpstr>input_mgmt_srm_recovery_nsx_ec_name</vt:lpstr>
      <vt:lpstr>input_mgmt_srm_recovery_nsx_location</vt:lpstr>
      <vt:lpstr>input_mgmt_srm_recovery_pg</vt:lpstr>
      <vt:lpstr>input_mgmt_srm_recovery_sddc_manager_domain</vt:lpstr>
      <vt:lpstr>input_mgmt_srm_recovery_sddc_manager_fqdn</vt:lpstr>
      <vt:lpstr>input_mgmt_srm_recovery_sddc_manager_password</vt:lpstr>
      <vt:lpstr>input_mgmt_srm_recovery_sddc_manager_username</vt:lpstr>
      <vt:lpstr>input_mgmt_srm_recovery_t1_si_ip</vt:lpstr>
      <vt:lpstr>input_mgmt_srm_recovery_vcenter_fqdn</vt:lpstr>
      <vt:lpstr>input_mgmt_srm_recovery_vcenter_password</vt:lpstr>
      <vt:lpstr>input_mgmt_srm_recovery_vcenter_username</vt:lpstr>
      <vt:lpstr>input_mgmt_srm_root_password</vt:lpstr>
      <vt:lpstr>input_mgmt_srm_rpo</vt:lpstr>
      <vt:lpstr>input_mgmt_srm_site_name</vt:lpstr>
      <vt:lpstr>input_mgmt_srm_sso_domain_membership</vt:lpstr>
      <vt:lpstr>input_mgmt_srm_vm_folder</vt:lpstr>
      <vt:lpstr>input_mgmt_srm_vra_pg</vt:lpstr>
      <vt:lpstr>input_mgmt_srm_vra_rp</vt:lpstr>
      <vt:lpstr>input_mgmt_srm_vrops_pg</vt:lpstr>
      <vt:lpstr>input_mgmt_srm_vrops_rp</vt:lpstr>
      <vt:lpstr>input_mgmt_srm_vrslcm_wsa_pg</vt:lpstr>
      <vt:lpstr>input_mgmt_srm_vrslcm_wsa_rp</vt:lpstr>
      <vt:lpstr>input_mgmt_sso_domain</vt:lpstr>
      <vt:lpstr>input_mgmt_sso_domain_username</vt:lpstr>
      <vt:lpstr>input_mgmt_tier0_name</vt:lpstr>
      <vt:lpstr>input_mgmt_tier1_name</vt:lpstr>
      <vt:lpstr>input_mgmt_user_edge_rp</vt:lpstr>
      <vt:lpstr>input_mgmt_user_vm_rp</vt:lpstr>
      <vt:lpstr>input_mgmt_vc_fqdn</vt:lpstr>
      <vt:lpstr>input_mgmt_vc_ip</vt:lpstr>
      <vt:lpstr>input_mgmt_vnaa_fqdn</vt:lpstr>
      <vt:lpstr>input_mgmt_vnaa_ip</vt:lpstr>
      <vt:lpstr>input_mgmt_vnab_fqdn</vt:lpstr>
      <vt:lpstr>input_mgmt_vnab_ip</vt:lpstr>
      <vt:lpstr>input_mgmt_vpc_ext_ip_blocks</vt:lpstr>
      <vt:lpstr>input_mgmt_vpc_transit_gateway_ip_blocks</vt:lpstr>
      <vt:lpstr>input_mgmt_vrms_admin_email</vt:lpstr>
      <vt:lpstr>input_mgmt_vrms_admin_password</vt:lpstr>
      <vt:lpstr>input_mgmt_vrms_hostname</vt:lpstr>
      <vt:lpstr>input_mgmt_vrms_mgmt_ip</vt:lpstr>
      <vt:lpstr>input_mgmt_vrms_p12_password</vt:lpstr>
      <vt:lpstr>input_mgmt_vrms_pg</vt:lpstr>
      <vt:lpstr>input_mgmt_vrms_recovery_replication_cidr</vt:lpstr>
      <vt:lpstr>input_mgmt_vrms_root_password</vt:lpstr>
      <vt:lpstr>input_mgmt_vrms_site_name</vt:lpstr>
      <vt:lpstr>input_mgmt_vrms_vm_folder</vt:lpstr>
      <vt:lpstr>input_mgmt_vrms_vrms_ip</vt:lpstr>
      <vt:lpstr>input_mgmt_witness_cluster</vt:lpstr>
      <vt:lpstr>input_mgmt_witness_dns1_ip</vt:lpstr>
      <vt:lpstr>input_mgmt_witness_dns2_ip</vt:lpstr>
      <vt:lpstr>input_mgmt_witness_fqdn</vt:lpstr>
      <vt:lpstr>input_mgmt_witness_hostname</vt:lpstr>
      <vt:lpstr>input_mgmt_witness_ip</vt:lpstr>
      <vt:lpstr>input_mgmt_witness_mgmt_pg</vt:lpstr>
      <vt:lpstr>input_mgmt_witness_ntp1_server</vt:lpstr>
      <vt:lpstr>input_mgmt_witness_ntp2_server</vt:lpstr>
      <vt:lpstr>input_mgmt_witness_root_password</vt:lpstr>
      <vt:lpstr>input_mgmt_witness_vm_folder</vt:lpstr>
      <vt:lpstr>input_mgmt_witness_vsan_datastore</vt:lpstr>
      <vt:lpstr>input_mgmt_witness_zone_vc_fqdn</vt:lpstr>
      <vt:lpstr>input_mgmt_witness_zone_vc_ip</vt:lpstr>
      <vt:lpstr>input_mgmt_witnessaz_mgmt_cidr</vt:lpstr>
      <vt:lpstr>input_mgmt_witnessaz_mgmt_gateway_ip</vt:lpstr>
      <vt:lpstr>input_mgmt_witnessaz_mgmt_mtu</vt:lpstr>
      <vt:lpstr>input_mgmt_witnessaz_mgmt_vlan</vt:lpstr>
      <vt:lpstr>input_nsxt_gm_admin_password</vt:lpstr>
      <vt:lpstr>input_nsxt_gm_audit_password</vt:lpstr>
      <vt:lpstr>input_nsxt_gm_root_password</vt:lpstr>
      <vt:lpstr>input_nsxt_lm_admin_password</vt:lpstr>
      <vt:lpstr>input_nsxt_lm_audit_password</vt:lpstr>
      <vt:lpstr>input_nsxt_lm_root_password</vt:lpstr>
      <vt:lpstr>input_parent_ad_groups_ou</vt:lpstr>
      <vt:lpstr>input_parent_ad_users_ou</vt:lpstr>
      <vt:lpstr>input_parent_dns_zone</vt:lpstr>
      <vt:lpstr>input_parent_gg_wsa_admins_group</vt:lpstr>
      <vt:lpstr>input_parent_gg_wsa_directory_admins_group</vt:lpstr>
      <vt:lpstr>input_parent_gg_wsa_read_only_group</vt:lpstr>
      <vt:lpstr>input_region_ad_child_fqdn</vt:lpstr>
      <vt:lpstr>input_region_ad_child_netbios</vt:lpstr>
      <vt:lpstr>input_region_ad_parent_fqdn</vt:lpstr>
      <vt:lpstr>input_region_ad_parent_netbios</vt:lpstr>
      <vt:lpstr>input_region_dns1_ip</vt:lpstr>
      <vt:lpstr>input_region_dns2_ip</vt:lpstr>
      <vt:lpstr>input_region_ntp1_server</vt:lpstr>
      <vt:lpstr>input_region_ntp2_server</vt:lpstr>
      <vt:lpstr>input_rwr_child_dns_zone</vt:lpstr>
      <vt:lpstr>input_rwr_datacenter</vt:lpstr>
      <vt:lpstr>input_rwr_sso_domain_name</vt:lpstr>
      <vt:lpstr>input_rwr_vlr_replication_password</vt:lpstr>
      <vt:lpstr>input_rwr_vrms_pg</vt:lpstr>
      <vt:lpstr>input_sddc_mgr_admin_local_password</vt:lpstr>
      <vt:lpstr>input_sddc_mgr_fqdn</vt:lpstr>
      <vt:lpstr>input_sddc_mgr_ip</vt:lpstr>
      <vt:lpstr>input_sddc_mgr_root_password</vt:lpstr>
      <vt:lpstr>input_sddc_mgr_vcf_password</vt:lpstr>
      <vt:lpstr>input_sftp_server</vt:lpstr>
      <vt:lpstr>input_sftp_server_backup_dir</vt:lpstr>
      <vt:lpstr>input_sftp_server_passphrase</vt:lpstr>
      <vt:lpstr>input_sftp_server_port</vt:lpstr>
      <vt:lpstr>input_sftp_server_protocol</vt:lpstr>
      <vt:lpstr>input_sftp_server_sshfingerprint</vt:lpstr>
      <vt:lpstr>input_smtp_server</vt:lpstr>
      <vt:lpstr>input_smtp_server_port</vt:lpstr>
      <vt:lpstr>input_svc_cbr_vcdr_vsphere_password</vt:lpstr>
      <vt:lpstr>input_svc_cbr_vcdr_vsphere_user</vt:lpstr>
      <vt:lpstr>input_svc_ccm_hcx_nsx_password</vt:lpstr>
      <vt:lpstr>input_svc_ccm_hcx_nsx_user</vt:lpstr>
      <vt:lpstr>input_svc_ccm_hcx_vsphere_password</vt:lpstr>
      <vt:lpstr>input_svc_ccm_hcx_vsphere_user</vt:lpstr>
      <vt:lpstr>input_svc_hrm_vrops_user</vt:lpstr>
      <vt:lpstr>input_svc_ila_ad_password</vt:lpstr>
      <vt:lpstr>input_svc_ila_ad_user</vt:lpstr>
      <vt:lpstr>input_svc_inv_ad_password</vt:lpstr>
      <vt:lpstr>input_svc_inv_ad_user</vt:lpstr>
      <vt:lpstr>input_svc_inv_vrops_password</vt:lpstr>
      <vt:lpstr>input_svc_inv_vrops_user</vt:lpstr>
      <vt:lpstr>input_svc_inv_vsphere_password</vt:lpstr>
      <vt:lpstr>input_svc_inv_vsphere_user</vt:lpstr>
      <vt:lpstr>input_svc_iom_vcf_password</vt:lpstr>
      <vt:lpstr>input_svc_iom_vcf_user</vt:lpstr>
      <vt:lpstr>input_svc_iom_vsphere_password</vt:lpstr>
      <vt:lpstr>input_svc_iom_vsphere_user</vt:lpstr>
      <vt:lpstr>input_svc_my_vmware_password</vt:lpstr>
      <vt:lpstr>input_svc_vcf_bck_password</vt:lpstr>
      <vt:lpstr>input_svc_vcf_bck_user</vt:lpstr>
      <vt:lpstr>input_svc_vcf_ca_vcf_password</vt:lpstr>
      <vt:lpstr>input_svc_vcf_ca_vcf_user</vt:lpstr>
      <vt:lpstr>input_svc_vra_nsx_password</vt:lpstr>
      <vt:lpstr>input_svc_vra_nsx_user</vt:lpstr>
      <vt:lpstr>input_svc_vra_vcf_password</vt:lpstr>
      <vt:lpstr>input_svc_vra_vcf_user</vt:lpstr>
      <vt:lpstr>input_svc_vra_vrops_password</vt:lpstr>
      <vt:lpstr>input_svc_vra_vrops_user</vt:lpstr>
      <vt:lpstr>input_svc_vra_vsphere_password</vt:lpstr>
      <vt:lpstr>input_svc_vra_vsphere_user</vt:lpstr>
      <vt:lpstr>input_svc_vro_vsphere_password</vt:lpstr>
      <vt:lpstr>input_svc_vro_vsphere_user</vt:lpstr>
      <vt:lpstr>input_svc_vrops_vra_password</vt:lpstr>
      <vt:lpstr>input_svc_vrops_vra_user</vt:lpstr>
      <vt:lpstr>input_vcenter_root_password</vt:lpstr>
      <vt:lpstr>input_vcf_automation_additional_vips</vt:lpstr>
      <vt:lpstr>input_vcf_automation_admin_password</vt:lpstr>
      <vt:lpstr>input_vcf_automation_admin_password_alias</vt:lpstr>
      <vt:lpstr>input_vcf_automation_admin_password_description</vt:lpstr>
      <vt:lpstr>input_vcf_automation_admin_username</vt:lpstr>
      <vt:lpstr>input_vcf_automation_cert_alias</vt:lpstr>
      <vt:lpstr>input_vcf_automation_cert_common_name</vt:lpstr>
      <vt:lpstr>input_vcf_automation_cert_country_code</vt:lpstr>
      <vt:lpstr>input_vcf_automation_cert_file</vt:lpstr>
      <vt:lpstr>input_vcf_automation_cert_locality</vt:lpstr>
      <vt:lpstr>input_vcf_automation_cert_organisation</vt:lpstr>
      <vt:lpstr>input_vcf_automation_cert_state</vt:lpstr>
      <vt:lpstr>input_vcf_automation_folder</vt:lpstr>
      <vt:lpstr>input_vcf_automation_gateway_ip</vt:lpstr>
      <vt:lpstr>input_vcf_automation_mask</vt:lpstr>
      <vt:lpstr>input_vcf_automation_nodea_ip</vt:lpstr>
      <vt:lpstr>input_vcf_automation_nodeb_ip</vt:lpstr>
      <vt:lpstr>input_vcf_automation_nodec_ip</vt:lpstr>
      <vt:lpstr>input_vcf_automation_noded_ip</vt:lpstr>
      <vt:lpstr>input_vcf_automation_nodee_ip</vt:lpstr>
      <vt:lpstr>input_vcf_automation_nodef_ip</vt:lpstr>
      <vt:lpstr>input_vcf_automation_ou_cert</vt:lpstr>
      <vt:lpstr>input_vcf_automation_portgroup</vt:lpstr>
      <vt:lpstr>input_vcf_automation_resource_pool</vt:lpstr>
      <vt:lpstr>input_vcf_automation_root_password</vt:lpstr>
      <vt:lpstr>input_vcf_automation_root_password_alias</vt:lpstr>
      <vt:lpstr>input_vcf_automation_root_password_description</vt:lpstr>
      <vt:lpstr>input_vcf_automation_root_username</vt:lpstr>
      <vt:lpstr>input_vcf_automation_version</vt:lpstr>
      <vt:lpstr>input_vcf_automation_vip_fqdn</vt:lpstr>
      <vt:lpstr>input_vcf_automation_vip_ip</vt:lpstr>
      <vt:lpstr>input_vcf_installer_fqdn</vt:lpstr>
      <vt:lpstr>input_vcf_installer_ip</vt:lpstr>
      <vt:lpstr>input_vcf_instance_name</vt:lpstr>
      <vt:lpstr>input_vrslcm_admin_password</vt:lpstr>
      <vt:lpstr>input_vrslcm_root_password</vt:lpstr>
      <vt:lpstr>input_vvs_dr_dns1_ip</vt:lpstr>
      <vt:lpstr>input_vvs_dr_dns2_ip</vt:lpstr>
      <vt:lpstr>input_vvs_dr_flt_auto_fqdn</vt:lpstr>
      <vt:lpstr>input_vvs_dr_flt_fleet_manager_fqdn</vt:lpstr>
      <vt:lpstr>input_vvs_dr_flt_logs_nodea_fqdn</vt:lpstr>
      <vt:lpstr>input_vvs_dr_flt_logs_nodeb_fqdn</vt:lpstr>
      <vt:lpstr>input_vvs_dr_flt_logs_nodec_fqdn</vt:lpstr>
      <vt:lpstr>input_vvs_dr_flt_net_nodea_fqdn</vt:lpstr>
      <vt:lpstr>input_vvs_dr_flt_net_nodeb_fqdn</vt:lpstr>
      <vt:lpstr>input_vvs_dr_flt_net_nodec_fqdn</vt:lpstr>
      <vt:lpstr>input_vvs_dr_flt_ops_nodea_fqdn</vt:lpstr>
      <vt:lpstr>input_vvs_dr_flt_ops_nodeb_fqdn</vt:lpstr>
      <vt:lpstr>input_vvs_dr_flt_ops_nodec_fqdn</vt:lpstr>
      <vt:lpstr>input_vvs_dr_mgmt_az1_mgmt_vm_pg</vt:lpstr>
      <vt:lpstr>input_vvs_dr_mgmt_cl01_cluster</vt:lpstr>
      <vt:lpstr>input_vvs_dr_mgmt_cl01_datastore</vt:lpstr>
      <vt:lpstr>input_vvs_dr_mgmt_vc_fqdn</vt:lpstr>
      <vt:lpstr>input_vvs_dr_ntp1_server</vt:lpstr>
      <vt:lpstr>input_vvs_dr_parent_dns_zone</vt:lpstr>
      <vt:lpstr>input_vvs_dr_sso_domain</vt:lpstr>
      <vt:lpstr>input_vvs_dr_vr_password</vt:lpstr>
      <vt:lpstr>input_vvs_dr_vr_username</vt:lpstr>
      <vt:lpstr>input_vvs_mgmt_dr_vlr_fqdn</vt:lpstr>
      <vt:lpstr>input_vvs_mgmt_dr_vlr_hostname</vt:lpstr>
      <vt:lpstr>input_witness_dns_zone</vt:lpstr>
      <vt:lpstr>input_wld_administrator_vsphere_local_password</vt:lpstr>
      <vt:lpstr>input_wld_avilb_cluster_name</vt:lpstr>
      <vt:lpstr>input_wld_avilb_cluster_version</vt:lpstr>
      <vt:lpstr>input_wld_avilb_fqdn</vt:lpstr>
      <vt:lpstr>input_wld_avilb_ip</vt:lpstr>
      <vt:lpstr>input_wld_avilb_mgra_ip</vt:lpstr>
      <vt:lpstr>input_wld_avilb_mgrb_ip</vt:lpstr>
      <vt:lpstr>input_wld_avilb_mgrc_ip</vt:lpstr>
      <vt:lpstr>input_wld_az1_edge_overlay_cidr</vt:lpstr>
      <vt:lpstr>input_wld_az1_edge_overlay_gateway_ip</vt:lpstr>
      <vt:lpstr>input_wld_az1_edge_overlay_mask</vt:lpstr>
      <vt:lpstr>input_wld_az1_edge_overlay_network_pool_name</vt:lpstr>
      <vt:lpstr>input_wld_az1_edge_overlay_pool_end_ip</vt:lpstr>
      <vt:lpstr>input_wld_az1_edge_overlay_pool_start_ip</vt:lpstr>
      <vt:lpstr>input_wld_az1_edge_overlay_vlan</vt:lpstr>
      <vt:lpstr>input_wld_az1_en1_edge_overlay_interface_ip_1_ip</vt:lpstr>
      <vt:lpstr>input_wld_az1_en1_edge_overlay_interface_ip_2_ip</vt:lpstr>
      <vt:lpstr>input_wld_az1_en1_eth0_uplink0</vt:lpstr>
      <vt:lpstr>input_wld_az1_en1_eth0_uplink1</vt:lpstr>
      <vt:lpstr>input_wld_az1_en1_eth1_uplink0</vt:lpstr>
      <vt:lpstr>input_wld_az1_en1_eth1_uplink1</vt:lpstr>
      <vt:lpstr>input_wld_az1_en1_fqdn</vt:lpstr>
      <vt:lpstr>input_wld_az1_en1_mgmt_cidr</vt:lpstr>
      <vt:lpstr>input_wld_az1_en1_mgmt_ip</vt:lpstr>
      <vt:lpstr>input_wld_az1_en1_uplink01_interface_cidr</vt:lpstr>
      <vt:lpstr>input_wld_az1_en1_uplink02_interface_cidr</vt:lpstr>
      <vt:lpstr>input_wld_az1_en2_edge_overlay_interface_ip_1_ip</vt:lpstr>
      <vt:lpstr>input_wld_az1_en2_edge_overlay_interface_ip_2_ip</vt:lpstr>
      <vt:lpstr>input_wld_az1_en2_eth0_uplink0</vt:lpstr>
      <vt:lpstr>input_wld_az1_en2_eth0_uplink1</vt:lpstr>
      <vt:lpstr>input_wld_az1_en2_eth1_uplink0</vt:lpstr>
      <vt:lpstr>input_wld_az1_en2_eth1_uplink1</vt:lpstr>
      <vt:lpstr>input_wld_az1_en2_fqdn</vt:lpstr>
      <vt:lpstr>input_wld_az1_en2_mgmt_cidr</vt:lpstr>
      <vt:lpstr>input_wld_az1_en2_mgmt_ip</vt:lpstr>
      <vt:lpstr>input_wld_az1_en2_uplink01_interface_cidr</vt:lpstr>
      <vt:lpstr>input_wld_az1_en2_uplink02_interface_cidr</vt:lpstr>
      <vt:lpstr>input_wld_az1_host_overlay_cidr</vt:lpstr>
      <vt:lpstr>input_wld_az1_host_overlay_gateway_ip</vt:lpstr>
      <vt:lpstr>input_wld_az1_host_overlay_mtu</vt:lpstr>
      <vt:lpstr>input_wld_az1_host_overlay_network_pool_description</vt:lpstr>
      <vt:lpstr>input_wld_az1_host_overlay_network_pool_name</vt:lpstr>
      <vt:lpstr>input_wld_az1_host_overlay_pool_end_ip</vt:lpstr>
      <vt:lpstr>input_wld_az1_host_overlay_pool_start_ip</vt:lpstr>
      <vt:lpstr>input_wld_az1_host_overlay_uplink_profile_name</vt:lpstr>
      <vt:lpstr>input_wld_az1_host_overlay_vlan</vt:lpstr>
      <vt:lpstr>input_wld_az1_host1_fqdn</vt:lpstr>
      <vt:lpstr>input_wld_az1_host1_mgmt_ip</vt:lpstr>
      <vt:lpstr>input_wld_az1_host1_vrms_ip</vt:lpstr>
      <vt:lpstr>input_wld_az1_host10_fqdn</vt:lpstr>
      <vt:lpstr>input_wld_az1_host10_mgmt_ip</vt:lpstr>
      <vt:lpstr>input_wld_az1_host10_vrms_ip</vt:lpstr>
      <vt:lpstr>input_wld_az1_host11_fqdn</vt:lpstr>
      <vt:lpstr>input_wld_az1_host11_mgmt_ip</vt:lpstr>
      <vt:lpstr>input_wld_az1_host11_vrms_ip</vt:lpstr>
      <vt:lpstr>input_wld_az1_host12_fqdn</vt:lpstr>
      <vt:lpstr>input_wld_az1_host12_mgmt_ip</vt:lpstr>
      <vt:lpstr>input_wld_az1_host12_vrms_ip</vt:lpstr>
      <vt:lpstr>input_wld_az1_host13_fqdn</vt:lpstr>
      <vt:lpstr>input_wld_az1_host13_mgmt_ip</vt:lpstr>
      <vt:lpstr>input_wld_az1_host13_vrms_ip</vt:lpstr>
      <vt:lpstr>input_wld_az1_host14_fqdn</vt:lpstr>
      <vt:lpstr>input_wld_az1_host14_mgmt_ip</vt:lpstr>
      <vt:lpstr>input_wld_az1_host14_vrms_ip</vt:lpstr>
      <vt:lpstr>input_wld_az1_host15_fqdn</vt:lpstr>
      <vt:lpstr>input_wld_az1_host15_mgmt_ip</vt:lpstr>
      <vt:lpstr>input_wld_az1_host15_vrms_ip</vt:lpstr>
      <vt:lpstr>input_wld_az1_host16_fqdn</vt:lpstr>
      <vt:lpstr>input_wld_az1_host16_mgmt_ip</vt:lpstr>
      <vt:lpstr>input_wld_az1_host16_vrms_ip</vt:lpstr>
      <vt:lpstr>input_wld_az1_host2_fqdn</vt:lpstr>
      <vt:lpstr>input_wld_az1_host2_mgmt_ip</vt:lpstr>
      <vt:lpstr>input_wld_az1_host2_vrms_ip</vt:lpstr>
      <vt:lpstr>input_wld_az1_host3_fqdn</vt:lpstr>
      <vt:lpstr>input_wld_az1_host3_mgmt_ip</vt:lpstr>
      <vt:lpstr>input_wld_az1_host3_vrms_ip</vt:lpstr>
      <vt:lpstr>input_wld_az1_host4_fqdn</vt:lpstr>
      <vt:lpstr>input_wld_az1_host4_mgmt_ip</vt:lpstr>
      <vt:lpstr>input_wld_az1_host4_vrms_ip</vt:lpstr>
      <vt:lpstr>input_wld_az1_host5_fqdn</vt:lpstr>
      <vt:lpstr>input_wld_az1_host5_mgmt_ip</vt:lpstr>
      <vt:lpstr>input_wld_az1_host5_vrms_ip</vt:lpstr>
      <vt:lpstr>input_wld_az1_host6_fqdn</vt:lpstr>
      <vt:lpstr>input_wld_az1_host6_mgmt_ip</vt:lpstr>
      <vt:lpstr>input_wld_az1_host6_vrms_ip</vt:lpstr>
      <vt:lpstr>input_wld_az1_host7_fqdn</vt:lpstr>
      <vt:lpstr>input_wld_az1_host7_mgmt_ip</vt:lpstr>
      <vt:lpstr>input_wld_az1_host7_vrms_ip</vt:lpstr>
      <vt:lpstr>input_wld_az1_host8_fqdn</vt:lpstr>
      <vt:lpstr>input_wld_az1_host8_mgmt_ip</vt:lpstr>
      <vt:lpstr>input_wld_az1_host8_vrms_ip</vt:lpstr>
      <vt:lpstr>input_wld_az1_host9_fqdn</vt:lpstr>
      <vt:lpstr>input_wld_az1_host9_mgmt_ip</vt:lpstr>
      <vt:lpstr>input_wld_az1_host9_vrms_ip</vt:lpstr>
      <vt:lpstr>input_wld_az1_mgmt_cidr</vt:lpstr>
      <vt:lpstr>input_wld_az1_mgmt_gateway_ip</vt:lpstr>
      <vt:lpstr>input_wld_az1_mgmt_mtu</vt:lpstr>
      <vt:lpstr>input_wld_az1_mgmt_vlan</vt:lpstr>
      <vt:lpstr>input_wld_az1_mgmt_vm_cidr</vt:lpstr>
      <vt:lpstr>input_wld_az1_mgmt_vm_gateway_ip</vt:lpstr>
      <vt:lpstr>input_wld_az1_mgmt_vm_mtu</vt:lpstr>
      <vt:lpstr>input_wld_az1_mgmt_vm_vlan</vt:lpstr>
      <vt:lpstr>input_wld_az1_pool_name</vt:lpstr>
      <vt:lpstr>input_wld_az1_principal_storage_gateway_ip</vt:lpstr>
      <vt:lpstr>input_wld_az1_principal_storage_mask</vt:lpstr>
      <vt:lpstr>input_wld_az1_principal_storage_mtu</vt:lpstr>
      <vt:lpstr>input_wld_az1_principal_storage_network</vt:lpstr>
      <vt:lpstr>input_wld_az1_principal_storage_pool_end_ip</vt:lpstr>
      <vt:lpstr>input_wld_az1_principal_storage_pool_start_ip</vt:lpstr>
      <vt:lpstr>input_wld_az1_principal_storage_vlan</vt:lpstr>
      <vt:lpstr>input_wld_az1_rack1_host_overlay_network_profile_name</vt:lpstr>
      <vt:lpstr>input_wld_az1_rack2_edge_overlay_gateway_ip</vt:lpstr>
      <vt:lpstr>input_wld_az1_rack2_edge_overlay_mask</vt:lpstr>
      <vt:lpstr>input_wld_az1_rack2_edge_overlay_mtu</vt:lpstr>
      <vt:lpstr>input_wld_az1_rack2_edge_overlay_network</vt:lpstr>
      <vt:lpstr>input_wld_az1_rack2_edge_overlay_network_pool_name</vt:lpstr>
      <vt:lpstr>input_wld_az1_rack2_edge_overlay_pool_end_ip</vt:lpstr>
      <vt:lpstr>input_wld_az1_rack2_edge_overlay_pool_start_ip</vt:lpstr>
      <vt:lpstr>input_wld_az1_rack2_edge_overlay_vlan</vt:lpstr>
      <vt:lpstr>input_wld_az1_rack2_host_overlay_cidr</vt:lpstr>
      <vt:lpstr>input_wld_az1_rack2_host_overlay_gateway_ip</vt:lpstr>
      <vt:lpstr>input_wld_az1_rack2_host_overlay_mask</vt:lpstr>
      <vt:lpstr>input_wld_az1_rack2_host_overlay_mtu</vt:lpstr>
      <vt:lpstr>input_wld_az1_rack2_host_overlay_network</vt:lpstr>
      <vt:lpstr>input_wld_az1_rack2_host_overlay_network_pool_name</vt:lpstr>
      <vt:lpstr>input_wld_az1_rack2_host_overlay_network_profile_name</vt:lpstr>
      <vt:lpstr>input_wld_az1_rack2_host_overlay_pool_end_ip</vt:lpstr>
      <vt:lpstr>input_wld_az1_rack2_host_overlay_pool_start_ip</vt:lpstr>
      <vt:lpstr>input_wld_az1_rack2_host_overlay_uplink_profile_name</vt:lpstr>
      <vt:lpstr>input_wld_az1_rack2_host_overlay_vlan</vt:lpstr>
      <vt:lpstr>input_wld_az1_rack2_host1_fqdn</vt:lpstr>
      <vt:lpstr>input_wld_az1_rack2_host1_mgmt_ip</vt:lpstr>
      <vt:lpstr>input_wld_az1_rack2_host10_fqdn</vt:lpstr>
      <vt:lpstr>input_wld_az1_rack2_host10_mgmt_ip</vt:lpstr>
      <vt:lpstr>input_wld_az1_rack2_host11_fqdn</vt:lpstr>
      <vt:lpstr>input_wld_az1_rack2_host11_mgmt_ip</vt:lpstr>
      <vt:lpstr>input_wld_az1_rack2_host12_fqdn</vt:lpstr>
      <vt:lpstr>input_wld_az1_rack2_host12_mgmt_ip</vt:lpstr>
      <vt:lpstr>input_wld_az1_rack2_host13_fqdn</vt:lpstr>
      <vt:lpstr>input_wld_az1_rack2_host13_mgmt_ip</vt:lpstr>
      <vt:lpstr>input_wld_az1_rack2_host14_fqdn</vt:lpstr>
      <vt:lpstr>input_wld_az1_rack2_host14_mgmt_ip</vt:lpstr>
      <vt:lpstr>input_wld_az1_rack2_host15_fqdn</vt:lpstr>
      <vt:lpstr>input_wld_az1_rack2_host15_mgmt_ip</vt:lpstr>
      <vt:lpstr>input_wld_az1_rack2_host16_fqdn</vt:lpstr>
      <vt:lpstr>input_wld_az1_rack2_host16_mgmt_ip</vt:lpstr>
      <vt:lpstr>input_wld_az1_rack2_host2_fqdn</vt:lpstr>
      <vt:lpstr>input_wld_az1_rack2_host2_mgmt_ip</vt:lpstr>
      <vt:lpstr>input_wld_az1_rack2_host3_fqdn</vt:lpstr>
      <vt:lpstr>input_wld_az1_rack2_host3_mgmt_ip</vt:lpstr>
      <vt:lpstr>input_wld_az1_rack2_host4_fqdn</vt:lpstr>
      <vt:lpstr>input_wld_az1_rack2_host4_mgmt_ip</vt:lpstr>
      <vt:lpstr>input_wld_az1_rack2_host5_fqdn</vt:lpstr>
      <vt:lpstr>input_wld_az1_rack2_host5_mgmt_ip</vt:lpstr>
      <vt:lpstr>input_wld_az1_rack2_host6_fqdn</vt:lpstr>
      <vt:lpstr>input_wld_az1_rack2_host6_mgmt_ip</vt:lpstr>
      <vt:lpstr>input_wld_az1_rack2_host7_fqdn</vt:lpstr>
      <vt:lpstr>input_wld_az1_rack2_host7_mgmt_ip</vt:lpstr>
      <vt:lpstr>input_wld_az1_rack2_host8_fqdn</vt:lpstr>
      <vt:lpstr>input_wld_az1_rack2_host8_mgmt_ip</vt:lpstr>
      <vt:lpstr>input_wld_az1_rack2_host9_fqdn</vt:lpstr>
      <vt:lpstr>input_wld_az1_rack2_host9_mgmt_ip</vt:lpstr>
      <vt:lpstr>input_wld_az1_rack2_mgmt_cidr</vt:lpstr>
      <vt:lpstr>input_wld_az1_rack2_mgmt_gateway_ip</vt:lpstr>
      <vt:lpstr>input_wld_az1_rack2_mgmt_mtu</vt:lpstr>
      <vt:lpstr>input_wld_az1_rack2_mgmt_vlan</vt:lpstr>
      <vt:lpstr>input_wld_az1_rack2_mgmt_vm_cidr</vt:lpstr>
      <vt:lpstr>input_wld_az1_rack2_mgmt_vm_gateway_ip</vt:lpstr>
      <vt:lpstr>input_wld_az1_rack2_mgmt_vm_mtu</vt:lpstr>
      <vt:lpstr>input_wld_az1_rack2_mgmt_vm_vlan</vt:lpstr>
      <vt:lpstr>input_wld_az1_rack2_pool_name</vt:lpstr>
      <vt:lpstr>input_wld_az1_rack2_principal_storage_cidr</vt:lpstr>
      <vt:lpstr>input_wld_az1_rack2_principal_storage_gateway_ip</vt:lpstr>
      <vt:lpstr>input_wld_az1_rack2_principal_storage_mask</vt:lpstr>
      <vt:lpstr>input_wld_az1_rack2_principal_storage_mtu</vt:lpstr>
      <vt:lpstr>input_wld_az1_rack2_principal_storage_network</vt:lpstr>
      <vt:lpstr>input_wld_az1_rack2_principal_storage_pool_end_ip</vt:lpstr>
      <vt:lpstr>input_wld_az1_rack2_principal_storage_pool_start_ip</vt:lpstr>
      <vt:lpstr>input_wld_az1_rack2_principal_storage_vlan</vt:lpstr>
      <vt:lpstr>input_wld_az1_rack2_rtep_ip_pool_name</vt:lpstr>
      <vt:lpstr>input_wld_az1_rack2_secondary_storage_cidr</vt:lpstr>
      <vt:lpstr>input_wld_az1_rack2_secondary_storage_gateway_ip</vt:lpstr>
      <vt:lpstr>input_wld_az1_rack2_secondary_storage_mask</vt:lpstr>
      <vt:lpstr>input_wld_az1_rack2_secondary_storage_mtu</vt:lpstr>
      <vt:lpstr>input_wld_az1_rack2_secondary_storage_network</vt:lpstr>
      <vt:lpstr>input_wld_az1_rack2_secondary_storage_pool_end_ip</vt:lpstr>
      <vt:lpstr>input_wld_az1_rack2_secondary_storage_pool_start_ip</vt:lpstr>
      <vt:lpstr>input_wld_az1_rack2_secondary_storage_vlan</vt:lpstr>
      <vt:lpstr>input_wld_az1_rack2_tor1_peer_asn</vt:lpstr>
      <vt:lpstr>input_wld_az1_rack2_tor1_peer_bgp_password</vt:lpstr>
      <vt:lpstr>input_wld_az1_rack2_tor1_peer_ip</vt:lpstr>
      <vt:lpstr>input_wld_az1_rack2_tor2_peer_asn</vt:lpstr>
      <vt:lpstr>input_wld_az1_rack2_tor2_peer_bgp_password</vt:lpstr>
      <vt:lpstr>input_wld_az1_rack2_tor2_peer_ip</vt:lpstr>
      <vt:lpstr>input_wld_az1_rack2_uplink01_gateway_ip</vt:lpstr>
      <vt:lpstr>input_wld_az1_rack2_uplink01_mask</vt:lpstr>
      <vt:lpstr>input_wld_az1_rack2_uplink01_mtu</vt:lpstr>
      <vt:lpstr>input_wld_az1_rack2_uplink01_network</vt:lpstr>
      <vt:lpstr>input_wld_az1_rack2_uplink01_vlan</vt:lpstr>
      <vt:lpstr>input_wld_az1_rack2_uplink02_gateway_ip</vt:lpstr>
      <vt:lpstr>input_wld_az1_rack2_uplink02_mask</vt:lpstr>
      <vt:lpstr>input_wld_az1_rack2_uplink02_mtu</vt:lpstr>
      <vt:lpstr>input_wld_az1_rack2_uplink02_network</vt:lpstr>
      <vt:lpstr>input_wld_az1_rack2_uplink02_vlan</vt:lpstr>
      <vt:lpstr>input_wld_az1_rack2_vmotion_cidr</vt:lpstr>
      <vt:lpstr>input_wld_az1_rack2_vmotion_gateway_ip</vt:lpstr>
      <vt:lpstr>input_wld_az1_rack2_vmotion_mask</vt:lpstr>
      <vt:lpstr>input_wld_az1_rack2_vmotion_mtu</vt:lpstr>
      <vt:lpstr>input_wld_az1_rack2_vmotion_network</vt:lpstr>
      <vt:lpstr>input_wld_az1_rack2_vmotion_pool_end_ip</vt:lpstr>
      <vt:lpstr>input_wld_az1_rack2_vmotion_pool_start_ip</vt:lpstr>
      <vt:lpstr>input_wld_az1_rack2_vmotion_vlan</vt:lpstr>
      <vt:lpstr>input_wld_az1_rack2_vsan_fault_domain</vt:lpstr>
      <vt:lpstr>input_wld_az1_rack3_edge_overlay_gateway_ip</vt:lpstr>
      <vt:lpstr>input_wld_az1_rack3_edge_overlay_mask</vt:lpstr>
      <vt:lpstr>input_wld_az1_rack3_edge_overlay_mtu</vt:lpstr>
      <vt:lpstr>input_wld_az1_rack3_edge_overlay_network</vt:lpstr>
      <vt:lpstr>input_wld_az1_rack3_edge_overlay_network_pool_name</vt:lpstr>
      <vt:lpstr>input_wld_az1_rack3_edge_overlay_pool_end_ip</vt:lpstr>
      <vt:lpstr>input_wld_az1_rack3_edge_overlay_pool_start_ip</vt:lpstr>
      <vt:lpstr>input_wld_az1_rack3_edge_overlay_vlan</vt:lpstr>
      <vt:lpstr>input_wld_az1_rack3_host_overlay_cidr</vt:lpstr>
      <vt:lpstr>input_wld_az1_rack3_host_overlay_gateway_ip</vt:lpstr>
      <vt:lpstr>input_wld_az1_rack3_host_overlay_mask</vt:lpstr>
      <vt:lpstr>input_wld_az1_rack3_host_overlay_mtu</vt:lpstr>
      <vt:lpstr>input_wld_az1_rack3_host_overlay_network</vt:lpstr>
      <vt:lpstr>input_wld_az1_rack3_host_overlay_network_pool_name</vt:lpstr>
      <vt:lpstr>input_wld_az1_rack3_host_overlay_network_profile_name</vt:lpstr>
      <vt:lpstr>input_wld_az1_rack3_host_overlay_pool_end_ip</vt:lpstr>
      <vt:lpstr>input_wld_az1_rack3_host_overlay_pool_start_ip</vt:lpstr>
      <vt:lpstr>input_wld_az1_rack3_host_overlay_uplink_profile_name</vt:lpstr>
      <vt:lpstr>input_wld_az1_rack3_host_overlay_vlan</vt:lpstr>
      <vt:lpstr>input_wld_az1_rack3_host1_fqdn</vt:lpstr>
      <vt:lpstr>input_wld_az1_rack3_host1_mgmt_ip</vt:lpstr>
      <vt:lpstr>input_wld_az1_rack3_host10_fqdn</vt:lpstr>
      <vt:lpstr>input_wld_az1_rack3_host10_mgmt_ip</vt:lpstr>
      <vt:lpstr>input_wld_az1_rack3_host11_fqdn</vt:lpstr>
      <vt:lpstr>input_wld_az1_rack3_host11_mgmt_ip</vt:lpstr>
      <vt:lpstr>input_wld_az1_rack3_host12_fqdn</vt:lpstr>
      <vt:lpstr>input_wld_az1_rack3_host12_mgmt_ip</vt:lpstr>
      <vt:lpstr>input_wld_az1_rack3_host13_fqdn</vt:lpstr>
      <vt:lpstr>input_wld_az1_rack3_host13_mgmt_ip</vt:lpstr>
      <vt:lpstr>input_wld_az1_rack3_host14_fqdn</vt:lpstr>
      <vt:lpstr>input_wld_az1_rack3_host14_mgmt_ip</vt:lpstr>
      <vt:lpstr>input_wld_az1_rack3_host15_fqdn</vt:lpstr>
      <vt:lpstr>input_wld_az1_rack3_host15_mgmt_ip</vt:lpstr>
      <vt:lpstr>input_wld_az1_rack3_host16_fqdn</vt:lpstr>
      <vt:lpstr>input_wld_az1_rack3_host16_mgmt_ip</vt:lpstr>
      <vt:lpstr>input_wld_az1_rack3_host2_fqdn</vt:lpstr>
      <vt:lpstr>input_wld_az1_rack3_host2_mgmt_ip</vt:lpstr>
      <vt:lpstr>input_wld_az1_rack3_host3_fqdn</vt:lpstr>
      <vt:lpstr>input_wld_az1_rack3_host3_mgmt_ip</vt:lpstr>
      <vt:lpstr>input_wld_az1_rack3_host4_fqdn</vt:lpstr>
      <vt:lpstr>input_wld_az1_rack3_host4_mgmt_ip</vt:lpstr>
      <vt:lpstr>input_wld_az1_rack3_host5_fqdn</vt:lpstr>
      <vt:lpstr>input_wld_az1_rack3_host5_mgmt_ip</vt:lpstr>
      <vt:lpstr>input_wld_az1_rack3_host6_fqdn</vt:lpstr>
      <vt:lpstr>input_wld_az1_rack3_host6_mgmt_ip</vt:lpstr>
      <vt:lpstr>input_wld_az1_rack3_host7_fqdn</vt:lpstr>
      <vt:lpstr>input_wld_az1_rack3_host7_mgmt_ip</vt:lpstr>
      <vt:lpstr>input_wld_az1_rack3_host8_fqdn</vt:lpstr>
      <vt:lpstr>input_wld_az1_rack3_host8_mgmt_ip</vt:lpstr>
      <vt:lpstr>input_wld_az1_rack3_host9_fqdn</vt:lpstr>
      <vt:lpstr>input_wld_az1_rack3_host9_mgmt_ip</vt:lpstr>
      <vt:lpstr>input_wld_az1_rack3_mgmt_cidr</vt:lpstr>
      <vt:lpstr>input_wld_az1_rack3_mgmt_gateway_ip</vt:lpstr>
      <vt:lpstr>input_wld_az1_rack3_mgmt_mtu</vt:lpstr>
      <vt:lpstr>input_wld_az1_rack3_mgmt_vlan</vt:lpstr>
      <vt:lpstr>input_wld_az1_rack3_mgmt_vm_cidr</vt:lpstr>
      <vt:lpstr>input_wld_az1_rack3_mgmt_vm_gateway_ip</vt:lpstr>
      <vt:lpstr>input_wld_az1_rack3_mgmt_vm_mtu</vt:lpstr>
      <vt:lpstr>input_wld_az1_rack3_mgmt_vm_vlan</vt:lpstr>
      <vt:lpstr>input_wld_az1_rack3_pool_name</vt:lpstr>
      <vt:lpstr>input_wld_az1_rack3_principal_storage_cidr</vt:lpstr>
      <vt:lpstr>input_wld_az1_rack3_principal_storage_gateway_ip</vt:lpstr>
      <vt:lpstr>input_wld_az1_rack3_principal_storage_mask</vt:lpstr>
      <vt:lpstr>input_wld_az1_rack3_principal_storage_mtu</vt:lpstr>
      <vt:lpstr>input_wld_az1_rack3_principal_storage_network</vt:lpstr>
      <vt:lpstr>input_wld_az1_rack3_principal_storage_pool_end_ip</vt:lpstr>
      <vt:lpstr>input_wld_az1_rack3_principal_storage_pool_start_ip</vt:lpstr>
      <vt:lpstr>input_wld_az1_rack3_principal_storage_vlan</vt:lpstr>
      <vt:lpstr>input_wld_az1_rack3_rtep_ip_pool_name</vt:lpstr>
      <vt:lpstr>input_wld_az1_rack3_secondary_storage_cidr</vt:lpstr>
      <vt:lpstr>input_wld_az1_rack3_secondary_storage_gateway_ip</vt:lpstr>
      <vt:lpstr>input_wld_az1_rack3_secondary_storage_mask</vt:lpstr>
      <vt:lpstr>input_wld_az1_rack3_secondary_storage_mtu</vt:lpstr>
      <vt:lpstr>input_wld_az1_rack3_secondary_storage_network</vt:lpstr>
      <vt:lpstr>input_wld_az1_rack3_secondary_storage_pool_end_ip</vt:lpstr>
      <vt:lpstr>input_wld_az1_rack3_secondary_storage_pool_start_ip</vt:lpstr>
      <vt:lpstr>input_wld_az1_rack3_secondary_storage_vlan</vt:lpstr>
      <vt:lpstr>input_wld_az1_rack3_tor1_peer_asn</vt:lpstr>
      <vt:lpstr>input_wld_az1_rack3_tor1_peer_bgp_password</vt:lpstr>
      <vt:lpstr>input_wld_az1_rack3_tor1_peer_ip</vt:lpstr>
      <vt:lpstr>input_wld_az1_rack3_tor2_peer_asn</vt:lpstr>
      <vt:lpstr>input_wld_az1_rack3_tor2_peer_bgp_password</vt:lpstr>
      <vt:lpstr>input_wld_az1_rack3_tor2_peer_ip</vt:lpstr>
      <vt:lpstr>input_wld_az1_rack3_uplink01_gateway_ip</vt:lpstr>
      <vt:lpstr>input_wld_az1_rack3_uplink01_mask</vt:lpstr>
      <vt:lpstr>input_wld_az1_rack3_uplink01_mtu</vt:lpstr>
      <vt:lpstr>input_wld_az1_rack3_uplink01_network</vt:lpstr>
      <vt:lpstr>input_wld_az1_rack3_uplink01_vlan</vt:lpstr>
      <vt:lpstr>input_wld_az1_rack3_uplink02_gateway_ip</vt:lpstr>
      <vt:lpstr>input_wld_az1_rack3_uplink02_mask</vt:lpstr>
      <vt:lpstr>input_wld_az1_rack3_uplink02_mtu</vt:lpstr>
      <vt:lpstr>input_wld_az1_rack3_uplink02_network</vt:lpstr>
      <vt:lpstr>input_wld_az1_rack3_uplink02_vlan</vt:lpstr>
      <vt:lpstr>input_wld_az1_rack3_vmotion_cidr</vt:lpstr>
      <vt:lpstr>input_wld_az1_rack3_vmotion_gateway_ip</vt:lpstr>
      <vt:lpstr>input_wld_az1_rack3_vmotion_mask</vt:lpstr>
      <vt:lpstr>input_wld_az1_rack3_vmotion_mtu</vt:lpstr>
      <vt:lpstr>input_wld_az1_rack3_vmotion_network</vt:lpstr>
      <vt:lpstr>input_wld_az1_rack3_vmotion_pool_end_ip</vt:lpstr>
      <vt:lpstr>input_wld_az1_rack3_vmotion_pool_start_ip</vt:lpstr>
      <vt:lpstr>input_wld_az1_rack3_vmotion_vlan</vt:lpstr>
      <vt:lpstr>input_wld_az1_rack3_vsan_fault_domain</vt:lpstr>
      <vt:lpstr>input_wld_az1_rack4_edge_overlay_gateway_ip</vt:lpstr>
      <vt:lpstr>input_wld_az1_rack4_edge_overlay_mask</vt:lpstr>
      <vt:lpstr>input_wld_az1_rack4_edge_overlay_mtu</vt:lpstr>
      <vt:lpstr>input_wld_az1_rack4_edge_overlay_network</vt:lpstr>
      <vt:lpstr>input_wld_az1_rack4_edge_overlay_network_pool_name</vt:lpstr>
      <vt:lpstr>input_wld_az1_rack4_edge_overlay_pool_end_ip</vt:lpstr>
      <vt:lpstr>input_wld_az1_rack4_edge_overlay_pool_start_ip</vt:lpstr>
      <vt:lpstr>input_wld_az1_rack4_edge_overlay_vlan</vt:lpstr>
      <vt:lpstr>input_wld_az1_rack4_host_overlay_cidr</vt:lpstr>
      <vt:lpstr>input_wld_az1_rack4_host_overlay_gateway_ip</vt:lpstr>
      <vt:lpstr>input_wld_az1_rack4_host_overlay_mask</vt:lpstr>
      <vt:lpstr>input_wld_az1_rack4_host_overlay_mtu</vt:lpstr>
      <vt:lpstr>input_wld_az1_rack4_host_overlay_network</vt:lpstr>
      <vt:lpstr>input_wld_az1_rack4_host_overlay_network_pool_name</vt:lpstr>
      <vt:lpstr>input_wld_az1_rack4_host_overlay_network_profile_name</vt:lpstr>
      <vt:lpstr>input_wld_az1_rack4_host_overlay_pool_end_ip</vt:lpstr>
      <vt:lpstr>input_wld_az1_rack4_host_overlay_pool_start_ip</vt:lpstr>
      <vt:lpstr>input_wld_az1_rack4_host_overlay_uplink_profile_name</vt:lpstr>
      <vt:lpstr>input_wld_az1_rack4_host_overlay_vlan</vt:lpstr>
      <vt:lpstr>input_wld_az1_rack4_host1_fqdn</vt:lpstr>
      <vt:lpstr>input_wld_az1_rack4_host1_mgmt_ip</vt:lpstr>
      <vt:lpstr>input_wld_az1_rack4_host10_fqdn</vt:lpstr>
      <vt:lpstr>input_wld_az1_rack4_host10_mgmt_ip</vt:lpstr>
      <vt:lpstr>input_wld_az1_rack4_host11_fqdn</vt:lpstr>
      <vt:lpstr>input_wld_az1_rack4_host11_mgmt_ip</vt:lpstr>
      <vt:lpstr>input_wld_az1_rack4_host12_fqdn</vt:lpstr>
      <vt:lpstr>input_wld_az1_rack4_host12_mgmt_ip</vt:lpstr>
      <vt:lpstr>input_wld_az1_rack4_host13_fqdn</vt:lpstr>
      <vt:lpstr>input_wld_az1_rack4_host13_mgmt_ip</vt:lpstr>
      <vt:lpstr>input_wld_az1_rack4_host14_fqdn</vt:lpstr>
      <vt:lpstr>input_wld_az1_rack4_host14_mgmt_ip</vt:lpstr>
      <vt:lpstr>input_wld_az1_rack4_host15_fqdn</vt:lpstr>
      <vt:lpstr>input_wld_az1_rack4_host15_mgmt_ip</vt:lpstr>
      <vt:lpstr>input_wld_az1_rack4_host16_fqdn</vt:lpstr>
      <vt:lpstr>input_wld_az1_rack4_host16_mgmt_ip</vt:lpstr>
      <vt:lpstr>input_wld_az1_rack4_host2_fqdn</vt:lpstr>
      <vt:lpstr>input_wld_az1_rack4_host2_mgmt_ip</vt:lpstr>
      <vt:lpstr>input_wld_az1_rack4_host3_fqdn</vt:lpstr>
      <vt:lpstr>input_wld_az1_rack4_host3_mgmt_ip</vt:lpstr>
      <vt:lpstr>input_wld_az1_rack4_host4_fqdn</vt:lpstr>
      <vt:lpstr>input_wld_az1_rack4_host4_mgmt_ip</vt:lpstr>
      <vt:lpstr>input_wld_az1_rack4_host5_fqdn</vt:lpstr>
      <vt:lpstr>input_wld_az1_rack4_host5_mgmt_ip</vt:lpstr>
      <vt:lpstr>input_wld_az1_rack4_host6_fqdn</vt:lpstr>
      <vt:lpstr>input_wld_az1_rack4_host6_mgmt_ip</vt:lpstr>
      <vt:lpstr>input_wld_az1_rack4_host7_fqdn</vt:lpstr>
      <vt:lpstr>input_wld_az1_rack4_host7_mgmt_ip</vt:lpstr>
      <vt:lpstr>input_wld_az1_rack4_host8_fqdn</vt:lpstr>
      <vt:lpstr>input_wld_az1_rack4_host8_mgmt_ip</vt:lpstr>
      <vt:lpstr>input_wld_az1_rack4_host9_fqdn</vt:lpstr>
      <vt:lpstr>input_wld_az1_rack4_host9_mgmt_ip</vt:lpstr>
      <vt:lpstr>input_wld_az1_rack4_mgmt_cidr</vt:lpstr>
      <vt:lpstr>input_wld_az1_rack4_mgmt_gateway_ip</vt:lpstr>
      <vt:lpstr>input_wld_az1_rack4_mgmt_mtu</vt:lpstr>
      <vt:lpstr>input_wld_az1_rack4_mgmt_vlan</vt:lpstr>
      <vt:lpstr>input_wld_az1_rack4_mgmt_vm_cidr</vt:lpstr>
      <vt:lpstr>input_wld_az1_rack4_mgmt_vm_gateway_ip</vt:lpstr>
      <vt:lpstr>input_wld_az1_rack4_mgmt_vm_mtu</vt:lpstr>
      <vt:lpstr>input_wld_az1_rack4_mgmt_vm_vlan</vt:lpstr>
      <vt:lpstr>input_wld_az1_rack4_pool_name</vt:lpstr>
      <vt:lpstr>input_wld_az1_rack4_principal_storage_cidr</vt:lpstr>
      <vt:lpstr>input_wld_az1_rack4_principal_storage_gateway_ip</vt:lpstr>
      <vt:lpstr>input_wld_az1_rack4_principal_storage_mask</vt:lpstr>
      <vt:lpstr>input_wld_az1_rack4_principal_storage_mtu</vt:lpstr>
      <vt:lpstr>input_wld_az1_rack4_principal_storage_network</vt:lpstr>
      <vt:lpstr>input_wld_az1_rack4_principal_storage_pool_end_ip</vt:lpstr>
      <vt:lpstr>input_wld_az1_rack4_principal_storage_pool_start_ip</vt:lpstr>
      <vt:lpstr>input_wld_az1_rack4_principal_storage_vlan</vt:lpstr>
      <vt:lpstr>input_wld_az1_rack4_rtep_ip_pool_name</vt:lpstr>
      <vt:lpstr>input_wld_az1_rack4_secondary_storage_cidr</vt:lpstr>
      <vt:lpstr>input_wld_az1_rack4_secondary_storage_gateway_ip</vt:lpstr>
      <vt:lpstr>input_wld_az1_rack4_secondary_storage_mask</vt:lpstr>
      <vt:lpstr>input_wld_az1_rack4_secondary_storage_mtu</vt:lpstr>
      <vt:lpstr>input_wld_az1_rack4_secondary_storage_network</vt:lpstr>
      <vt:lpstr>input_wld_az1_rack4_secondary_storage_pool_end_ip</vt:lpstr>
      <vt:lpstr>input_wld_az1_rack4_secondary_storage_pool_start_ip</vt:lpstr>
      <vt:lpstr>input_wld_az1_rack4_secondary_storage_vlan</vt:lpstr>
      <vt:lpstr>input_wld_az1_rack4_tor1_peer_asn</vt:lpstr>
      <vt:lpstr>input_wld_az1_rack4_tor1_peer_bgp_password</vt:lpstr>
      <vt:lpstr>input_wld_az1_rack4_tor1_peer_ip</vt:lpstr>
      <vt:lpstr>input_wld_az1_rack4_tor2_peer_asn</vt:lpstr>
      <vt:lpstr>input_wld_az1_rack4_tor2_peer_bgp_password</vt:lpstr>
      <vt:lpstr>input_wld_az1_rack4_tor2_peer_ip</vt:lpstr>
      <vt:lpstr>input_wld_az1_rack4_uplink01_gateway_ip</vt:lpstr>
      <vt:lpstr>input_wld_az1_rack4_uplink01_mask</vt:lpstr>
      <vt:lpstr>input_wld_az1_rack4_uplink01_mtu</vt:lpstr>
      <vt:lpstr>input_wld_az1_rack4_uplink01_network</vt:lpstr>
      <vt:lpstr>input_wld_az1_rack4_uplink01_vlan</vt:lpstr>
      <vt:lpstr>input_wld_az1_rack4_uplink02_gateway_ip</vt:lpstr>
      <vt:lpstr>input_wld_az1_rack4_uplink02_mask</vt:lpstr>
      <vt:lpstr>input_wld_az1_rack4_uplink02_mtu</vt:lpstr>
      <vt:lpstr>input_wld_az1_rack4_uplink02_network</vt:lpstr>
      <vt:lpstr>input_wld_az1_rack4_uplink02_vlan</vt:lpstr>
      <vt:lpstr>input_wld_az1_rack4_vmotion_cidr</vt:lpstr>
      <vt:lpstr>input_wld_az1_rack4_vmotion_gateway_ip</vt:lpstr>
      <vt:lpstr>input_wld_az1_rack4_vmotion_mask</vt:lpstr>
      <vt:lpstr>input_wld_az1_rack4_vmotion_mtu</vt:lpstr>
      <vt:lpstr>input_wld_az1_rack4_vmotion_network</vt:lpstr>
      <vt:lpstr>input_wld_az1_rack4_vmotion_pool_end_ip</vt:lpstr>
      <vt:lpstr>input_wld_az1_rack4_vmotion_pool_start_ip</vt:lpstr>
      <vt:lpstr>input_wld_az1_rack4_vmotion_vlan</vt:lpstr>
      <vt:lpstr>input_wld_az1_rack4_vsan_fault_domain</vt:lpstr>
      <vt:lpstr>input_wld_az1_rack5_edge_overlay_gateway_ip</vt:lpstr>
      <vt:lpstr>input_wld_az1_rack5_edge_overlay_mask</vt:lpstr>
      <vt:lpstr>input_wld_az1_rack5_edge_overlay_mtu</vt:lpstr>
      <vt:lpstr>input_wld_az1_rack5_edge_overlay_network</vt:lpstr>
      <vt:lpstr>input_wld_az1_rack5_edge_overlay_network_pool_name</vt:lpstr>
      <vt:lpstr>input_wld_az1_rack5_edge_overlay_pool_end_ip</vt:lpstr>
      <vt:lpstr>input_wld_az1_rack5_edge_overlay_pool_start_ip</vt:lpstr>
      <vt:lpstr>input_wld_az1_rack5_edge_overlay_vlan</vt:lpstr>
      <vt:lpstr>input_wld_az1_rack5_host_overlay_cidr</vt:lpstr>
      <vt:lpstr>input_wld_az1_rack5_host_overlay_gateway_ip</vt:lpstr>
      <vt:lpstr>input_wld_az1_rack5_host_overlay_mask</vt:lpstr>
      <vt:lpstr>input_wld_az1_rack5_host_overlay_mtu</vt:lpstr>
      <vt:lpstr>input_wld_az1_rack5_host_overlay_network</vt:lpstr>
      <vt:lpstr>input_wld_az1_rack5_host_overlay_network_pool_name</vt:lpstr>
      <vt:lpstr>input_wld_az1_rack5_host_overlay_network_profile_name</vt:lpstr>
      <vt:lpstr>input_wld_az1_rack5_host_overlay_pool_end_ip</vt:lpstr>
      <vt:lpstr>input_wld_az1_rack5_host_overlay_pool_start_ip</vt:lpstr>
      <vt:lpstr>input_wld_az1_rack5_host_overlay_uplink_profile_name</vt:lpstr>
      <vt:lpstr>input_wld_az1_rack5_host_overlay_vlan</vt:lpstr>
      <vt:lpstr>input_wld_az1_rack5_host1_fqdn</vt:lpstr>
      <vt:lpstr>input_wld_az1_rack5_host1_mgmt_ip</vt:lpstr>
      <vt:lpstr>input_wld_az1_rack5_host10_fqdn</vt:lpstr>
      <vt:lpstr>input_wld_az1_rack5_host10_mgmt_ip</vt:lpstr>
      <vt:lpstr>input_wld_az1_rack5_host11_fqdn</vt:lpstr>
      <vt:lpstr>input_wld_az1_rack5_host11_mgmt_ip</vt:lpstr>
      <vt:lpstr>input_wld_az1_rack5_host12_fqdn</vt:lpstr>
      <vt:lpstr>input_wld_az1_rack5_host12_mgmt_ip</vt:lpstr>
      <vt:lpstr>input_wld_az1_rack5_host13_fqdn</vt:lpstr>
      <vt:lpstr>input_wld_az1_rack5_host13_mgmt_ip</vt:lpstr>
      <vt:lpstr>input_wld_az1_rack5_host14_fqdn</vt:lpstr>
      <vt:lpstr>input_wld_az1_rack5_host14_mgmt_ip</vt:lpstr>
      <vt:lpstr>input_wld_az1_rack5_host15_fqdn</vt:lpstr>
      <vt:lpstr>input_wld_az1_rack5_host15_mgmt_ip</vt:lpstr>
      <vt:lpstr>input_wld_az1_rack5_host16_fqdn</vt:lpstr>
      <vt:lpstr>input_wld_az1_rack5_host16_mgmt_ip</vt:lpstr>
      <vt:lpstr>input_wld_az1_rack5_host2_fqdn</vt:lpstr>
      <vt:lpstr>input_wld_az1_rack5_host2_mgmt_ip</vt:lpstr>
      <vt:lpstr>input_wld_az1_rack5_host3_fqdn</vt:lpstr>
      <vt:lpstr>input_wld_az1_rack5_host3_mgmt_ip</vt:lpstr>
      <vt:lpstr>input_wld_az1_rack5_host4_fqdn</vt:lpstr>
      <vt:lpstr>input_wld_az1_rack5_host4_mgmt_ip</vt:lpstr>
      <vt:lpstr>input_wld_az1_rack5_host5_fqdn</vt:lpstr>
      <vt:lpstr>input_wld_az1_rack5_host5_mgmt_ip</vt:lpstr>
      <vt:lpstr>input_wld_az1_rack5_host6_fqdn</vt:lpstr>
      <vt:lpstr>input_wld_az1_rack5_host6_mgmt_ip</vt:lpstr>
      <vt:lpstr>input_wld_az1_rack5_host7_fqdn</vt:lpstr>
      <vt:lpstr>input_wld_az1_rack5_host7_mgmt_ip</vt:lpstr>
      <vt:lpstr>input_wld_az1_rack5_host8_fqdn</vt:lpstr>
      <vt:lpstr>input_wld_az1_rack5_host8_mgmt_ip</vt:lpstr>
      <vt:lpstr>input_wld_az1_rack5_host9_fqdn</vt:lpstr>
      <vt:lpstr>input_wld_az1_rack5_host9_mgmt_ip</vt:lpstr>
      <vt:lpstr>input_wld_az1_rack5_mgmt_cidr</vt:lpstr>
      <vt:lpstr>input_wld_az1_rack5_mgmt_gateway_ip</vt:lpstr>
      <vt:lpstr>input_wld_az1_rack5_mgmt_mtu</vt:lpstr>
      <vt:lpstr>input_wld_az1_rack5_mgmt_vlan</vt:lpstr>
      <vt:lpstr>input_wld_az1_rack5_mgmt_vm_cidr</vt:lpstr>
      <vt:lpstr>input_wld_az1_rack5_mgmt_vm_gateway_ip</vt:lpstr>
      <vt:lpstr>input_wld_az1_rack5_mgmt_vm_mtu</vt:lpstr>
      <vt:lpstr>input_wld_az1_rack5_mgmt_vm_vlan</vt:lpstr>
      <vt:lpstr>input_wld_az1_rack5_pool_name</vt:lpstr>
      <vt:lpstr>input_wld_az1_rack5_principal_storage_cidr</vt:lpstr>
      <vt:lpstr>input_wld_az1_rack5_principal_storage_gateway_ip</vt:lpstr>
      <vt:lpstr>input_wld_az1_rack5_principal_storage_mask</vt:lpstr>
      <vt:lpstr>input_wld_az1_rack5_principal_storage_mtu</vt:lpstr>
      <vt:lpstr>input_wld_az1_rack5_principal_storage_network</vt:lpstr>
      <vt:lpstr>input_wld_az1_rack5_principal_storage_pool_end_ip</vt:lpstr>
      <vt:lpstr>input_wld_az1_rack5_principal_storage_pool_start_ip</vt:lpstr>
      <vt:lpstr>input_wld_az1_rack5_principal_storage_vlan</vt:lpstr>
      <vt:lpstr>input_wld_az1_rack5_rtep_ip_pool_name</vt:lpstr>
      <vt:lpstr>input_wld_az1_rack5_secondary_storage_cidr</vt:lpstr>
      <vt:lpstr>input_wld_az1_rack5_secondary_storage_gateway_ip</vt:lpstr>
      <vt:lpstr>input_wld_az1_rack5_secondary_storage_mask</vt:lpstr>
      <vt:lpstr>input_wld_az1_rack5_secondary_storage_mtu</vt:lpstr>
      <vt:lpstr>input_wld_az1_rack5_secondary_storage_network</vt:lpstr>
      <vt:lpstr>input_wld_az1_rack5_secondary_storage_pool_end_ip</vt:lpstr>
      <vt:lpstr>input_wld_az1_rack5_secondary_storage_pool_start_ip</vt:lpstr>
      <vt:lpstr>input_wld_az1_rack5_secondary_storage_vlan</vt:lpstr>
      <vt:lpstr>input_wld_az1_rack5_tor1_peer_asn</vt:lpstr>
      <vt:lpstr>input_wld_az1_rack5_tor1_peer_bgp_password</vt:lpstr>
      <vt:lpstr>input_wld_az1_rack5_tor1_peer_ip</vt:lpstr>
      <vt:lpstr>input_wld_az1_rack5_tor2_peer_asn</vt:lpstr>
      <vt:lpstr>input_wld_az1_rack5_tor2_peer_bgp_password</vt:lpstr>
      <vt:lpstr>input_wld_az1_rack5_tor2_peer_ip</vt:lpstr>
      <vt:lpstr>input_wld_az1_rack5_uplink01_gateway_ip</vt:lpstr>
      <vt:lpstr>input_wld_az1_rack5_uplink01_mask</vt:lpstr>
      <vt:lpstr>input_wld_az1_rack5_uplink01_mtu</vt:lpstr>
      <vt:lpstr>input_wld_az1_rack5_uplink01_network</vt:lpstr>
      <vt:lpstr>input_wld_az1_rack5_uplink01_vlan</vt:lpstr>
      <vt:lpstr>input_wld_az1_rack5_uplink02_gateway_ip</vt:lpstr>
      <vt:lpstr>input_wld_az1_rack5_uplink02_mask</vt:lpstr>
      <vt:lpstr>input_wld_az1_rack5_uplink02_mtu</vt:lpstr>
      <vt:lpstr>input_wld_az1_rack5_uplink02_network</vt:lpstr>
      <vt:lpstr>input_wld_az1_rack5_uplink02_vlan</vt:lpstr>
      <vt:lpstr>input_wld_az1_rack5_vmotion_cidr</vt:lpstr>
      <vt:lpstr>input_wld_az1_rack5_vmotion_gateway_ip</vt:lpstr>
      <vt:lpstr>input_wld_az1_rack5_vmotion_mask</vt:lpstr>
      <vt:lpstr>input_wld_az1_rack5_vmotion_mtu</vt:lpstr>
      <vt:lpstr>input_wld_az1_rack5_vmotion_network</vt:lpstr>
      <vt:lpstr>input_wld_az1_rack5_vmotion_pool_end_ip</vt:lpstr>
      <vt:lpstr>input_wld_az1_rack5_vmotion_pool_start_ip</vt:lpstr>
      <vt:lpstr>input_wld_az1_rack5_vmotion_vlan</vt:lpstr>
      <vt:lpstr>input_wld_az1_rack5_vsan_fault_domain</vt:lpstr>
      <vt:lpstr>input_wld_az1_rack6_edge_overlay_gateway_ip</vt:lpstr>
      <vt:lpstr>input_wld_az1_rack6_edge_overlay_mask</vt:lpstr>
      <vt:lpstr>input_wld_az1_rack6_edge_overlay_mtu</vt:lpstr>
      <vt:lpstr>input_wld_az1_rack6_edge_overlay_network</vt:lpstr>
      <vt:lpstr>input_wld_az1_rack6_edge_overlay_network_pool_name</vt:lpstr>
      <vt:lpstr>input_wld_az1_rack6_edge_overlay_pool_end_ip</vt:lpstr>
      <vt:lpstr>input_wld_az1_rack6_edge_overlay_pool_start_ip</vt:lpstr>
      <vt:lpstr>input_wld_az1_rack6_edge_overlay_vlan</vt:lpstr>
      <vt:lpstr>input_wld_az1_rack6_host_overlay_cidr</vt:lpstr>
      <vt:lpstr>input_wld_az1_rack6_host_overlay_gateway_ip</vt:lpstr>
      <vt:lpstr>input_wld_az1_rack6_host_overlay_mask</vt:lpstr>
      <vt:lpstr>input_wld_az1_rack6_host_overlay_mtu</vt:lpstr>
      <vt:lpstr>input_wld_az1_rack6_host_overlay_network</vt:lpstr>
      <vt:lpstr>input_wld_az1_rack6_host_overlay_network_pool_name</vt:lpstr>
      <vt:lpstr>input_wld_az1_rack6_host_overlay_network_profile_name</vt:lpstr>
      <vt:lpstr>input_wld_az1_rack6_host_overlay_pool_end_ip</vt:lpstr>
      <vt:lpstr>input_wld_az1_rack6_host_overlay_pool_start_ip</vt:lpstr>
      <vt:lpstr>input_wld_az1_rack6_host_overlay_uplink_profile_name</vt:lpstr>
      <vt:lpstr>input_wld_az1_rack6_host_overlay_vlan</vt:lpstr>
      <vt:lpstr>input_wld_az1_rack6_host1_fqdn</vt:lpstr>
      <vt:lpstr>input_wld_az1_rack6_host1_mgmt_ip</vt:lpstr>
      <vt:lpstr>input_wld_az1_rack6_host10_fqdn</vt:lpstr>
      <vt:lpstr>input_wld_az1_rack6_host10_mgmt_ip</vt:lpstr>
      <vt:lpstr>input_wld_az1_rack6_host11_fqdn</vt:lpstr>
      <vt:lpstr>input_wld_az1_rack6_host11_mgmt_ip</vt:lpstr>
      <vt:lpstr>input_wld_az1_rack6_host12_fqdn</vt:lpstr>
      <vt:lpstr>input_wld_az1_rack6_host12_mgmt_ip</vt:lpstr>
      <vt:lpstr>input_wld_az1_rack6_host13_fqdn</vt:lpstr>
      <vt:lpstr>input_wld_az1_rack6_host13_mgmt_ip</vt:lpstr>
      <vt:lpstr>input_wld_az1_rack6_host14_fqdn</vt:lpstr>
      <vt:lpstr>input_wld_az1_rack6_host14_mgmt_ip</vt:lpstr>
      <vt:lpstr>input_wld_az1_rack6_host15_fqdn</vt:lpstr>
      <vt:lpstr>input_wld_az1_rack6_host15_mgmt_ip</vt:lpstr>
      <vt:lpstr>input_wld_az1_rack6_host16_fqdn</vt:lpstr>
      <vt:lpstr>input_wld_az1_rack6_host16_mgmt_ip</vt:lpstr>
      <vt:lpstr>input_wld_az1_rack6_host2_fqdn</vt:lpstr>
      <vt:lpstr>input_wld_az1_rack6_host2_mgmt_ip</vt:lpstr>
      <vt:lpstr>input_wld_az1_rack6_host3_fqdn</vt:lpstr>
      <vt:lpstr>input_wld_az1_rack6_host3_mgmt_ip</vt:lpstr>
      <vt:lpstr>input_wld_az1_rack6_host4_fqdn</vt:lpstr>
      <vt:lpstr>input_wld_az1_rack6_host4_mgmt_ip</vt:lpstr>
      <vt:lpstr>input_wld_az1_rack6_host5_fqdn</vt:lpstr>
      <vt:lpstr>input_wld_az1_rack6_host5_mgmt_ip</vt:lpstr>
      <vt:lpstr>input_wld_az1_rack6_host6_fqdn</vt:lpstr>
      <vt:lpstr>input_wld_az1_rack6_host6_mgmt_ip</vt:lpstr>
      <vt:lpstr>input_wld_az1_rack6_host7_fqdn</vt:lpstr>
      <vt:lpstr>input_wld_az1_rack6_host7_mgmt_ip</vt:lpstr>
      <vt:lpstr>input_wld_az1_rack6_host8_fqdn</vt:lpstr>
      <vt:lpstr>input_wld_az1_rack6_host8_mgmt_ip</vt:lpstr>
      <vt:lpstr>input_wld_az1_rack6_host9_fqdn</vt:lpstr>
      <vt:lpstr>input_wld_az1_rack6_host9_mgmt_ip</vt:lpstr>
      <vt:lpstr>input_wld_az1_rack6_mgmt_cidr</vt:lpstr>
      <vt:lpstr>input_wld_az1_rack6_mgmt_gateway_ip</vt:lpstr>
      <vt:lpstr>input_wld_az1_rack6_mgmt_mtu</vt:lpstr>
      <vt:lpstr>input_wld_az1_rack6_mgmt_vlan</vt:lpstr>
      <vt:lpstr>input_wld_az1_rack6_mgmt_vm_cidr</vt:lpstr>
      <vt:lpstr>input_wld_az1_rack6_mgmt_vm_gateway_ip</vt:lpstr>
      <vt:lpstr>input_wld_az1_rack6_mgmt_vm_mtu</vt:lpstr>
      <vt:lpstr>input_wld_az1_rack6_mgmt_vm_vlan</vt:lpstr>
      <vt:lpstr>input_wld_az1_rack6_pool_name</vt:lpstr>
      <vt:lpstr>input_wld_az1_rack6_principal_storage_cidr</vt:lpstr>
      <vt:lpstr>input_wld_az1_rack6_principal_storage_gateway_ip</vt:lpstr>
      <vt:lpstr>input_wld_az1_rack6_principal_storage_mask</vt:lpstr>
      <vt:lpstr>input_wld_az1_rack6_principal_storage_mtu</vt:lpstr>
      <vt:lpstr>input_wld_az1_rack6_principal_storage_network</vt:lpstr>
      <vt:lpstr>input_wld_az1_rack6_principal_storage_pool_end_ip</vt:lpstr>
      <vt:lpstr>input_wld_az1_rack6_principal_storage_pool_start_ip</vt:lpstr>
      <vt:lpstr>input_wld_az1_rack6_principal_storage_vlan</vt:lpstr>
      <vt:lpstr>input_wld_az1_rack6_rtep_ip_pool_name</vt:lpstr>
      <vt:lpstr>input_wld_az1_rack6_secondary_storage_cidr</vt:lpstr>
      <vt:lpstr>input_wld_az1_rack6_secondary_storage_gateway_ip</vt:lpstr>
      <vt:lpstr>input_wld_az1_rack6_secondary_storage_mask</vt:lpstr>
      <vt:lpstr>input_wld_az1_rack6_secondary_storage_mtu</vt:lpstr>
      <vt:lpstr>input_wld_az1_rack6_secondary_storage_network</vt:lpstr>
      <vt:lpstr>input_wld_az1_rack6_secondary_storage_pool_end_ip</vt:lpstr>
      <vt:lpstr>input_wld_az1_rack6_secondary_storage_pool_start_ip</vt:lpstr>
      <vt:lpstr>input_wld_az1_rack6_secondary_storage_vlan</vt:lpstr>
      <vt:lpstr>input_wld_az1_rack6_tor1_peer_asn</vt:lpstr>
      <vt:lpstr>input_wld_az1_rack6_tor1_peer_bgp_password</vt:lpstr>
      <vt:lpstr>input_wld_az1_rack6_tor1_peer_ip</vt:lpstr>
      <vt:lpstr>input_wld_az1_rack6_tor2_peer_asn</vt:lpstr>
      <vt:lpstr>input_wld_az1_rack6_tor2_peer_bgp_password</vt:lpstr>
      <vt:lpstr>input_wld_az1_rack6_tor2_peer_ip</vt:lpstr>
      <vt:lpstr>input_wld_az1_rack6_uplink01_gateway_ip</vt:lpstr>
      <vt:lpstr>input_wld_az1_rack6_uplink01_mask</vt:lpstr>
      <vt:lpstr>input_wld_az1_rack6_uplink01_mtu</vt:lpstr>
      <vt:lpstr>input_wld_az1_rack6_uplink01_network</vt:lpstr>
      <vt:lpstr>input_wld_az1_rack6_uplink01_vlan</vt:lpstr>
      <vt:lpstr>input_wld_az1_rack6_uplink02_gateway_ip</vt:lpstr>
      <vt:lpstr>input_wld_az1_rack6_uplink02_mask</vt:lpstr>
      <vt:lpstr>input_wld_az1_rack6_uplink02_mtu</vt:lpstr>
      <vt:lpstr>input_wld_az1_rack6_uplink02_network</vt:lpstr>
      <vt:lpstr>input_wld_az1_rack6_uplink02_vlan</vt:lpstr>
      <vt:lpstr>input_wld_az1_rack6_vmotion_cidr</vt:lpstr>
      <vt:lpstr>input_wld_az1_rack6_vmotion_gateway_ip</vt:lpstr>
      <vt:lpstr>input_wld_az1_rack6_vmotion_mask</vt:lpstr>
      <vt:lpstr>input_wld_az1_rack6_vmotion_mtu</vt:lpstr>
      <vt:lpstr>input_wld_az1_rack6_vmotion_network</vt:lpstr>
      <vt:lpstr>input_wld_az1_rack6_vmotion_pool_end_ip</vt:lpstr>
      <vt:lpstr>input_wld_az1_rack6_vmotion_pool_start_ip</vt:lpstr>
      <vt:lpstr>input_wld_az1_rack6_vmotion_vlan</vt:lpstr>
      <vt:lpstr>input_wld_az1_rack6_vsan_fault_domain</vt:lpstr>
      <vt:lpstr>input_wld_az1_rack7_edge_overlay_gateway_ip</vt:lpstr>
      <vt:lpstr>input_wld_az1_rack7_edge_overlay_mask</vt:lpstr>
      <vt:lpstr>input_wld_az1_rack7_edge_overlay_mtu</vt:lpstr>
      <vt:lpstr>input_wld_az1_rack7_edge_overlay_network</vt:lpstr>
      <vt:lpstr>input_wld_az1_rack7_edge_overlay_network_pool_name</vt:lpstr>
      <vt:lpstr>input_wld_az1_rack7_edge_overlay_pool_end_ip</vt:lpstr>
      <vt:lpstr>input_wld_az1_rack7_edge_overlay_pool_start_ip</vt:lpstr>
      <vt:lpstr>input_wld_az1_rack7_edge_overlay_vlan</vt:lpstr>
      <vt:lpstr>input_wld_az1_rack7_host_overlay_cidr</vt:lpstr>
      <vt:lpstr>input_wld_az1_rack7_host_overlay_gateway_ip</vt:lpstr>
      <vt:lpstr>input_wld_az1_rack7_host_overlay_mask</vt:lpstr>
      <vt:lpstr>input_wld_az1_rack7_host_overlay_mtu</vt:lpstr>
      <vt:lpstr>input_wld_az1_rack7_host_overlay_network</vt:lpstr>
      <vt:lpstr>input_wld_az1_rack7_host_overlay_network_pool_name</vt:lpstr>
      <vt:lpstr>input_wld_az1_rack7_host_overlay_network_profile_name</vt:lpstr>
      <vt:lpstr>input_wld_az1_rack7_host_overlay_pool_end_ip</vt:lpstr>
      <vt:lpstr>input_wld_az1_rack7_host_overlay_pool_start_ip</vt:lpstr>
      <vt:lpstr>input_wld_az1_rack7_host_overlay_uplink_profile_name</vt:lpstr>
      <vt:lpstr>input_wld_az1_rack7_host_overlay_vlan</vt:lpstr>
      <vt:lpstr>input_wld_az1_rack7_host1_fqdn</vt:lpstr>
      <vt:lpstr>input_wld_az1_rack7_host1_mgmt_ip</vt:lpstr>
      <vt:lpstr>input_wld_az1_rack7_host10_fqdn</vt:lpstr>
      <vt:lpstr>input_wld_az1_rack7_host10_mgmt_ip</vt:lpstr>
      <vt:lpstr>input_wld_az1_rack7_host11_fqdn</vt:lpstr>
      <vt:lpstr>input_wld_az1_rack7_host11_mgmt_ip</vt:lpstr>
      <vt:lpstr>input_wld_az1_rack7_host12_fqdn</vt:lpstr>
      <vt:lpstr>input_wld_az1_rack7_host12_mgmt_ip</vt:lpstr>
      <vt:lpstr>input_wld_az1_rack7_host13_fqdn</vt:lpstr>
      <vt:lpstr>input_wld_az1_rack7_host13_mgmt_ip</vt:lpstr>
      <vt:lpstr>input_wld_az1_rack7_host14_fqdn</vt:lpstr>
      <vt:lpstr>input_wld_az1_rack7_host14_mgmt_ip</vt:lpstr>
      <vt:lpstr>input_wld_az1_rack7_host15_fqdn</vt:lpstr>
      <vt:lpstr>input_wld_az1_rack7_host15_mgmt_ip</vt:lpstr>
      <vt:lpstr>input_wld_az1_rack7_host16_fqdn</vt:lpstr>
      <vt:lpstr>input_wld_az1_rack7_host16_mgmt_ip</vt:lpstr>
      <vt:lpstr>input_wld_az1_rack7_host2_fqdn</vt:lpstr>
      <vt:lpstr>input_wld_az1_rack7_host2_mgmt_ip</vt:lpstr>
      <vt:lpstr>input_wld_az1_rack7_host3_fqdn</vt:lpstr>
      <vt:lpstr>input_wld_az1_rack7_host3_mgmt_ip</vt:lpstr>
      <vt:lpstr>input_wld_az1_rack7_host4_fqdn</vt:lpstr>
      <vt:lpstr>input_wld_az1_rack7_host4_mgmt_ip</vt:lpstr>
      <vt:lpstr>input_wld_az1_rack7_host5_fqdn</vt:lpstr>
      <vt:lpstr>input_wld_az1_rack7_host5_mgmt_ip</vt:lpstr>
      <vt:lpstr>input_wld_az1_rack7_host6_fqdn</vt:lpstr>
      <vt:lpstr>input_wld_az1_rack7_host6_mgmt_ip</vt:lpstr>
      <vt:lpstr>input_wld_az1_rack7_host7_fqdn</vt:lpstr>
      <vt:lpstr>input_wld_az1_rack7_host7_mgmt_ip</vt:lpstr>
      <vt:lpstr>input_wld_az1_rack7_host8_fqdn</vt:lpstr>
      <vt:lpstr>input_wld_az1_rack7_host8_mgmt_ip</vt:lpstr>
      <vt:lpstr>input_wld_az1_rack7_host9_fqdn</vt:lpstr>
      <vt:lpstr>input_wld_az1_rack7_host9_mgmt_ip</vt:lpstr>
      <vt:lpstr>input_wld_az1_rack7_mgmt_cidr</vt:lpstr>
      <vt:lpstr>input_wld_az1_rack7_mgmt_gateway_ip</vt:lpstr>
      <vt:lpstr>input_wld_az1_rack7_mgmt_mtu</vt:lpstr>
      <vt:lpstr>input_wld_az1_rack7_mgmt_vlan</vt:lpstr>
      <vt:lpstr>input_wld_az1_rack7_mgmt_vm_cidr</vt:lpstr>
      <vt:lpstr>input_wld_az1_rack7_mgmt_vm_gateway_ip</vt:lpstr>
      <vt:lpstr>input_wld_az1_rack7_mgmt_vm_mtu</vt:lpstr>
      <vt:lpstr>input_wld_az1_rack7_mgmt_vm_vlan</vt:lpstr>
      <vt:lpstr>input_wld_az1_rack7_pool_name</vt:lpstr>
      <vt:lpstr>input_wld_az1_rack7_principal_storage_cidr</vt:lpstr>
      <vt:lpstr>input_wld_az1_rack7_principal_storage_gateway_ip</vt:lpstr>
      <vt:lpstr>input_wld_az1_rack7_principal_storage_mask</vt:lpstr>
      <vt:lpstr>input_wld_az1_rack7_principal_storage_mtu</vt:lpstr>
      <vt:lpstr>input_wld_az1_rack7_principal_storage_network</vt:lpstr>
      <vt:lpstr>input_wld_az1_rack7_principal_storage_pool_end_ip</vt:lpstr>
      <vt:lpstr>input_wld_az1_rack7_principal_storage_pool_start_ip</vt:lpstr>
      <vt:lpstr>input_wld_az1_rack7_principal_storage_vlan</vt:lpstr>
      <vt:lpstr>input_wld_az1_rack7_rtep_ip_pool_name</vt:lpstr>
      <vt:lpstr>input_wld_az1_rack7_secondary_storage_cidr</vt:lpstr>
      <vt:lpstr>input_wld_az1_rack7_secondary_storage_gateway_ip</vt:lpstr>
      <vt:lpstr>input_wld_az1_rack7_secondary_storage_mask</vt:lpstr>
      <vt:lpstr>input_wld_az1_rack7_secondary_storage_mtu</vt:lpstr>
      <vt:lpstr>input_wld_az1_rack7_secondary_storage_network</vt:lpstr>
      <vt:lpstr>input_wld_az1_rack7_secondary_storage_pool_end_ip</vt:lpstr>
      <vt:lpstr>input_wld_az1_rack7_secondary_storage_pool_start_ip</vt:lpstr>
      <vt:lpstr>input_wld_az1_rack7_secondary_storage_vlan</vt:lpstr>
      <vt:lpstr>input_wld_az1_rack7_tor1_peer_asn</vt:lpstr>
      <vt:lpstr>input_wld_az1_rack7_tor1_peer_bgp_password</vt:lpstr>
      <vt:lpstr>input_wld_az1_rack7_tor1_peer_ip</vt:lpstr>
      <vt:lpstr>input_wld_az1_rack7_tor2_peer_asn</vt:lpstr>
      <vt:lpstr>input_wld_az1_rack7_tor2_peer_bgp_password</vt:lpstr>
      <vt:lpstr>input_wld_az1_rack7_tor2_peer_ip</vt:lpstr>
      <vt:lpstr>input_wld_az1_rack7_uplink01_gateway_ip</vt:lpstr>
      <vt:lpstr>input_wld_az1_rack7_uplink01_mask</vt:lpstr>
      <vt:lpstr>input_wld_az1_rack7_uplink01_mtu</vt:lpstr>
      <vt:lpstr>input_wld_az1_rack7_uplink01_network</vt:lpstr>
      <vt:lpstr>input_wld_az1_rack7_uplink01_vlan</vt:lpstr>
      <vt:lpstr>input_wld_az1_rack7_uplink02_gateway_ip</vt:lpstr>
      <vt:lpstr>input_wld_az1_rack7_uplink02_mask</vt:lpstr>
      <vt:lpstr>input_wld_az1_rack7_uplink02_mtu</vt:lpstr>
      <vt:lpstr>input_wld_az1_rack7_uplink02_network</vt:lpstr>
      <vt:lpstr>input_wld_az1_rack7_uplink02_vlan</vt:lpstr>
      <vt:lpstr>input_wld_az1_rack7_vmotion_cidr</vt:lpstr>
      <vt:lpstr>input_wld_az1_rack7_vmotion_gateway_ip</vt:lpstr>
      <vt:lpstr>input_wld_az1_rack7_vmotion_mask</vt:lpstr>
      <vt:lpstr>input_wld_az1_rack7_vmotion_mtu</vt:lpstr>
      <vt:lpstr>input_wld_az1_rack7_vmotion_network</vt:lpstr>
      <vt:lpstr>input_wld_az1_rack7_vmotion_pool_end_ip</vt:lpstr>
      <vt:lpstr>input_wld_az1_rack7_vmotion_pool_start_ip</vt:lpstr>
      <vt:lpstr>input_wld_az1_rack7_vmotion_vlan</vt:lpstr>
      <vt:lpstr>input_wld_az1_rack7_vsan_fault_domain</vt:lpstr>
      <vt:lpstr>input_wld_az1_rack8_edge_overlay_gateway_ip</vt:lpstr>
      <vt:lpstr>input_wld_az1_rack8_edge_overlay_mask</vt:lpstr>
      <vt:lpstr>input_wld_az1_rack8_edge_overlay_mtu</vt:lpstr>
      <vt:lpstr>input_wld_az1_rack8_edge_overlay_network</vt:lpstr>
      <vt:lpstr>input_wld_az1_rack8_edge_overlay_network_pool_name</vt:lpstr>
      <vt:lpstr>input_wld_az1_rack8_edge_overlay_pool_end_ip</vt:lpstr>
      <vt:lpstr>input_wld_az1_rack8_edge_overlay_pool_start_ip</vt:lpstr>
      <vt:lpstr>input_wld_az1_rack8_edge_overlay_vlan</vt:lpstr>
      <vt:lpstr>input_wld_az1_rack8_host_overlay_cidr</vt:lpstr>
      <vt:lpstr>input_wld_az1_rack8_host_overlay_gateway_ip</vt:lpstr>
      <vt:lpstr>input_wld_az1_rack8_host_overlay_mask</vt:lpstr>
      <vt:lpstr>input_wld_az1_rack8_host_overlay_mtu</vt:lpstr>
      <vt:lpstr>input_wld_az1_rack8_host_overlay_network</vt:lpstr>
      <vt:lpstr>input_wld_az1_rack8_host_overlay_network_pool_name</vt:lpstr>
      <vt:lpstr>input_wld_az1_rack8_host_overlay_network_profile_name</vt:lpstr>
      <vt:lpstr>input_wld_az1_rack8_host_overlay_pool_end_ip</vt:lpstr>
      <vt:lpstr>input_wld_az1_rack8_host_overlay_pool_start_ip</vt:lpstr>
      <vt:lpstr>input_wld_az1_rack8_host_overlay_uplink_profile_name</vt:lpstr>
      <vt:lpstr>input_wld_az1_rack8_host_overlay_vlan</vt:lpstr>
      <vt:lpstr>input_wld_az1_rack8_host1_fqdn</vt:lpstr>
      <vt:lpstr>input_wld_az1_rack8_host1_mgmt_ip</vt:lpstr>
      <vt:lpstr>input_wld_az1_rack8_host10_fqdn</vt:lpstr>
      <vt:lpstr>input_wld_az1_rack8_host10_mgmt_ip</vt:lpstr>
      <vt:lpstr>input_wld_az1_rack8_host11_fqdn</vt:lpstr>
      <vt:lpstr>input_wld_az1_rack8_host11_mgmt_ip</vt:lpstr>
      <vt:lpstr>input_wld_az1_rack8_host12_fqdn</vt:lpstr>
      <vt:lpstr>input_wld_az1_rack8_host12_mgmt_ip</vt:lpstr>
      <vt:lpstr>input_wld_az1_rack8_host13_fqdn</vt:lpstr>
      <vt:lpstr>input_wld_az1_rack8_host13_mgmt_ip</vt:lpstr>
      <vt:lpstr>input_wld_az1_rack8_host14_fqdn</vt:lpstr>
      <vt:lpstr>input_wld_az1_rack8_host14_mgmt_ip</vt:lpstr>
      <vt:lpstr>input_wld_az1_rack8_host15_fqdn</vt:lpstr>
      <vt:lpstr>input_wld_az1_rack8_host15_mgmt_ip</vt:lpstr>
      <vt:lpstr>input_wld_az1_rack8_host16_fqdn</vt:lpstr>
      <vt:lpstr>input_wld_az1_rack8_host16_mgmt_ip</vt:lpstr>
      <vt:lpstr>input_wld_az1_rack8_host2_fqdn</vt:lpstr>
      <vt:lpstr>input_wld_az1_rack8_host2_mgmt_ip</vt:lpstr>
      <vt:lpstr>input_wld_az1_rack8_host3_fqdn</vt:lpstr>
      <vt:lpstr>input_wld_az1_rack8_host3_mgmt_ip</vt:lpstr>
      <vt:lpstr>input_wld_az1_rack8_host4_fqdn</vt:lpstr>
      <vt:lpstr>input_wld_az1_rack8_host4_mgmt_ip</vt:lpstr>
      <vt:lpstr>input_wld_az1_rack8_host5_fqdn</vt:lpstr>
      <vt:lpstr>input_wld_az1_rack8_host5_mgmt_ip</vt:lpstr>
      <vt:lpstr>input_wld_az1_rack8_host6_fqdn</vt:lpstr>
      <vt:lpstr>input_wld_az1_rack8_host6_mgmt_ip</vt:lpstr>
      <vt:lpstr>input_wld_az1_rack8_host7_fqdn</vt:lpstr>
      <vt:lpstr>input_wld_az1_rack8_host7_mgmt_ip</vt:lpstr>
      <vt:lpstr>input_wld_az1_rack8_host8_fqdn</vt:lpstr>
      <vt:lpstr>input_wld_az1_rack8_host8_mgmt_ip</vt:lpstr>
      <vt:lpstr>input_wld_az1_rack8_host9_fqdn</vt:lpstr>
      <vt:lpstr>input_wld_az1_rack8_host9_mgmt_ip</vt:lpstr>
      <vt:lpstr>input_wld_az1_rack8_mgmt_cidr</vt:lpstr>
      <vt:lpstr>input_wld_az1_rack8_mgmt_gateway_ip</vt:lpstr>
      <vt:lpstr>input_wld_az1_rack8_mgmt_mtu</vt:lpstr>
      <vt:lpstr>input_wld_az1_rack8_mgmt_vlan</vt:lpstr>
      <vt:lpstr>input_wld_az1_rack8_mgmt_vm_cidr</vt:lpstr>
      <vt:lpstr>input_wld_az1_rack8_mgmt_vm_gateway_ip</vt:lpstr>
      <vt:lpstr>input_wld_az1_rack8_mgmt_vm_mtu</vt:lpstr>
      <vt:lpstr>input_wld_az1_rack8_mgmt_vm_vlan</vt:lpstr>
      <vt:lpstr>input_wld_az1_rack8_pool_name</vt:lpstr>
      <vt:lpstr>input_wld_az1_rack8_principal_storage_cidr</vt:lpstr>
      <vt:lpstr>input_wld_az1_rack8_principal_storage_gateway_ip</vt:lpstr>
      <vt:lpstr>input_wld_az1_rack8_principal_storage_mask</vt:lpstr>
      <vt:lpstr>input_wld_az1_rack8_principal_storage_mtu</vt:lpstr>
      <vt:lpstr>input_wld_az1_rack8_principal_storage_network</vt:lpstr>
      <vt:lpstr>input_wld_az1_rack8_principal_storage_pool_end_ip</vt:lpstr>
      <vt:lpstr>input_wld_az1_rack8_principal_storage_pool_start_ip</vt:lpstr>
      <vt:lpstr>input_wld_az1_rack8_principal_storage_vlan</vt:lpstr>
      <vt:lpstr>input_wld_az1_rack8_rtep_ip_pool_name</vt:lpstr>
      <vt:lpstr>input_wld_az1_rack8_secondary_storage_cidr</vt:lpstr>
      <vt:lpstr>input_wld_az1_rack8_secondary_storage_gateway_ip</vt:lpstr>
      <vt:lpstr>input_wld_az1_rack8_secondary_storage_mask</vt:lpstr>
      <vt:lpstr>input_wld_az1_rack8_secondary_storage_mtu</vt:lpstr>
      <vt:lpstr>input_wld_az1_rack8_secondary_storage_network</vt:lpstr>
      <vt:lpstr>input_wld_az1_rack8_secondary_storage_pool_end_ip</vt:lpstr>
      <vt:lpstr>input_wld_az1_rack8_secondary_storage_pool_start_ip</vt:lpstr>
      <vt:lpstr>input_wld_az1_rack8_secondary_storage_vlan</vt:lpstr>
      <vt:lpstr>input_wld_az1_rack8_tor1_peer_asn</vt:lpstr>
      <vt:lpstr>input_wld_az1_rack8_tor1_peer_bgp_password</vt:lpstr>
      <vt:lpstr>input_wld_az1_rack8_tor1_peer_ip</vt:lpstr>
      <vt:lpstr>input_wld_az1_rack8_tor2_peer_asn</vt:lpstr>
      <vt:lpstr>input_wld_az1_rack8_tor2_peer_bgp_password</vt:lpstr>
      <vt:lpstr>input_wld_az1_rack8_tor2_peer_ip</vt:lpstr>
      <vt:lpstr>input_wld_az1_rack8_uplink01_gateway_ip</vt:lpstr>
      <vt:lpstr>input_wld_az1_rack8_uplink01_mask</vt:lpstr>
      <vt:lpstr>input_wld_az1_rack8_uplink01_mtu</vt:lpstr>
      <vt:lpstr>input_wld_az1_rack8_uplink01_network</vt:lpstr>
      <vt:lpstr>input_wld_az1_rack8_uplink01_vlan</vt:lpstr>
      <vt:lpstr>input_wld_az1_rack8_uplink02_gateway_ip</vt:lpstr>
      <vt:lpstr>input_wld_az1_rack8_uplink02_mask</vt:lpstr>
      <vt:lpstr>input_wld_az1_rack8_uplink02_mtu</vt:lpstr>
      <vt:lpstr>input_wld_az1_rack8_uplink02_network</vt:lpstr>
      <vt:lpstr>input_wld_az1_rack8_uplink02_vlan</vt:lpstr>
      <vt:lpstr>input_wld_az1_rack8_vmotion_cidr</vt:lpstr>
      <vt:lpstr>input_wld_az1_rack8_vmotion_gateway_ip</vt:lpstr>
      <vt:lpstr>input_wld_az1_rack8_vmotion_mask</vt:lpstr>
      <vt:lpstr>input_wld_az1_rack8_vmotion_mtu</vt:lpstr>
      <vt:lpstr>input_wld_az1_rack8_vmotion_network</vt:lpstr>
      <vt:lpstr>input_wld_az1_rack8_vmotion_pool_end_ip</vt:lpstr>
      <vt:lpstr>input_wld_az1_rack8_vmotion_pool_start_ip</vt:lpstr>
      <vt:lpstr>input_wld_az1_rack8_vmotion_vlan</vt:lpstr>
      <vt:lpstr>input_wld_az1_rack8_vsan_fault_domain</vt:lpstr>
      <vt:lpstr>input_wld_az1_rtep_ip_pool_name</vt:lpstr>
      <vt:lpstr>input_wld_az1_rtep_overlay_cidr</vt:lpstr>
      <vt:lpstr>input_wld_az1_rtep_overlay_gateway_ip</vt:lpstr>
      <vt:lpstr>input_wld_az1_rtep_overlay_vlan</vt:lpstr>
      <vt:lpstr>input_wld_az1_secondary_storage_gateway_ip</vt:lpstr>
      <vt:lpstr>input_wld_az1_secondary_storage_mask</vt:lpstr>
      <vt:lpstr>input_wld_az1_secondary_storage_mtu</vt:lpstr>
      <vt:lpstr>input_wld_az1_secondary_storage_network</vt:lpstr>
      <vt:lpstr>input_wld_az1_secondary_storage_pool_end_ip</vt:lpstr>
      <vt:lpstr>input_wld_az1_secondary_storage_pool_start_ip</vt:lpstr>
      <vt:lpstr>input_wld_az1_secondary_storage_vlan</vt:lpstr>
      <vt:lpstr>input_wld_az1_storage_cluster_gateway_ip</vt:lpstr>
      <vt:lpstr>input_wld_az1_storage_cluster_mask</vt:lpstr>
      <vt:lpstr>input_wld_az1_storage_cluster_mtu</vt:lpstr>
      <vt:lpstr>input_wld_az1_storage_cluster_network</vt:lpstr>
      <vt:lpstr>input_wld_az1_storage_cluster_pool_end_ip</vt:lpstr>
      <vt:lpstr>input_wld_az1_storage_cluster_pool_start_ip</vt:lpstr>
      <vt:lpstr>input_wld_az1_storage_cluster_vlan</vt:lpstr>
      <vt:lpstr>input_wld_az1_tor1_peer_asn</vt:lpstr>
      <vt:lpstr>input_wld_az1_tor1_peer_bgp_password</vt:lpstr>
      <vt:lpstr>input_wld_az1_tor1_peer_ip</vt:lpstr>
      <vt:lpstr>input_wld_az1_tor2_peer_asn</vt:lpstr>
      <vt:lpstr>input_wld_az1_tor2_peer_bgp_password</vt:lpstr>
      <vt:lpstr>input_wld_az1_tor2_peer_ip</vt:lpstr>
      <vt:lpstr>input_wld_az1_uplink01_cidr</vt:lpstr>
      <vt:lpstr>input_wld_az1_uplink01_gateway_ip</vt:lpstr>
      <vt:lpstr>input_wld_az1_uplink01_mtu</vt:lpstr>
      <vt:lpstr>input_wld_az1_uplink01_vlan</vt:lpstr>
      <vt:lpstr>input_wld_az1_uplink02_cidr</vt:lpstr>
      <vt:lpstr>input_wld_az1_uplink02_gateway_ip</vt:lpstr>
      <vt:lpstr>input_wld_az1_uplink02_mtu</vt:lpstr>
      <vt:lpstr>input_wld_az1_uplink02_vlan</vt:lpstr>
      <vt:lpstr>input_wld_az1_vmotion_gateway_ip</vt:lpstr>
      <vt:lpstr>input_wld_az1_vmotion_mask</vt:lpstr>
      <vt:lpstr>input_wld_az1_vmotion_mtu</vt:lpstr>
      <vt:lpstr>input_wld_az1_vmotion_network</vt:lpstr>
      <vt:lpstr>input_wld_az1_vmotion_pool_end_ip</vt:lpstr>
      <vt:lpstr>input_wld_az1_vmotion_pool_start_ip</vt:lpstr>
      <vt:lpstr>input_wld_az1_vmotion_vlan</vt:lpstr>
      <vt:lpstr>input_wld_az1_vrms_cidr</vt:lpstr>
      <vt:lpstr>input_wld_az1_vrms_gateway_ip</vt:lpstr>
      <vt:lpstr>input_wld_az1_vrms_mtu</vt:lpstr>
      <vt:lpstr>input_wld_az1_vrms_vlan</vt:lpstr>
      <vt:lpstr>input_wld_az2_host_overlay_cidr</vt:lpstr>
      <vt:lpstr>input_wld_az2_host_overlay_gateway_ip</vt:lpstr>
      <vt:lpstr>input_wld_az2_host_overlay_mtu</vt:lpstr>
      <vt:lpstr>input_wld_az2_host_overlay_network_pool_name</vt:lpstr>
      <vt:lpstr>input_wld_az2_host_overlay_network_profile_name</vt:lpstr>
      <vt:lpstr>input_wld_az2_host_overlay_pool_end_ip</vt:lpstr>
      <vt:lpstr>input_wld_az2_host_overlay_pool_start_ip</vt:lpstr>
      <vt:lpstr>input_wld_az2_host_overlay_uplink_profile_name</vt:lpstr>
      <vt:lpstr>input_wld_az2_host_overlay_vlan</vt:lpstr>
      <vt:lpstr>input_wld_az2_host1_fqdn</vt:lpstr>
      <vt:lpstr>input_wld_az2_host1_mgmt_ip</vt:lpstr>
      <vt:lpstr>input_wld_az2_host1_sddc_id</vt:lpstr>
      <vt:lpstr>input_wld_az2_host1_vrms_ip</vt:lpstr>
      <vt:lpstr>input_wld_az2_host10_fqdn</vt:lpstr>
      <vt:lpstr>input_wld_az2_host10_mgmt_ip</vt:lpstr>
      <vt:lpstr>input_wld_az2_host10_vrms_ip</vt:lpstr>
      <vt:lpstr>input_wld_az2_host11_fqdn</vt:lpstr>
      <vt:lpstr>input_wld_az2_host11_mgmt_ip</vt:lpstr>
      <vt:lpstr>input_wld_az2_host11_vrms_ip</vt:lpstr>
      <vt:lpstr>input_wld_az2_host12_fqdn</vt:lpstr>
      <vt:lpstr>input_wld_az2_host12_mgmt_ip</vt:lpstr>
      <vt:lpstr>input_wld_az2_host12_vrms_ip</vt:lpstr>
      <vt:lpstr>input_wld_az2_host13_fqdn</vt:lpstr>
      <vt:lpstr>input_wld_az2_host13_mgmt_ip</vt:lpstr>
      <vt:lpstr>input_wld_az2_host13_vrms_ip</vt:lpstr>
      <vt:lpstr>input_wld_az2_host14_fqdn</vt:lpstr>
      <vt:lpstr>input_wld_az2_host14_mgmt_ip</vt:lpstr>
      <vt:lpstr>input_wld_az2_host14_vrms_ip</vt:lpstr>
      <vt:lpstr>input_wld_az2_host15_fqdn</vt:lpstr>
      <vt:lpstr>input_wld_az2_host15_mgmt_ip</vt:lpstr>
      <vt:lpstr>input_wld_az2_host15_vrms_ip</vt:lpstr>
      <vt:lpstr>input_wld_az2_host16_fqdn</vt:lpstr>
      <vt:lpstr>input_wld_az2_host16_mgmt_ip</vt:lpstr>
      <vt:lpstr>input_wld_az2_host16_vrms_ip</vt:lpstr>
      <vt:lpstr>input_wld_az2_host2_fqdn</vt:lpstr>
      <vt:lpstr>input_wld_az2_host2_mgmt_ip</vt:lpstr>
      <vt:lpstr>input_wld_az2_host2_sddc_id</vt:lpstr>
      <vt:lpstr>input_wld_az2_host2_vrms_ip</vt:lpstr>
      <vt:lpstr>input_wld_az2_host3_fqdn</vt:lpstr>
      <vt:lpstr>input_wld_az2_host3_mgmt_ip</vt:lpstr>
      <vt:lpstr>input_wld_az2_host3_sddc_id</vt:lpstr>
      <vt:lpstr>input_wld_az2_host3_vrms_ip</vt:lpstr>
      <vt:lpstr>input_wld_az2_host4_fqdn</vt:lpstr>
      <vt:lpstr>input_wld_az2_host4_mgmt_ip</vt:lpstr>
      <vt:lpstr>input_wld_az2_host4_sddc_id</vt:lpstr>
      <vt:lpstr>input_wld_az2_host4_vrms_ip</vt:lpstr>
      <vt:lpstr>input_wld_az2_host5_fqdn</vt:lpstr>
      <vt:lpstr>input_wld_az2_host5_mgmt_ip</vt:lpstr>
      <vt:lpstr>input_wld_az2_host5_vrms_ip</vt:lpstr>
      <vt:lpstr>input_wld_az2_host6_fqdn</vt:lpstr>
      <vt:lpstr>input_wld_az2_host6_mgmt_ip</vt:lpstr>
      <vt:lpstr>input_wld_az2_host6_vrms_ip</vt:lpstr>
      <vt:lpstr>input_wld_az2_host7_fqdn</vt:lpstr>
      <vt:lpstr>input_wld_az2_host7_mgmt_ip</vt:lpstr>
      <vt:lpstr>input_wld_az2_host7_vrms_ip</vt:lpstr>
      <vt:lpstr>input_wld_az2_host8_fqdn</vt:lpstr>
      <vt:lpstr>input_wld_az2_host8_mgmt_ip</vt:lpstr>
      <vt:lpstr>input_wld_az2_host8_vrms_ip</vt:lpstr>
      <vt:lpstr>input_wld_az2_host9_fqdn</vt:lpstr>
      <vt:lpstr>input_wld_az2_host9_mgmt_ip</vt:lpstr>
      <vt:lpstr>input_wld_az2_host9_vrms_ip</vt:lpstr>
      <vt:lpstr>input_wld_az2_mgmt_cidr</vt:lpstr>
      <vt:lpstr>input_wld_az2_mgmt_gateway_ip</vt:lpstr>
      <vt:lpstr>input_wld_az2_mgmt_mtu</vt:lpstr>
      <vt:lpstr>input_wld_az2_mgmt_vlan</vt:lpstr>
      <vt:lpstr>input_wld_az2_pool_name</vt:lpstr>
      <vt:lpstr>input_wld_az2_principal_storage_gateway_ip</vt:lpstr>
      <vt:lpstr>input_wld_az2_principal_storage_mask</vt:lpstr>
      <vt:lpstr>input_wld_az2_principal_storage_mtu</vt:lpstr>
      <vt:lpstr>input_wld_az2_principal_storage_network</vt:lpstr>
      <vt:lpstr>input_wld_az2_principal_storage_pool_end_ip</vt:lpstr>
      <vt:lpstr>input_wld_az2_principal_storage_pool_start_ip</vt:lpstr>
      <vt:lpstr>input_wld_az2_principal_storage_vlan</vt:lpstr>
      <vt:lpstr>input_wld_az2_secondary_storage_gateway_ip</vt:lpstr>
      <vt:lpstr>input_wld_az2_secondary_storage_mask</vt:lpstr>
      <vt:lpstr>input_wld_az2_secondary_storage_mtu</vt:lpstr>
      <vt:lpstr>input_wld_az2_secondary_storage_network</vt:lpstr>
      <vt:lpstr>input_wld_az2_secondary_storage_pool_end_ip</vt:lpstr>
      <vt:lpstr>input_wld_az2_secondary_storage_pool_start_ip</vt:lpstr>
      <vt:lpstr>input_wld_az2_secondary_storage_vlan</vt:lpstr>
      <vt:lpstr>input_wld_az2_storage_cluster_gateway_ip</vt:lpstr>
      <vt:lpstr>input_wld_az2_storage_cluster_mask</vt:lpstr>
      <vt:lpstr>input_wld_az2_storage_cluster_mtu</vt:lpstr>
      <vt:lpstr>input_wld_az2_storage_cluster_network</vt:lpstr>
      <vt:lpstr>input_wld_az2_storage_cluster_pool_end_ip</vt:lpstr>
      <vt:lpstr>input_wld_az2_storage_cluster_pool_start_ip</vt:lpstr>
      <vt:lpstr>input_wld_az2_storage_cluster_vlan</vt:lpstr>
      <vt:lpstr>input_wld_az2_tor1_peer_asn</vt:lpstr>
      <vt:lpstr>input_wld_az2_tor1_peer_bgp_password</vt:lpstr>
      <vt:lpstr>input_wld_az2_tor1_peer_ip</vt:lpstr>
      <vt:lpstr>input_wld_az2_tor2_peer_asn</vt:lpstr>
      <vt:lpstr>input_wld_az2_tor2_peer_bgp_password</vt:lpstr>
      <vt:lpstr>input_wld_az2_tor2_peer_ip</vt:lpstr>
      <vt:lpstr>input_wld_az2_vmotion_gateway_ip</vt:lpstr>
      <vt:lpstr>input_wld_az2_vmotion_mask</vt:lpstr>
      <vt:lpstr>input_wld_az2_vmotion_mtu</vt:lpstr>
      <vt:lpstr>input_wld_az2_vmotion_network</vt:lpstr>
      <vt:lpstr>input_wld_az2_vmotion_pool_end_ip</vt:lpstr>
      <vt:lpstr>input_wld_az2_vmotion_pool_start_ip</vt:lpstr>
      <vt:lpstr>input_wld_az2_vmotion_vlan</vt:lpstr>
      <vt:lpstr>input_wld_bf_nsxt_admin_password</vt:lpstr>
      <vt:lpstr>input_wld_bf_nsxt_audit_password</vt:lpstr>
      <vt:lpstr>input_wld_bf_nsxt_mgra_fqdn</vt:lpstr>
      <vt:lpstr>input_wld_bf_nsxt_mgrb_fqdn</vt:lpstr>
      <vt:lpstr>input_wld_bf_nsxt_mgrc_fqdn</vt:lpstr>
      <vt:lpstr>input_wld_bf_nsxt_root_password</vt:lpstr>
      <vt:lpstr>input_wld_bf_nsxt_vip_fqdn</vt:lpstr>
      <vt:lpstr>input_wld_bf_sddc_domain</vt:lpstr>
      <vt:lpstr>input_wld_bf_vc_fqdn</vt:lpstr>
      <vt:lpstr>input_wld_bf_vc_root_password</vt:lpstr>
      <vt:lpstr>input_wld_bf_vc_sso_password</vt:lpstr>
      <vt:lpstr>input_wld_bf_vc_sso_username</vt:lpstr>
      <vt:lpstr>input_wld_cl01_az1_mgmt_pg</vt:lpstr>
      <vt:lpstr>input_wld_cl01_az1_mgmt_vm_pg</vt:lpstr>
      <vt:lpstr>input_wld_cl01_az1_nsx_uplink_count</vt:lpstr>
      <vt:lpstr>input_wld_cl01_az1_principal_storage_pg</vt:lpstr>
      <vt:lpstr>input_wld_cl01_az1_uplink01_pg</vt:lpstr>
      <vt:lpstr>input_wld_cl01_az1_uplink02_pg</vt:lpstr>
      <vt:lpstr>input_wld_cl01_az1_vmotion_pg</vt:lpstr>
      <vt:lpstr>input_wld_cl01_az1_vsan_storage_client_pg</vt:lpstr>
      <vt:lpstr>input_wld_cl01_cluster</vt:lpstr>
      <vt:lpstr>input_wld_cl01_cluster_sddc_id</vt:lpstr>
      <vt:lpstr>input_wld_cl01_cluster_zn_name</vt:lpstr>
      <vt:lpstr>input_wld_cl01_evc_mode</vt:lpstr>
      <vt:lpstr>input_wld_cl01_image_name</vt:lpstr>
      <vt:lpstr>input_wld_cl01_nfs_datastore_name</vt:lpstr>
      <vt:lpstr>input_wld_cl01_nfs_server_address</vt:lpstr>
      <vt:lpstr>input_wld_cl01_nfs_share_path</vt:lpstr>
      <vt:lpstr>input_wld_cl01_supervisor_control_plane_ip_range</vt:lpstr>
      <vt:lpstr>input_wld_cl01_supervisor_dns</vt:lpstr>
      <vt:lpstr>input_wld_cl01_supervisor_name</vt:lpstr>
      <vt:lpstr>input_wld_cl01_supervisor_nsx_project</vt:lpstr>
      <vt:lpstr>input_wld_cl01_supervisor_ntp</vt:lpstr>
      <vt:lpstr>input_wld_cl01_supervisor_private_cidr</vt:lpstr>
      <vt:lpstr>input_wld_cl01_supervisor_private_transit_gateway_cidr</vt:lpstr>
      <vt:lpstr>input_wld_cl01_supervisor_service_cidr</vt:lpstr>
      <vt:lpstr>input_wld_cl01_supervisor_vpc_profile</vt:lpstr>
      <vt:lpstr>input_wld_cl01_vds01_lag_name</vt:lpstr>
      <vt:lpstr>input_wld_cl01_vds01_mtu</vt:lpstr>
      <vt:lpstr>input_wld_cl01_vds01_name</vt:lpstr>
      <vt:lpstr>input_wld_cl01_vds01_pnics</vt:lpstr>
      <vt:lpstr>input_wld_cl01_vds01_uplink_count</vt:lpstr>
      <vt:lpstr>input_wld_cl01_vds02_lag_name</vt:lpstr>
      <vt:lpstr>input_wld_cl01_vds02_mtu</vt:lpstr>
      <vt:lpstr>input_wld_cl01_vds02_name</vt:lpstr>
      <vt:lpstr>input_wld_cl01_vds02_pnics</vt:lpstr>
      <vt:lpstr>input_wld_cl01_vds02_uplink_count</vt:lpstr>
      <vt:lpstr>input_wld_cl01_vds03_lag_name</vt:lpstr>
      <vt:lpstr>input_wld_cl01_vds03_mtu</vt:lpstr>
      <vt:lpstr>input_wld_cl01_vds03_name</vt:lpstr>
      <vt:lpstr>input_wld_cl01_vds03_pnics</vt:lpstr>
      <vt:lpstr>input_wld_cl01_vds03_uplink_count</vt:lpstr>
      <vt:lpstr>input_wld_cl01_vmfs_datastore_name</vt:lpstr>
      <vt:lpstr>input_wld_cl01_vsan_datastore</vt:lpstr>
      <vt:lpstr>input_wld_datacenter</vt:lpstr>
      <vt:lpstr>input_wld_ec_mtu</vt:lpstr>
      <vt:lpstr>input_wld_ec_name</vt:lpstr>
      <vt:lpstr>input_wld_ec_rp_name</vt:lpstr>
      <vt:lpstr>input_wld_ec01_en01_host_group_affinity_rule_name</vt:lpstr>
      <vt:lpstr>input_wld_ec01_en02_host_group_affinity_rule_name</vt:lpstr>
      <vt:lpstr>input_wld_en_asn</vt:lpstr>
      <vt:lpstr>input_wld_esx_root_password</vt:lpstr>
      <vt:lpstr>input_wld_esx_root_username</vt:lpstr>
      <vt:lpstr>input_wld_existing_active_nsx_gm</vt:lpstr>
      <vt:lpstr>input_wld_existing_cross_instance_t0_name</vt:lpstr>
      <vt:lpstr>input_wld_host_overlay_transportzone</vt:lpstr>
      <vt:lpstr>input_wld_nsx_vlan_transport_zone_name</vt:lpstr>
      <vt:lpstr>input_wld_nsxt_en_admin_password</vt:lpstr>
      <vt:lpstr>input_wld_nsxt_en_root_password</vt:lpstr>
      <vt:lpstr>input_wld_nsxt_federation_global_manager_name</vt:lpstr>
      <vt:lpstr>input_wld_nsxt_federation_location_name</vt:lpstr>
      <vt:lpstr>input_wld_nsxt_global_mgr_anti_affinity_rule_name</vt:lpstr>
      <vt:lpstr>input_wld_nsxt_global_mgr_certificate_id</vt:lpstr>
      <vt:lpstr>input_wld_nsxt_global_mgr_cluster_id</vt:lpstr>
      <vt:lpstr>input_wld_nsxt_global_mgr_vmca_signed_thumbprint</vt:lpstr>
      <vt:lpstr>input_wld_nsxt_global_mgra_fqdn</vt:lpstr>
      <vt:lpstr>input_wld_nsxt_global_mgra_hostname</vt:lpstr>
      <vt:lpstr>input_wld_nsxt_global_mgra_ip</vt:lpstr>
      <vt:lpstr>input_wld_nsxt_global_mgrb_fqdn</vt:lpstr>
      <vt:lpstr>input_wld_nsxt_global_mgrb_hostname</vt:lpstr>
      <vt:lpstr>input_wld_nsxt_global_mgrb_ip</vt:lpstr>
      <vt:lpstr>input_wld_nsxt_global_mgrc_fqdn</vt:lpstr>
      <vt:lpstr>input_wld_nsxt_global_mgrc_hostname</vt:lpstr>
      <vt:lpstr>input_wld_nsxt_global_mgrc_ip</vt:lpstr>
      <vt:lpstr>input_wld_nsxt_gm_admin_password</vt:lpstr>
      <vt:lpstr>input_wld_nsxt_gm_audit_password</vt:lpstr>
      <vt:lpstr>input_wld_nsxt_gm_fingerprint</vt:lpstr>
      <vt:lpstr>input_wld_nsxt_gm_root_password</vt:lpstr>
      <vt:lpstr>input_wld_nsxt_gm_vip_fqdn</vt:lpstr>
      <vt:lpstr>input_wld_nsxt_gm_vip_ip</vt:lpstr>
      <vt:lpstr>input_wld_nsxt_lm_admin_password</vt:lpstr>
      <vt:lpstr>input_wld_nsxt_lm_audit_password</vt:lpstr>
      <vt:lpstr>input_wld_nsxt_lm_fingerprint</vt:lpstr>
      <vt:lpstr>input_wld_nsxt_mgra_fqdn</vt:lpstr>
      <vt:lpstr>input_wld_nsxt_mgra_ip</vt:lpstr>
      <vt:lpstr>input_wld_nsxt_mgrb_fqdn</vt:lpstr>
      <vt:lpstr>input_wld_nsxt_mgrb_ip</vt:lpstr>
      <vt:lpstr>input_wld_nsxt_mgrc_fqdn</vt:lpstr>
      <vt:lpstr>input_wld_nsxt_mgrc_ip</vt:lpstr>
      <vt:lpstr>input_wld_nsxt_vip_fqdn</vt:lpstr>
      <vt:lpstr>input_wld_nsxt_vip_ip</vt:lpstr>
      <vt:lpstr>input_wld_nsxt_xreg_t1_name</vt:lpstr>
      <vt:lpstr>input_wld_rack2_en_asn</vt:lpstr>
      <vt:lpstr>input_wld_rack3_en_asn</vt:lpstr>
      <vt:lpstr>input_wld_rack4_en_asn</vt:lpstr>
      <vt:lpstr>input_wld_rack5_en_asn</vt:lpstr>
      <vt:lpstr>input_wld_rack6_en_asn</vt:lpstr>
      <vt:lpstr>input_wld_rack7_en_asn</vt:lpstr>
      <vt:lpstr>input_wld_rack8_en_asn</vt:lpstr>
      <vt:lpstr>input_wld_rtep_overlay_pool_end_ip</vt:lpstr>
      <vt:lpstr>input_wld_rtep_overlay_pool_start_ip</vt:lpstr>
      <vt:lpstr>input_wld_rwr_az1_vrms_gateway_ip</vt:lpstr>
      <vt:lpstr>input_wld_rwr_az1_vrms_gateway_mask</vt:lpstr>
      <vt:lpstr>input_wld_rwr_cl02_cluster</vt:lpstr>
      <vt:lpstr>input_wld_rwr_cl02_vds01</vt:lpstr>
      <vt:lpstr>input_wld_rwr_recovery_site_az1_vrms_cidr</vt:lpstr>
      <vt:lpstr>input_wld_rwr_recovery_site_vc_fqdn</vt:lpstr>
      <vt:lpstr>input_wld_rwr_recoverysite_fd</vt:lpstr>
      <vt:lpstr>input_wld_rwr_vc_fqdn</vt:lpstr>
      <vt:lpstr>input_wld_rwr_vcfops_vlsr_username</vt:lpstr>
      <vt:lpstr>input_wld_rwr_vcfops_vr_username</vt:lpstr>
      <vt:lpstr>input_wld_sddc_domain</vt:lpstr>
      <vt:lpstr>input_wld_srm_admin_email</vt:lpstr>
      <vt:lpstr>input_wld_srm_admin_password</vt:lpstr>
      <vt:lpstr>input_wld_srm_database_password</vt:lpstr>
      <vt:lpstr>input_wld_srm_hostname</vt:lpstr>
      <vt:lpstr>input_wld_srm_ip</vt:lpstr>
      <vt:lpstr>input_wld_srm_p12_password</vt:lpstr>
      <vt:lpstr>input_wld_srm_recovery_vcenter_fqdn</vt:lpstr>
      <vt:lpstr>input_wld_srm_recovery_vcenter_password</vt:lpstr>
      <vt:lpstr>input_wld_srm_recovery_vcenter_username</vt:lpstr>
      <vt:lpstr>input_wld_srm_root_password</vt:lpstr>
      <vt:lpstr>input_wld_srm_site_name</vt:lpstr>
      <vt:lpstr>input_wld_srm_sso_domain_membership</vt:lpstr>
      <vt:lpstr>input_wld_srm_vm_folder</vt:lpstr>
      <vt:lpstr>input_wld_sso_domain_name</vt:lpstr>
      <vt:lpstr>input_wld_tier0_name</vt:lpstr>
      <vt:lpstr>input_wld_vc_fqdn</vt:lpstr>
      <vt:lpstr>input_wld_vc_ip</vt:lpstr>
      <vt:lpstr>input_wld_vcenter_root_password</vt:lpstr>
      <vt:lpstr>input_wld_vlr_hostname</vt:lpstr>
      <vt:lpstr>input_wld_vlr_replication_user</vt:lpstr>
      <vt:lpstr>input_wld_vnaa_fqdn</vt:lpstr>
      <vt:lpstr>input_wld_vnaa_ip</vt:lpstr>
      <vt:lpstr>input_wld_vnab_fqdn</vt:lpstr>
      <vt:lpstr>input_wld_vnab_ip</vt:lpstr>
      <vt:lpstr>input_wld_vpc_ext_ip_blocks</vt:lpstr>
      <vt:lpstr>input_wld_vpc_transit_gateway_ip_blocks</vt:lpstr>
      <vt:lpstr>input_wld_vrms_admin_email</vt:lpstr>
      <vt:lpstr>input_wld_vrms_admin_password</vt:lpstr>
      <vt:lpstr>input_wld_vrms_hostname</vt:lpstr>
      <vt:lpstr>input_wld_vrms_mgmt_ip</vt:lpstr>
      <vt:lpstr>input_wld_vrms_p12_password</vt:lpstr>
      <vt:lpstr>input_wld_vrms_pg</vt:lpstr>
      <vt:lpstr>input_wld_vrms_recovery_replication_cidr</vt:lpstr>
      <vt:lpstr>input_wld_vrms_root_password</vt:lpstr>
      <vt:lpstr>input_wld_vrms_site_name</vt:lpstr>
      <vt:lpstr>input_wld_vrms_vm_folder</vt:lpstr>
      <vt:lpstr>input_wld_vrms_vrms_ip</vt:lpstr>
      <vt:lpstr>input_wld_witness_cluster</vt:lpstr>
      <vt:lpstr>input_wld_witness_dns1_ip</vt:lpstr>
      <vt:lpstr>input_wld_witness_dns2_ip</vt:lpstr>
      <vt:lpstr>input_wld_witness_fqdn</vt:lpstr>
      <vt:lpstr>input_wld_witness_hostname</vt:lpstr>
      <vt:lpstr>input_wld_witness_ip</vt:lpstr>
      <vt:lpstr>input_wld_witness_mgmt_pg</vt:lpstr>
      <vt:lpstr>input_wld_witness_ntp1_server</vt:lpstr>
      <vt:lpstr>input_wld_witness_ntp2_server</vt:lpstr>
      <vt:lpstr>input_wld_witness_root_password</vt:lpstr>
      <vt:lpstr>input_wld_witness_vm_folder</vt:lpstr>
      <vt:lpstr>input_wld_witness_vsan_datastore</vt:lpstr>
      <vt:lpstr>input_wld_witness_zone_vc_fqdn</vt:lpstr>
      <vt:lpstr>input_wld_witness_zone_vc_ip</vt:lpstr>
      <vt:lpstr>input_wld_witnessaz_mgmt_cidr</vt:lpstr>
      <vt:lpstr>input_wld_witnessaz_mgmt_gateway_ip</vt:lpstr>
      <vt:lpstr>input_wld_witnessaz_mgmt_mtu</vt:lpstr>
      <vt:lpstr>input_wld_witnessaz_mgmt_vlan</vt:lpstr>
      <vt:lpstr>input_xreg_vra_admin_password</vt:lpstr>
      <vt:lpstr>input_xreg_vra_node_pool_end_ip</vt:lpstr>
      <vt:lpstr>input_xreg_vra_node_pool_start_ip</vt:lpstr>
      <vt:lpstr>input_xreg_vra_nodea_ip</vt:lpstr>
      <vt:lpstr>input_xreg_vra_nodeb_ip</vt:lpstr>
      <vt:lpstr>input_xreg_vra_nodec_ip</vt:lpstr>
      <vt:lpstr>input_xreg_vra_noded_ip</vt:lpstr>
      <vt:lpstr>input_xreg_vra_nodee_ip</vt:lpstr>
      <vt:lpstr>input_xreg_vra_nodef_ip</vt:lpstr>
      <vt:lpstr>input_xreg_vra_prefix</vt:lpstr>
      <vt:lpstr>input_xreg_vra_virtual_fqdn</vt:lpstr>
      <vt:lpstr>input_xreg_vra_virtual_ip</vt:lpstr>
      <vt:lpstr>input_xreg_vrops_admin_password</vt:lpstr>
      <vt:lpstr>input_xreg_vrops_collector_fqdn</vt:lpstr>
      <vt:lpstr>input_xreg_vrops_collector_ip</vt:lpstr>
      <vt:lpstr>input_xreg_vrops_collector_root_password</vt:lpstr>
      <vt:lpstr>input_xreg_vrops_nodea_fqdn</vt:lpstr>
      <vt:lpstr>input_xreg_vrops_nodea_ip</vt:lpstr>
      <vt:lpstr>input_xreg_vrops_nodeb_fqdn</vt:lpstr>
      <vt:lpstr>input_xreg_vrops_nodeb_ip</vt:lpstr>
      <vt:lpstr>input_xreg_vrops_nodec_fqdn</vt:lpstr>
      <vt:lpstr>input_xreg_vrops_nodec_ip</vt:lpstr>
      <vt:lpstr>input_xreg_vrops_root_password</vt:lpstr>
      <vt:lpstr>input_xreg_vrops_srm_sso_password</vt:lpstr>
      <vt:lpstr>input_xreg_vrops_srm_sso_username</vt:lpstr>
      <vt:lpstr>input_xreg_vrops_virtual_fqdn</vt:lpstr>
      <vt:lpstr>input_xreg_vrops_virtual_ip</vt:lpstr>
      <vt:lpstr>input_xreg_vrops_vrms_sso_password</vt:lpstr>
      <vt:lpstr>input_xreg_vrops_vrms_sso_username</vt:lpstr>
      <vt:lpstr>input_xreg_vrslcm_fqdn</vt:lpstr>
      <vt:lpstr>input_xreg_vrslcm_ip</vt:lpstr>
      <vt:lpstr>input_xregion_dns1_ip</vt:lpstr>
      <vt:lpstr>input_xregion_dns2_ip</vt:lpstr>
      <vt:lpstr>input_xregion_ntp1_server</vt:lpstr>
      <vt:lpstr>input_xregion_ntp2_server</vt:lpstr>
      <vt:lpstr>k8s_api_endpoint_fqdn</vt:lpstr>
      <vt:lpstr>k8s_cluster_endpoint_fqdn</vt:lpstr>
      <vt:lpstr>k8s_harbor_fqdn</vt:lpstr>
      <vt:lpstr>k8s_harbor_hostname</vt:lpstr>
      <vt:lpstr>k8s_harbor_ip</vt:lpstr>
      <vt:lpstr>k8s_ip_prefixlist</vt:lpstr>
      <vt:lpstr>k8s_ip_routemap</vt:lpstr>
      <vt:lpstr>k8s_kubectl_path</vt:lpstr>
      <vt:lpstr>k8s_mgmt_pool_start_ip</vt:lpstr>
      <vt:lpstr>k8s_mgmt_seg</vt:lpstr>
      <vt:lpstr>k8s_namepsace</vt:lpstr>
      <vt:lpstr>k8s_segment_gateway_ip</vt:lpstr>
      <vt:lpstr>k8s_segment_gateway_ip_cidr</vt:lpstr>
      <vt:lpstr>k8s_segment_mask</vt:lpstr>
      <vt:lpstr>k8s_segment_pg</vt:lpstr>
      <vt:lpstr>k8s_tanzu_k8s_cluster_pod_pool_cidr</vt:lpstr>
      <vt:lpstr>k8s_tanzu_k8s_cluster_service_pool_cidr</vt:lpstr>
      <vt:lpstr>k8s_vcenter_category</vt:lpstr>
      <vt:lpstr>k8s_vcenter_content_library</vt:lpstr>
      <vt:lpstr>k8s_vcenter_storage_policy</vt:lpstr>
      <vt:lpstr>k8s_vcenter_tag</vt:lpstr>
      <vt:lpstr>k8s_vm_class</vt:lpstr>
      <vt:lpstr>lag_load_balancing</vt:lpstr>
      <vt:lpstr>local_admin_password</vt:lpstr>
      <vt:lpstr>local_admin_password_alias</vt:lpstr>
      <vt:lpstr>local_admin_username</vt:lpstr>
      <vt:lpstr>local_configadmin_password</vt:lpstr>
      <vt:lpstr>local_configadmin_password_alias</vt:lpstr>
      <vt:lpstr>local_configadmin_username</vt:lpstr>
      <vt:lpstr>local_vcf_aware_wsa_root_password</vt:lpstr>
      <vt:lpstr>local_vcf_aware_wsa_root_password_alias</vt:lpstr>
      <vt:lpstr>local_vcf_aware_wsa_root_password_username</vt:lpstr>
      <vt:lpstr>mgmt_avi_loadbalancer_chosen</vt:lpstr>
      <vt:lpstr>mgmt_avi_loadbalancer_result</vt:lpstr>
      <vt:lpstr>mgmt_avilb_cluster_name</vt:lpstr>
      <vt:lpstr>mgmt_avilb_cluster_version</vt:lpstr>
      <vt:lpstr>mgmt_avilb_fqdn</vt:lpstr>
      <vt:lpstr>mgmt_avilb_hostname</vt:lpstr>
      <vt:lpstr>mgmt_avilb_ip</vt:lpstr>
      <vt:lpstr>mgmt_avilb_mgra_ip</vt:lpstr>
      <vt:lpstr>mgmt_avilb_mgrb_ip</vt:lpstr>
      <vt:lpstr>mgmt_avilb_mgrc_ip</vt:lpstr>
      <vt:lpstr>mgmt_az1_ec01_password_creation_chosen</vt:lpstr>
      <vt:lpstr>mgmt_az1_edge_overlay_cidr</vt:lpstr>
      <vt:lpstr>mgmt_az1_edge_overlay_gateway_ip</vt:lpstr>
      <vt:lpstr>mgmt_az1_edge_overlay_mask</vt:lpstr>
      <vt:lpstr>mgmt_az1_edge_overlay_mtu</vt:lpstr>
      <vt:lpstr>mgmt_az1_edge_overlay_network</vt:lpstr>
      <vt:lpstr>mgmt_az1_edge_overlay_network_pool_name</vt:lpstr>
      <vt:lpstr>mgmt_az1_edge_overlay_pg</vt:lpstr>
      <vt:lpstr>mgmt_az1_edge_overlay_pool_end_ip</vt:lpstr>
      <vt:lpstr>mgmt_az1_edge_overlay_pool_start_ip</vt:lpstr>
      <vt:lpstr>mgmt_az1_edge_overlay_vlan</vt:lpstr>
      <vt:lpstr>mgmt_az1_en1_edge_overlay_interface_ip_1_ip</vt:lpstr>
      <vt:lpstr>mgmt_az1_en1_edge_overlay_interface_ip_2_ip</vt:lpstr>
      <vt:lpstr>mgmt_az1_en1_edge_overlay_network_ip_allocation_chosen</vt:lpstr>
      <vt:lpstr>mgmt_az1_en1_eth0_uplink0</vt:lpstr>
      <vt:lpstr>mgmt_az1_en1_eth0_uplink1</vt:lpstr>
      <vt:lpstr>mgmt_az1_en1_eth1_uplink0</vt:lpstr>
      <vt:lpstr>mgmt_az1_en1_eth1_uplink1</vt:lpstr>
      <vt:lpstr>mgmt_az1_en1_fqdn</vt:lpstr>
      <vt:lpstr>mgmt_az1_en1_hostname</vt:lpstr>
      <vt:lpstr>mgmt_az1_en1_ip_allocation_chosen</vt:lpstr>
      <vt:lpstr>mgmt_az1_en1_mgmt_cidr</vt:lpstr>
      <vt:lpstr>mgmt_az1_en1_mgmt_ip</vt:lpstr>
      <vt:lpstr>mgmt_az1_en1_uplink01_interface_cidr</vt:lpstr>
      <vt:lpstr>mgmt_az1_en1_uplink02_interface_cidr</vt:lpstr>
      <vt:lpstr>mgmt_az1_en2_edge_overlay_interface_ip_1_ip</vt:lpstr>
      <vt:lpstr>mgmt_az1_en2_edge_overlay_interface_ip_2_ip</vt:lpstr>
      <vt:lpstr>mgmt_az1_en2_eth0_uplink0</vt:lpstr>
      <vt:lpstr>mgmt_az1_en2_eth0_uplink1</vt:lpstr>
      <vt:lpstr>mgmt_az1_en2_eth1_uplink0</vt:lpstr>
      <vt:lpstr>mgmt_az1_en2_eth1_uplink1</vt:lpstr>
      <vt:lpstr>mgmt_az1_en2_fqdn</vt:lpstr>
      <vt:lpstr>mgmt_az1_en2_hostname</vt:lpstr>
      <vt:lpstr>mgmt_az1_en2_mgmt_cidr</vt:lpstr>
      <vt:lpstr>mgmt_az1_en2_mgmt_ip</vt:lpstr>
      <vt:lpstr>mgmt_az1_en2_uplink01_interface_cidr</vt:lpstr>
      <vt:lpstr>mgmt_az1_en2_uplink02_interface_cidr</vt:lpstr>
      <vt:lpstr>mgmt_az1_host_fqdns</vt:lpstr>
      <vt:lpstr>mgmt_az1_host_hostnames</vt:lpstr>
      <vt:lpstr>mgmt_az1_host_mgmt_ips</vt:lpstr>
      <vt:lpstr>mgmt_az1_host_overlay_cidr</vt:lpstr>
      <vt:lpstr>mgmt_az1_host_overlay_gateway_ip</vt:lpstr>
      <vt:lpstr>mgmt_az1_host_overlay_mask</vt:lpstr>
      <vt:lpstr>mgmt_az1_host_overlay_mtu</vt:lpstr>
      <vt:lpstr>mgmt_az1_host_overlay_network</vt:lpstr>
      <vt:lpstr>mgmt_az1_host_overlay_network_pool_description</vt:lpstr>
      <vt:lpstr>mgmt_az1_host_overlay_network_pool_name</vt:lpstr>
      <vt:lpstr>mgmt_az1_host_overlay_network_profile_name</vt:lpstr>
      <vt:lpstr>mgmt_az1_host_overlay_pg</vt:lpstr>
      <vt:lpstr>mgmt_az1_host_overlay_pool_end_ip</vt:lpstr>
      <vt:lpstr>mgmt_az1_host_overlay_pool_start_ip</vt:lpstr>
      <vt:lpstr>mgmt_az1_host_overlay_transport_zone</vt:lpstr>
      <vt:lpstr>mgmt_az1_host_overlay_vlan</vt:lpstr>
      <vt:lpstr>mgmt_az1_host1_fqdn</vt:lpstr>
      <vt:lpstr>mgmt_az1_host1_hostname</vt:lpstr>
      <vt:lpstr>mgmt_az1_host1_mgmt_ip</vt:lpstr>
      <vt:lpstr>mgmt_az1_host1_vrms_ip</vt:lpstr>
      <vt:lpstr>mgmt_az1_host10_fqdn</vt:lpstr>
      <vt:lpstr>mgmt_az1_host10_hostname</vt:lpstr>
      <vt:lpstr>mgmt_az1_host10_mgmt_ip</vt:lpstr>
      <vt:lpstr>mgmt_az1_host10_vrms_ip</vt:lpstr>
      <vt:lpstr>mgmt_az1_host11_fqdn</vt:lpstr>
      <vt:lpstr>mgmt_az1_host11_hostname</vt:lpstr>
      <vt:lpstr>mgmt_az1_host11_mgmt_ip</vt:lpstr>
      <vt:lpstr>mgmt_az1_host11_vrms_ip</vt:lpstr>
      <vt:lpstr>mgmt_az1_host12_fqdn</vt:lpstr>
      <vt:lpstr>mgmt_az1_host12_hostname</vt:lpstr>
      <vt:lpstr>mgmt_az1_host12_mgmt_ip</vt:lpstr>
      <vt:lpstr>mgmt_az1_host12_vrms_ip</vt:lpstr>
      <vt:lpstr>mgmt_az1_host13_fqdn</vt:lpstr>
      <vt:lpstr>mgmt_az1_host13_hostname</vt:lpstr>
      <vt:lpstr>mgmt_az1_host13_mgmt_ip</vt:lpstr>
      <vt:lpstr>mgmt_az1_host13_vrms_ip</vt:lpstr>
      <vt:lpstr>mgmt_az1_host14_fqdn</vt:lpstr>
      <vt:lpstr>mgmt_az1_host14_hostname</vt:lpstr>
      <vt:lpstr>mgmt_az1_host14_mgmt_ip</vt:lpstr>
      <vt:lpstr>mgmt_az1_host14_vrms_ip</vt:lpstr>
      <vt:lpstr>mgmt_az1_host15_fqdn</vt:lpstr>
      <vt:lpstr>mgmt_az1_host15_hostname</vt:lpstr>
      <vt:lpstr>mgmt_az1_host15_mgmt_ip</vt:lpstr>
      <vt:lpstr>mgmt_az1_host15_vrms_ip</vt:lpstr>
      <vt:lpstr>mgmt_az1_host16_fqdn</vt:lpstr>
      <vt:lpstr>mgmt_az1_host16_hostname</vt:lpstr>
      <vt:lpstr>mgmt_az1_host16_mgmt_ip</vt:lpstr>
      <vt:lpstr>mgmt_az1_host16_vrms_ip</vt:lpstr>
      <vt:lpstr>mgmt_az1_host2_fqdn</vt:lpstr>
      <vt:lpstr>mgmt_az1_host2_hostname</vt:lpstr>
      <vt:lpstr>mgmt_az1_host2_mgmt_ip</vt:lpstr>
      <vt:lpstr>mgmt_az1_host2_vrms_ip</vt:lpstr>
      <vt:lpstr>mgmt_az1_host3_fqdn</vt:lpstr>
      <vt:lpstr>mgmt_az1_host3_hostname</vt:lpstr>
      <vt:lpstr>mgmt_az1_host3_mgmt_ip</vt:lpstr>
      <vt:lpstr>mgmt_az1_host3_vrms_ip</vt:lpstr>
      <vt:lpstr>mgmt_az1_host4_fqdn</vt:lpstr>
      <vt:lpstr>mgmt_az1_host4_hostname</vt:lpstr>
      <vt:lpstr>mgmt_az1_host4_mgmt_ip</vt:lpstr>
      <vt:lpstr>mgmt_az1_host4_vrms_ip</vt:lpstr>
      <vt:lpstr>mgmt_az1_host5_fqdn</vt:lpstr>
      <vt:lpstr>mgmt_az1_host5_hostname</vt:lpstr>
      <vt:lpstr>mgmt_az1_host5_mgmt_ip</vt:lpstr>
      <vt:lpstr>mgmt_az1_host5_vrms_ip</vt:lpstr>
      <vt:lpstr>mgmt_az1_host6_fqdn</vt:lpstr>
      <vt:lpstr>mgmt_az1_host6_hostname</vt:lpstr>
      <vt:lpstr>mgmt_az1_host6_mgmt_ip</vt:lpstr>
      <vt:lpstr>mgmt_az1_host6_vrms_ip</vt:lpstr>
      <vt:lpstr>mgmt_az1_host7_fqdn</vt:lpstr>
      <vt:lpstr>mgmt_az1_host7_hostname</vt:lpstr>
      <vt:lpstr>mgmt_az1_host7_mgmt_ip</vt:lpstr>
      <vt:lpstr>mgmt_az1_host7_vrms_ip</vt:lpstr>
      <vt:lpstr>mgmt_az1_host8_fqdn</vt:lpstr>
      <vt:lpstr>mgmt_az1_host8_hostname</vt:lpstr>
      <vt:lpstr>mgmt_az1_host8_mgmt_ip</vt:lpstr>
      <vt:lpstr>mgmt_az1_host8_vrms_ip</vt:lpstr>
      <vt:lpstr>mgmt_az1_host9_fqdn</vt:lpstr>
      <vt:lpstr>mgmt_az1_host9_hostname</vt:lpstr>
      <vt:lpstr>mgmt_az1_host9_mgmt_ip</vt:lpstr>
      <vt:lpstr>mgmt_az1_host9_vrms_ip</vt:lpstr>
      <vt:lpstr>mgmt_az1_mgmt_cidr</vt:lpstr>
      <vt:lpstr>mgmt_az1_mgmt_gateway_ip</vt:lpstr>
      <vt:lpstr>mgmt_az1_mgmt_mask</vt:lpstr>
      <vt:lpstr>mgmt_az1_mgmt_mtu</vt:lpstr>
      <vt:lpstr>mgmt_az1_mgmt_network</vt:lpstr>
      <vt:lpstr>mgmt_az1_mgmt_vlan</vt:lpstr>
      <vt:lpstr>mgmt_az1_mgmt_vm_cidr</vt:lpstr>
      <vt:lpstr>mgmt_az1_mgmt_vm_gateway_ip</vt:lpstr>
      <vt:lpstr>mgmt_az1_mgmt_vm_mask</vt:lpstr>
      <vt:lpstr>mgmt_az1_mgmt_vm_mtu</vt:lpstr>
      <vt:lpstr>mgmt_az1_mgmt_vm_network</vt:lpstr>
      <vt:lpstr>mgmt_az1_mgmt_vm_vlan</vt:lpstr>
      <vt:lpstr>mgmt_az1_pool_name</vt:lpstr>
      <vt:lpstr>mgmt_az1_rtep_ip_pool_name</vt:lpstr>
      <vt:lpstr>mgmt_az1_rtep_overlay_cidr</vt:lpstr>
      <vt:lpstr>mgmt_az1_rtep_overlay_gateway_ip</vt:lpstr>
      <vt:lpstr>mgmt_az1_rtep_overlay_mtu</vt:lpstr>
      <vt:lpstr>mgmt_az1_rtep_overlay_network</vt:lpstr>
      <vt:lpstr>mgmt_az1_rtep_overlay_pg</vt:lpstr>
      <vt:lpstr>mgmt_az1_rtep_overlay_vlan</vt:lpstr>
      <vt:lpstr>mgmt_az1_secondary_storage_cidr</vt:lpstr>
      <vt:lpstr>mgmt_az1_secondary_storage_gateway_ip</vt:lpstr>
      <vt:lpstr>mgmt_az1_secondary_storage_mask</vt:lpstr>
      <vt:lpstr>mgmt_az1_secondary_storage_mtu</vt:lpstr>
      <vt:lpstr>mgmt_az1_secondary_storage_network</vt:lpstr>
      <vt:lpstr>mgmt_az1_secondary_storage_pool_end_ip</vt:lpstr>
      <vt:lpstr>mgmt_az1_secondary_storage_pool_start_ip</vt:lpstr>
      <vt:lpstr>mgmt_az1_secondary_storage_vlan</vt:lpstr>
      <vt:lpstr>mgmt_az1_tor1_peer_asn</vt:lpstr>
      <vt:lpstr>mgmt_az1_tor1_peer_bgp_password</vt:lpstr>
      <vt:lpstr>mgmt_az1_tor1_peer_ip</vt:lpstr>
      <vt:lpstr>mgmt_az1_tor2_peer_asn</vt:lpstr>
      <vt:lpstr>mgmt_az1_tor2_peer_bgp_password</vt:lpstr>
      <vt:lpstr>mgmt_az1_tor2_peer_ip</vt:lpstr>
      <vt:lpstr>mgmt_az1_uplink01_cidr</vt:lpstr>
      <vt:lpstr>mgmt_az1_uplink01_gateway_ip</vt:lpstr>
      <vt:lpstr>mgmt_az1_uplink01_mask</vt:lpstr>
      <vt:lpstr>mgmt_az1_uplink01_mtu</vt:lpstr>
      <vt:lpstr>mgmt_az1_uplink01_network</vt:lpstr>
      <vt:lpstr>mgmt_az1_uplink01_vlan</vt:lpstr>
      <vt:lpstr>mgmt_az1_uplink02_cidr</vt:lpstr>
      <vt:lpstr>mgmt_az1_uplink02_gateway_ip</vt:lpstr>
      <vt:lpstr>mgmt_az1_uplink02_mask</vt:lpstr>
      <vt:lpstr>mgmt_az1_uplink02_mtu</vt:lpstr>
      <vt:lpstr>mgmt_az1_uplink02_network</vt:lpstr>
      <vt:lpstr>mgmt_az1_uplink02_vlan</vt:lpstr>
      <vt:lpstr>mgmt_az1_vm_cidr</vt:lpstr>
      <vt:lpstr>mgmt_az1_vm_gateway_ip</vt:lpstr>
      <vt:lpstr>mgmt_az1_vm_mtu</vt:lpstr>
      <vt:lpstr>mgmt_az1_vm_vlan</vt:lpstr>
      <vt:lpstr>mgmt_az1_vmotion_cidr</vt:lpstr>
      <vt:lpstr>mgmt_az1_vmotion_gateway_ip</vt:lpstr>
      <vt:lpstr>mgmt_az1_vmotion_mask</vt:lpstr>
      <vt:lpstr>mgmt_az1_vmotion_mtu</vt:lpstr>
      <vt:lpstr>mgmt_az1_vmotion_network</vt:lpstr>
      <vt:lpstr>mgmt_az1_vmotion_pool_end_ip</vt:lpstr>
      <vt:lpstr>mgmt_az1_vmotion_pool_start_ip</vt:lpstr>
      <vt:lpstr>mgmt_az1_vmotion_vlan</vt:lpstr>
      <vt:lpstr>mgmt_az1_vrms_cidr</vt:lpstr>
      <vt:lpstr>mgmt_az1_vrms_gateway_ip</vt:lpstr>
      <vt:lpstr>mgmt_az1_vrms_mtu</vt:lpstr>
      <vt:lpstr>mgmt_az1_vrms_network</vt:lpstr>
      <vt:lpstr>mgmt_az1_vrms_vlan</vt:lpstr>
      <vt:lpstr>mgmt_az1_vsan_cidr</vt:lpstr>
      <vt:lpstr>mgmt_az1_vsan_gateway_ip</vt:lpstr>
      <vt:lpstr>mgmt_az1_vsan_mask</vt:lpstr>
      <vt:lpstr>mgmt_az1_vsan_mtu</vt:lpstr>
      <vt:lpstr>mgmt_az1_vsan_network</vt:lpstr>
      <vt:lpstr>mgmt_az1_vsan_pool_end_ip</vt:lpstr>
      <vt:lpstr>mgmt_az1_vsan_pool_start_ip</vt:lpstr>
      <vt:lpstr>mgmt_az1_vsan_vlan</vt:lpstr>
      <vt:lpstr>mgmt_az2_edge_overlay_cidr</vt:lpstr>
      <vt:lpstr>mgmt_az2_edge_overlay_gateway_ip</vt:lpstr>
      <vt:lpstr>mgmt_az2_edge_overlay_mask</vt:lpstr>
      <vt:lpstr>mgmt_az2_edge_overlay_mtu</vt:lpstr>
      <vt:lpstr>mgmt_az2_edge_overlay_network</vt:lpstr>
      <vt:lpstr>mgmt_az2_edge_overlay_pg</vt:lpstr>
      <vt:lpstr>mgmt_az2_edge_overlay_vlan</vt:lpstr>
      <vt:lpstr>mgmt_az2_host_fqdns</vt:lpstr>
      <vt:lpstr>mgmt_az2_host_hostnames</vt:lpstr>
      <vt:lpstr>mgmt_az2_host_mgmt_ips</vt:lpstr>
      <vt:lpstr>mgmt_az2_host_overlay_cidr</vt:lpstr>
      <vt:lpstr>mgmt_az2_host_overlay_gateway_ip</vt:lpstr>
      <vt:lpstr>mgmt_az2_host_overlay_mask</vt:lpstr>
      <vt:lpstr>mgmt_az2_host_overlay_mtu</vt:lpstr>
      <vt:lpstr>mgmt_az2_host_overlay_network</vt:lpstr>
      <vt:lpstr>mgmt_az2_host_overlay_network_pool_name</vt:lpstr>
      <vt:lpstr>mgmt_az2_host_overlay_network_profile_name</vt:lpstr>
      <vt:lpstr>mgmt_az2_host_overlay_new_pool_chosen</vt:lpstr>
      <vt:lpstr>mgmt_az2_host_overlay_pg</vt:lpstr>
      <vt:lpstr>mgmt_az2_host_overlay_pool_end_ip</vt:lpstr>
      <vt:lpstr>mgmt_az2_host_overlay_pool_name</vt:lpstr>
      <vt:lpstr>mgmt_az2_host_overlay_pool_start_ip</vt:lpstr>
      <vt:lpstr>mgmt_az2_host_overlay_uplink_profile_name</vt:lpstr>
      <vt:lpstr>mgmt_az2_host_overlay_vlan</vt:lpstr>
      <vt:lpstr>mgmt_az2_host_vrms_ips</vt:lpstr>
      <vt:lpstr>mgmt_az2_host1_fqdn</vt:lpstr>
      <vt:lpstr>mgmt_az2_host1_hostname</vt:lpstr>
      <vt:lpstr>mgmt_az2_host1_mgmt_ip</vt:lpstr>
      <vt:lpstr>mgmt_az2_host1_sddc_id</vt:lpstr>
      <vt:lpstr>mgmt_az2_host1_vrms_ip</vt:lpstr>
      <vt:lpstr>mgmt_az2_host10_fqdn</vt:lpstr>
      <vt:lpstr>mgmt_az2_host10_hostname</vt:lpstr>
      <vt:lpstr>mgmt_az2_host10_mgmt_ip</vt:lpstr>
      <vt:lpstr>mgmt_az2_host10_vrms_ip</vt:lpstr>
      <vt:lpstr>mgmt_az2_host11_fqdn</vt:lpstr>
      <vt:lpstr>mgmt_az2_host11_hostname</vt:lpstr>
      <vt:lpstr>mgmt_az2_host11_mgmt_ip</vt:lpstr>
      <vt:lpstr>mgmt_az2_host11_vrms_ip</vt:lpstr>
      <vt:lpstr>mgmt_az2_host12_fqdn</vt:lpstr>
      <vt:lpstr>mgmt_az2_host12_hostname</vt:lpstr>
      <vt:lpstr>mgmt_az2_host12_mgmt_ip</vt:lpstr>
      <vt:lpstr>mgmt_az2_host12_vrms_ip</vt:lpstr>
      <vt:lpstr>mgmt_az2_host13_fqdn</vt:lpstr>
      <vt:lpstr>mgmt_az2_host13_hostname</vt:lpstr>
      <vt:lpstr>mgmt_az2_host13_mgmt_ip</vt:lpstr>
      <vt:lpstr>mgmt_az2_host13_vrms_ip</vt:lpstr>
      <vt:lpstr>mgmt_az2_host14_fqdn</vt:lpstr>
      <vt:lpstr>mgmt_az2_host14_hostname</vt:lpstr>
      <vt:lpstr>mgmt_az2_host14_mgmt_ip</vt:lpstr>
      <vt:lpstr>mgmt_az2_host14_vrms_ip</vt:lpstr>
      <vt:lpstr>mgmt_az2_host15_fqdn</vt:lpstr>
      <vt:lpstr>mgmt_az2_host15_hostname</vt:lpstr>
      <vt:lpstr>mgmt_az2_host15_mgmt_ip</vt:lpstr>
      <vt:lpstr>mgmt_az2_host15_vrms_ip</vt:lpstr>
      <vt:lpstr>mgmt_az2_host16_fqdn</vt:lpstr>
      <vt:lpstr>mgmt_az2_host16_hostname</vt:lpstr>
      <vt:lpstr>mgmt_az2_host16_mgmt_ip</vt:lpstr>
      <vt:lpstr>mgmt_az2_host16_vrms_ip</vt:lpstr>
      <vt:lpstr>mgmt_az2_host2_fqdn</vt:lpstr>
      <vt:lpstr>mgmt_az2_host2_hostname</vt:lpstr>
      <vt:lpstr>mgmt_az2_host2_mgmt_ip</vt:lpstr>
      <vt:lpstr>mgmt_az2_host2_sddc_id</vt:lpstr>
      <vt:lpstr>mgmt_az2_host2_vrms_ip</vt:lpstr>
      <vt:lpstr>mgmt_az2_host3_fqdn</vt:lpstr>
      <vt:lpstr>mgmt_az2_host3_hostname</vt:lpstr>
      <vt:lpstr>mgmt_az2_host3_mgmt_ip</vt:lpstr>
      <vt:lpstr>mgmt_az2_host3_sddc_id</vt:lpstr>
      <vt:lpstr>mgmt_az2_host3_vrms_ip</vt:lpstr>
      <vt:lpstr>mgmt_az2_host4_fqdn</vt:lpstr>
      <vt:lpstr>mgmt_az2_host4_hostname</vt:lpstr>
      <vt:lpstr>mgmt_az2_host4_mgmt_ip</vt:lpstr>
      <vt:lpstr>mgmt_az2_host4_sddc_id</vt:lpstr>
      <vt:lpstr>mgmt_az2_host4_vrms_ip</vt:lpstr>
      <vt:lpstr>mgmt_az2_host5_fqdn</vt:lpstr>
      <vt:lpstr>mgmt_az2_host5_hostname</vt:lpstr>
      <vt:lpstr>mgmt_az2_host5_mgmt_ip</vt:lpstr>
      <vt:lpstr>mgmt_az2_host5_vrms_ip</vt:lpstr>
      <vt:lpstr>mgmt_az2_host6_fqdn</vt:lpstr>
      <vt:lpstr>mgmt_az2_host6_hostname</vt:lpstr>
      <vt:lpstr>mgmt_az2_host6_mgmt_ip</vt:lpstr>
      <vt:lpstr>mgmt_az2_host6_vrms_ip</vt:lpstr>
      <vt:lpstr>mgmt_az2_host7_fqdn</vt:lpstr>
      <vt:lpstr>mgmt_az2_host7_hostname</vt:lpstr>
      <vt:lpstr>mgmt_az2_host7_mgmt_ip</vt:lpstr>
      <vt:lpstr>mgmt_az2_host7_vrms_ip</vt:lpstr>
      <vt:lpstr>mgmt_az2_host8_fqdn</vt:lpstr>
      <vt:lpstr>mgmt_az2_host8_hostname</vt:lpstr>
      <vt:lpstr>mgmt_az2_host8_mgmt_ip</vt:lpstr>
      <vt:lpstr>mgmt_az2_host8_vrms_ip</vt:lpstr>
      <vt:lpstr>mgmt_az2_host9_fqdn</vt:lpstr>
      <vt:lpstr>mgmt_az2_host9_hostname</vt:lpstr>
      <vt:lpstr>mgmt_az2_host9_mgmt_ip</vt:lpstr>
      <vt:lpstr>mgmt_az2_host9_vrms_ip</vt:lpstr>
      <vt:lpstr>mgmt_az2_mgmt_cidr</vt:lpstr>
      <vt:lpstr>mgmt_az2_mgmt_gateway_ip</vt:lpstr>
      <vt:lpstr>mgmt_az2_mgmt_mask</vt:lpstr>
      <vt:lpstr>mgmt_az2_mgmt_mtu</vt:lpstr>
      <vt:lpstr>mgmt_az2_mgmt_network</vt:lpstr>
      <vt:lpstr>mgmt_az2_mgmt_vlan</vt:lpstr>
      <vt:lpstr>mgmt_az2_mgmt_vm_cidr</vt:lpstr>
      <vt:lpstr>mgmt_az2_mgmt_vm_gateway_ip</vt:lpstr>
      <vt:lpstr>mgmt_az2_mgmt_vm_mtu</vt:lpstr>
      <vt:lpstr>mgmt_az2_mgmt_vm_vlan</vt:lpstr>
      <vt:lpstr>mgmt_az2_pool_name</vt:lpstr>
      <vt:lpstr>mgmt_az2_reuse_vcf_networkpool_chosen</vt:lpstr>
      <vt:lpstr>mgmt_az2_rtep_overlay_cidr</vt:lpstr>
      <vt:lpstr>mgmt_az2_rtep_overlay_gateway_ip</vt:lpstr>
      <vt:lpstr>mgmt_az2_rtep_overlay_mask</vt:lpstr>
      <vt:lpstr>mgmt_az2_rtep_overlay_mtu</vt:lpstr>
      <vt:lpstr>mgmt_az2_rtep_overlay_network</vt:lpstr>
      <vt:lpstr>mgmt_az2_rtep_overlay_pg</vt:lpstr>
      <vt:lpstr>mgmt_az2_rtep_overlay_vlan</vt:lpstr>
      <vt:lpstr>mgmt_az2_secondary_storage_cidr</vt:lpstr>
      <vt:lpstr>mgmt_az2_secondary_storage_gateway_ip</vt:lpstr>
      <vt:lpstr>mgmt_az2_secondary_storage_mask</vt:lpstr>
      <vt:lpstr>mgmt_az2_secondary_storage_mtu</vt:lpstr>
      <vt:lpstr>mgmt_az2_secondary_storage_network</vt:lpstr>
      <vt:lpstr>mgmt_az2_secondary_storage_pool_end_ip</vt:lpstr>
      <vt:lpstr>mgmt_az2_secondary_storage_pool_start_ip</vt:lpstr>
      <vt:lpstr>mgmt_az2_secondary_storage_vlan</vt:lpstr>
      <vt:lpstr>mgmt_az2_tor1_peer_asn</vt:lpstr>
      <vt:lpstr>mgmt_az2_tor1_peer_bgp_password</vt:lpstr>
      <vt:lpstr>mgmt_az2_tor1_peer_ip</vt:lpstr>
      <vt:lpstr>mgmt_az2_tor2_peer_asn</vt:lpstr>
      <vt:lpstr>mgmt_az2_tor2_peer_bgp_password</vt:lpstr>
      <vt:lpstr>mgmt_az2_tor2_peer_ip</vt:lpstr>
      <vt:lpstr>mgmt_az2_uplink01_cidr</vt:lpstr>
      <vt:lpstr>mgmt_az2_uplink01_gateway_ip</vt:lpstr>
      <vt:lpstr>mgmt_az2_uplink01_mask</vt:lpstr>
      <vt:lpstr>mgmt_az2_uplink01_mtu</vt:lpstr>
      <vt:lpstr>mgmt_az2_uplink01_network</vt:lpstr>
      <vt:lpstr>mgmt_az2_uplink01_vlan</vt:lpstr>
      <vt:lpstr>mgmt_az2_uplink02_cidr</vt:lpstr>
      <vt:lpstr>mgmt_az2_uplink02_gateway_ip</vt:lpstr>
      <vt:lpstr>mgmt_az2_uplink02_mask</vt:lpstr>
      <vt:lpstr>mgmt_az2_uplink02_mtu</vt:lpstr>
      <vt:lpstr>mgmt_az2_uplink02_network</vt:lpstr>
      <vt:lpstr>mgmt_az2_uplink02_vlan</vt:lpstr>
      <vt:lpstr>mgmt_az2_vm_cidr</vt:lpstr>
      <vt:lpstr>mgmt_az2_vm_gateway_ip</vt:lpstr>
      <vt:lpstr>mgmt_az2_vm_mtu</vt:lpstr>
      <vt:lpstr>mgmt_az2_vm_vlan</vt:lpstr>
      <vt:lpstr>mgmt_az2_vmotion_cidr</vt:lpstr>
      <vt:lpstr>mgmt_az2_vmotion_gateway_ip</vt:lpstr>
      <vt:lpstr>mgmt_az2_vmotion_mask</vt:lpstr>
      <vt:lpstr>mgmt_az2_vmotion_mtu</vt:lpstr>
      <vt:lpstr>mgmt_az2_vmotion_network</vt:lpstr>
      <vt:lpstr>mgmt_az2_vmotion_pool_end_ip</vt:lpstr>
      <vt:lpstr>mgmt_az2_vmotion_pool_start_ip</vt:lpstr>
      <vt:lpstr>mgmt_az2_vmotion_vlan</vt:lpstr>
      <vt:lpstr>mgmt_az2_vrms_cidr</vt:lpstr>
      <vt:lpstr>mgmt_az2_vrms_gateway_ip</vt:lpstr>
      <vt:lpstr>mgmt_az2_vrms_mask</vt:lpstr>
      <vt:lpstr>mgmt_az2_vrms_mtu</vt:lpstr>
      <vt:lpstr>mgmt_az2_vrms_network</vt:lpstr>
      <vt:lpstr>mgmt_az2_vrms_vlan</vt:lpstr>
      <vt:lpstr>mgmt_az2_vsan_cidr</vt:lpstr>
      <vt:lpstr>mgmt_az2_vsan_gateway_ip</vt:lpstr>
      <vt:lpstr>mgmt_az2_vsan_mask</vt:lpstr>
      <vt:lpstr>mgmt_az2_vsan_mtu</vt:lpstr>
      <vt:lpstr>mgmt_az2_vsan_network</vt:lpstr>
      <vt:lpstr>mgmt_az2_vsan_pool_end_ip</vt:lpstr>
      <vt:lpstr>mgmt_az2_vsan_pool_start_ip</vt:lpstr>
      <vt:lpstr>mgmt_az2_vsan_vlan</vt:lpstr>
      <vt:lpstr>mgmt_ceip_status_chosen</vt:lpstr>
      <vt:lpstr>mgmt_cl01_az1_mgmt_lbt_chosen</vt:lpstr>
      <vt:lpstr>mgmt_cl01_az1_mgmt_pg</vt:lpstr>
      <vt:lpstr>mgmt_cl01_az1_mgmt_uplink1_chosen</vt:lpstr>
      <vt:lpstr>mgmt_cl01_az1_mgmt_uplink2_chosen</vt:lpstr>
      <vt:lpstr>mgmt_cl01_az1_mgmt_vm_lbt_chosen</vt:lpstr>
      <vt:lpstr>mgmt_cl01_az1_mgmt_vm_pg</vt:lpstr>
      <vt:lpstr>mgmt_cl01_az1_mgmt_vm_uplink1_chosen</vt:lpstr>
      <vt:lpstr>mgmt_cl01_az1_mgmt_vm_uplink2_chosen</vt:lpstr>
      <vt:lpstr>mgmt_cl01_az1_nfs_lbt_chosen</vt:lpstr>
      <vt:lpstr>mgmt_cl01_az1_nfs_pg</vt:lpstr>
      <vt:lpstr>mgmt_cl01_az1_nfs_uplink1_chosen</vt:lpstr>
      <vt:lpstr>mgmt_cl01_az1_nfs_uplink2_chosen</vt:lpstr>
      <vt:lpstr>mgmt_cl01_az1_nsx_lbt_chosen</vt:lpstr>
      <vt:lpstr>mgmt_cl01_az1_nsx_uplink1_chosen</vt:lpstr>
      <vt:lpstr>mgmt_cl01_az1_nsx_uplink2_chosen</vt:lpstr>
      <vt:lpstr>mgmt_cl01_az1_uplink01_pg</vt:lpstr>
      <vt:lpstr>mgmt_cl01_az1_uplink02_pg</vt:lpstr>
      <vt:lpstr>mgmt_cl01_az1_vcf_mgmt_pg</vt:lpstr>
      <vt:lpstr>mgmt_cl01_az1_vmotion_lbt_chosen</vt:lpstr>
      <vt:lpstr>mgmt_cl01_az1_vmotion_pg</vt:lpstr>
      <vt:lpstr>mgmt_cl01_az1_vmotion_uplink1_chosen</vt:lpstr>
      <vt:lpstr>mgmt_cl01_az1_vmotion_uplink2_chosen</vt:lpstr>
      <vt:lpstr>mgmt_cl01_az1_vsan_lbt_chosen</vt:lpstr>
      <vt:lpstr>mgmt_cl01_az1_vsan_pg</vt:lpstr>
      <vt:lpstr>mgmt_cl01_az1_vsan_uplink1_chosen</vt:lpstr>
      <vt:lpstr>mgmt_cl01_az1_vsan_uplink2_chosen</vt:lpstr>
      <vt:lpstr>mgmt_cl01_az2_mgmt_pg</vt:lpstr>
      <vt:lpstr>mgmt_cl01_az2_mgmt_vm_pg</vt:lpstr>
      <vt:lpstr>mgmt_cl01_az2_uplink01_pg</vt:lpstr>
      <vt:lpstr>mgmt_cl01_az2_uplink02_pg</vt:lpstr>
      <vt:lpstr>mgmt_cl01_az2_vmotion_pg</vt:lpstr>
      <vt:lpstr>mgmt_cl01_az2_vsan_pg</vt:lpstr>
      <vt:lpstr>mgmt_cl01_cluster</vt:lpstr>
      <vt:lpstr>mgmt_cl01_cluster_sddc_id</vt:lpstr>
      <vt:lpstr>mgmt_cl01_evc_mode_chosen</vt:lpstr>
      <vt:lpstr>mgmt_cl01_nfs_server_bound_to_vmknic_chosen</vt:lpstr>
      <vt:lpstr>mgmt_cl01_nfs_server_ip</vt:lpstr>
      <vt:lpstr>mgmt_cl01_nfs_share</vt:lpstr>
      <vt:lpstr>mgmt_cl01_vds_profile_chosen</vt:lpstr>
      <vt:lpstr>mgmt_cl01_vds01_lacp_mode_chosen</vt:lpstr>
      <vt:lpstr>mgmt_cl01_vds01_lacp_timeout_chosen</vt:lpstr>
      <vt:lpstr>mgmt_cl01_vds01_lag_lbt_chosen</vt:lpstr>
      <vt:lpstr>mgmt_cl01_vds01_lag_name</vt:lpstr>
      <vt:lpstr>mgmt_cl01_vds01_link_type_chosen</vt:lpstr>
      <vt:lpstr>mgmt_cl01_vds01_mtu</vt:lpstr>
      <vt:lpstr>mgmt_cl01_vds01_name</vt:lpstr>
      <vt:lpstr>mgmt_cl01_vds01_pnics</vt:lpstr>
      <vt:lpstr>mgmt_cl01_vds01_uplink_count</vt:lpstr>
      <vt:lpstr>mgmt_cl01_vds01_uplink1</vt:lpstr>
      <vt:lpstr>mgmt_cl01_vds01_uplink2</vt:lpstr>
      <vt:lpstr>mgmt_cl01_vds02_lacp_mode_chosen</vt:lpstr>
      <vt:lpstr>mgmt_cl01_vds02_lacp_timeout_chosen</vt:lpstr>
      <vt:lpstr>mgmt_cl01_vds02_lag_lbt_chosen</vt:lpstr>
      <vt:lpstr>mgmt_cl01_vds02_lag_name</vt:lpstr>
      <vt:lpstr>mgmt_cl01_vds02_link_type_chosen</vt:lpstr>
      <vt:lpstr>mgmt_cl01_vds02_mtu</vt:lpstr>
      <vt:lpstr>mgmt_cl01_vds02_name</vt:lpstr>
      <vt:lpstr>mgmt_cl01_vds02_pnics</vt:lpstr>
      <vt:lpstr>mgmt_cl01_vds02_uplink_count</vt:lpstr>
      <vt:lpstr>mgmt_cl01_vds02_uplink1</vt:lpstr>
      <vt:lpstr>mgmt_cl01_vds02_uplink2</vt:lpstr>
      <vt:lpstr>mgmt_cl01_vds03_lacp_mode_chosen</vt:lpstr>
      <vt:lpstr>mgmt_cl01_vds03_lacp_timeout_chosen</vt:lpstr>
      <vt:lpstr>mgmt_cl01_vds03_lag_lbt_chosen</vt:lpstr>
      <vt:lpstr>mgmt_cl01_vds03_lag_name</vt:lpstr>
      <vt:lpstr>mgmt_cl01_vds03_link_type_chosen</vt:lpstr>
      <vt:lpstr>mgmt_cl01_vds03_mtu</vt:lpstr>
      <vt:lpstr>mgmt_cl01_vds03_name</vt:lpstr>
      <vt:lpstr>mgmt_cl01_vds03_pnics</vt:lpstr>
      <vt:lpstr>mgmt_cl01_vds03_uplink_count</vt:lpstr>
      <vt:lpstr>mgmt_cl01_vds03_uplink1</vt:lpstr>
      <vt:lpstr>mgmt_cl01_vds03_uplink2</vt:lpstr>
      <vt:lpstr>mgmt_cl01_vsan_datastore</vt:lpstr>
      <vt:lpstr>mgmt_cl01_vsan_dedupe_compression_chosen</vt:lpstr>
      <vt:lpstr>mgmt_cl01_vsan_ftt_chosen</vt:lpstr>
      <vt:lpstr>mgmt_consolidated_result</vt:lpstr>
      <vt:lpstr>mgmt_datacenter</vt:lpstr>
      <vt:lpstr>mgmt_domain_chosen</vt:lpstr>
      <vt:lpstr>mgmt_domain_deployment_type_chosen</vt:lpstr>
      <vt:lpstr>mgmt_domain_deployment_type_result</vt:lpstr>
      <vt:lpstr>mgmt_domain_existing_nsx_manager_chosen</vt:lpstr>
      <vt:lpstr>mgmt_domain_existing_vcenter_chosen</vt:lpstr>
      <vt:lpstr>mgmt_domain_existing_vcf_operations_chosen</vt:lpstr>
      <vt:lpstr>mgmt_domain_ops_automation_later_chosen</vt:lpstr>
      <vt:lpstr>mgmt_domain_password_creation_chosen</vt:lpstr>
      <vt:lpstr>mgmt_domain_result</vt:lpstr>
      <vt:lpstr>mgmt_domain_vcf_automation_later_chosen</vt:lpstr>
      <vt:lpstr>mgmt_domain_vcf_operations_ha_mode_chosen</vt:lpstr>
      <vt:lpstr>mgmt_dpg_reuse_chosen</vt:lpstr>
      <vt:lpstr>mgmt_dpg_reuse_result</vt:lpstr>
      <vt:lpstr>mgmt_ec_api_chosen</vt:lpstr>
      <vt:lpstr>mgmt_ec_gateway_type</vt:lpstr>
      <vt:lpstr>mgmt_ec_mtu</vt:lpstr>
      <vt:lpstr>mgmt_ec_name</vt:lpstr>
      <vt:lpstr>mgmt_ec_rp_name</vt:lpstr>
      <vt:lpstr>mgmt_ec01_en01_host_group_affinity_rule_name</vt:lpstr>
      <vt:lpstr>mgmt_ec01_en02_host_group_affinity_rule_name</vt:lpstr>
      <vt:lpstr>mgmt_ec01_host_group_affinity_rule_chosen</vt:lpstr>
      <vt:lpstr>mgmt_ec01_use_host_overlay_chosen</vt:lpstr>
      <vt:lpstr>mgmt_edge_vm_folder</vt:lpstr>
      <vt:lpstr>mgmt_en_asn</vt:lpstr>
      <vt:lpstr>mgmt_en01_bfd_chosen</vt:lpstr>
      <vt:lpstr>mgmt_en02_bfd_chosen</vt:lpstr>
      <vt:lpstr>mgmt_existing_active_nsx_gm</vt:lpstr>
      <vt:lpstr>mgmt_existing_cross_instance_t0_name</vt:lpstr>
      <vt:lpstr>mgmt_flt_fm_reuse_password_chosen</vt:lpstr>
      <vt:lpstr>mgmt_gateway_routing_type_chosen</vt:lpstr>
      <vt:lpstr>mgmt_host_overlay_addressing_chosen</vt:lpstr>
      <vt:lpstr>mgmt_internet_proxy_address</vt:lpstr>
      <vt:lpstr>mgmt_internet_proxy_auth_chosen</vt:lpstr>
      <vt:lpstr>mgmt_internet_proxy_chosen</vt:lpstr>
      <vt:lpstr>mgmt_internet_proxy_email</vt:lpstr>
      <vt:lpstr>mgmt_internet_proxy_password</vt:lpstr>
      <vt:lpstr>mgmt_internet_proxy_port</vt:lpstr>
      <vt:lpstr>mgmt_internet_proxy_type_chosen</vt:lpstr>
      <vt:lpstr>mgmt_mgmt_rp</vt:lpstr>
      <vt:lpstr>mgmt_mgmt_vm_folder</vt:lpstr>
      <vt:lpstr>mgmt_nsx_default_operation_mode_chosen</vt:lpstr>
      <vt:lpstr>mgmt_nsx_operation_mode_chosen</vt:lpstr>
      <vt:lpstr>mgmt_nsx_rp</vt:lpstr>
      <vt:lpstr>mgmt_nsx_vm_folder</vt:lpstr>
      <vt:lpstr>mgmt_nsxt_appliance_size_chosen</vt:lpstr>
      <vt:lpstr>mgmt_nsxt_en_admin_password</vt:lpstr>
      <vt:lpstr>mgmt_nsxt_en_root_password</vt:lpstr>
      <vt:lpstr>mgmt_nsxt_enable_edge_sync_chosen</vt:lpstr>
      <vt:lpstr>mgmt_nsxt_federation_chosen</vt:lpstr>
      <vt:lpstr>mgmt_nsxt_federation_global_manager_name</vt:lpstr>
      <vt:lpstr>mgmt_nsxt_federation_location_name</vt:lpstr>
      <vt:lpstr>mgmt_nsxt_federation_result</vt:lpstr>
      <vt:lpstr>mgmt_nsxt_global_mgr_anti_affinity_rule_name</vt:lpstr>
      <vt:lpstr>mgmt_nsxt_global_mgr_certificate_id</vt:lpstr>
      <vt:lpstr>mgmt_nsxt_global_mgr_cluster_id</vt:lpstr>
      <vt:lpstr>mgmt_nsxt_global_mgr_vmca_signed_thumbprint</vt:lpstr>
      <vt:lpstr>mgmt_nsxt_global_mgra_fqdn</vt:lpstr>
      <vt:lpstr>mgmt_nsxt_global_mgra_hostname</vt:lpstr>
      <vt:lpstr>mgmt_nsxt_global_mgra_ip</vt:lpstr>
      <vt:lpstr>mgmt_nsxt_global_mgrb_fqdn</vt:lpstr>
      <vt:lpstr>mgmt_nsxt_global_mgrb_hostname</vt:lpstr>
      <vt:lpstr>mgmt_nsxt_global_mgrb_ip</vt:lpstr>
      <vt:lpstr>mgmt_nsxt_global_mgrc_fqdn</vt:lpstr>
      <vt:lpstr>mgmt_nsxt_global_mgrc_hostname</vt:lpstr>
      <vt:lpstr>mgmt_nsxt_global_mgrc_ip</vt:lpstr>
      <vt:lpstr>mgmt_nsxt_gm_fingerprint</vt:lpstr>
      <vt:lpstr>mgmt_nsxt_gm_hostname</vt:lpstr>
      <vt:lpstr>mgmt_nsxt_gm_vip_fqdn</vt:lpstr>
      <vt:lpstr>mgmt_nsxt_gm_vip_ip</vt:lpstr>
      <vt:lpstr>mgmt_nsxt_hostname</vt:lpstr>
      <vt:lpstr>mgmt_nsxt_lm_fingerprint</vt:lpstr>
      <vt:lpstr>mgmt_nsxt_mgr_formfactor</vt:lpstr>
      <vt:lpstr>mgmt_nsxt_mgra_fqdn</vt:lpstr>
      <vt:lpstr>mgmt_nsxt_mgra_hostname</vt:lpstr>
      <vt:lpstr>mgmt_nsxt_mgra_ip</vt:lpstr>
      <vt:lpstr>mgmt_nsxt_mgrb_fqdn</vt:lpstr>
      <vt:lpstr>mgmt_nsxt_mgrb_hostname</vt:lpstr>
      <vt:lpstr>mgmt_nsxt_mgrb_ip</vt:lpstr>
      <vt:lpstr>mgmt_nsxt_mgrc_fqdn</vt:lpstr>
      <vt:lpstr>mgmt_nsxt_mgrc_hostname</vt:lpstr>
      <vt:lpstr>mgmt_nsxt_mgrc_ip</vt:lpstr>
      <vt:lpstr>mgmt_nsxt_vip_fqdn</vt:lpstr>
      <vt:lpstr>mgmt_nsxt_vip_ip</vt:lpstr>
      <vt:lpstr>mgmt_nsxt_xreg_t1_name</vt:lpstr>
      <vt:lpstr>mgmt_offline_depot_chosen</vt:lpstr>
      <vt:lpstr>mgmt_offline_depot_fqdn</vt:lpstr>
      <vt:lpstr>mgmt_offline_depot_port</vt:lpstr>
      <vt:lpstr>mgmt_ops_collector_reuse_password_chosen</vt:lpstr>
      <vt:lpstr>mgmt_principal_storage_chosen</vt:lpstr>
      <vt:lpstr>mgmt_recovery_lb_creation_method</vt:lpstr>
      <vt:lpstr>mgmt_rtep_overlay_pool_end_ip</vt:lpstr>
      <vt:lpstr>mgmt_rtep_overlay_pool_start_ip</vt:lpstr>
      <vt:lpstr>mgmt_rwr_recovery_site_az1_mgmt_cidr</vt:lpstr>
      <vt:lpstr>mgmt_rwr_vc_fqdn</vt:lpstr>
      <vt:lpstr>mgmt_sddc_domain</vt:lpstr>
      <vt:lpstr>mgmt_signed_certs_chosen</vt:lpstr>
      <vt:lpstr>mgmt_signed_certs_result</vt:lpstr>
      <vt:lpstr>mgmt_srm_admin_email</vt:lpstr>
      <vt:lpstr>mgmt_srm_admin_password</vt:lpstr>
      <vt:lpstr>mgmt_srm_database_password</vt:lpstr>
      <vt:lpstr>mgmt_srm_days</vt:lpstr>
      <vt:lpstr>mgmt_srm_fqdn</vt:lpstr>
      <vt:lpstr>mgmt_srm_instances_per_day</vt:lpstr>
      <vt:lpstr>mgmt_srm_ip</vt:lpstr>
      <vt:lpstr>mgmt_srm_logs_rp</vt:lpstr>
      <vt:lpstr>mgmt_srm_net_rp</vt:lpstr>
      <vt:lpstr>mgmt_srm_p12_password</vt:lpstr>
      <vt:lpstr>mgmt_srm_recovery_cluster</vt:lpstr>
      <vt:lpstr>mgmt_srm_recovery_datastore</vt:lpstr>
      <vt:lpstr>mgmt_srm_recovery_gateway</vt:lpstr>
      <vt:lpstr>mgmt_srm_recovery_mask</vt:lpstr>
      <vt:lpstr>mgmt_srm_recovery_nsx_ec_name</vt:lpstr>
      <vt:lpstr>mgmt_srm_recovery_nsx_location</vt:lpstr>
      <vt:lpstr>mgmt_srm_recovery_pg</vt:lpstr>
      <vt:lpstr>mgmt_srm_recovery_sddc_manager_domain</vt:lpstr>
      <vt:lpstr>mgmt_srm_recovery_sddc_manager_fqdn</vt:lpstr>
      <vt:lpstr>mgmt_srm_recovery_sddc_manager_password</vt:lpstr>
      <vt:lpstr>mgmt_srm_recovery_sddc_manager_username</vt:lpstr>
      <vt:lpstr>mgmt_srm_recovery_t1_si_ip</vt:lpstr>
      <vt:lpstr>mgmt_srm_recovery_vcenter_fqdn</vt:lpstr>
      <vt:lpstr>mgmt_srm_recovery_vcenter_password</vt:lpstr>
      <vt:lpstr>mgmt_srm_recovery_vcenter_username</vt:lpstr>
      <vt:lpstr>mgmt_srm_root_password</vt:lpstr>
      <vt:lpstr>mgmt_srm_rpo</vt:lpstr>
      <vt:lpstr>mgmt_srm_site_name</vt:lpstr>
      <vt:lpstr>mgmt_srm_sso_domain_membership</vt:lpstr>
      <vt:lpstr>mgmt_srm_vm_folder</vt:lpstr>
      <vt:lpstr>mgmt_srm_vm_size</vt:lpstr>
      <vt:lpstr>mgmt_srm_vm_size_chosen</vt:lpstr>
      <vt:lpstr>mgmt_srm_vra_pg</vt:lpstr>
      <vt:lpstr>mgmt_srm_vra_rp</vt:lpstr>
      <vt:lpstr>mgmt_srm_vrops_pg</vt:lpstr>
      <vt:lpstr>mgmt_srm_vrops_rp</vt:lpstr>
      <vt:lpstr>mgmt_srm_vrslcm_wsa_pg</vt:lpstr>
      <vt:lpstr>mgmt_srm_vrslcm_wsa_rp</vt:lpstr>
      <vt:lpstr>mgmt_sso_domain</vt:lpstr>
      <vt:lpstr>mgmt_sso_domain_username</vt:lpstr>
      <vt:lpstr>mgmt_stretched_cluster_chosen</vt:lpstr>
      <vt:lpstr>mgmt_stretched_cluster_result</vt:lpstr>
      <vt:lpstr>mgmt_tier0_ha_chosen</vt:lpstr>
      <vt:lpstr>mgmt_tier0_name</vt:lpstr>
      <vt:lpstr>mgmt_tier0_skip_chosen</vt:lpstr>
      <vt:lpstr>mgmt_tier1_name</vt:lpstr>
      <vt:lpstr>mgmt_user_edge_rp</vt:lpstr>
      <vt:lpstr>mgmt_user_vm_rp</vt:lpstr>
      <vt:lpstr>mgmt_vc_fqdn</vt:lpstr>
      <vt:lpstr>mgmt_vc_hostname</vt:lpstr>
      <vt:lpstr>mgmt_vc_ip</vt:lpstr>
      <vt:lpstr>mgmt_vc_size</vt:lpstr>
      <vt:lpstr>mgmt_vc_storage_size</vt:lpstr>
      <vt:lpstr>mgmt_vcenter_appliance_size_chosen</vt:lpstr>
      <vt:lpstr>mgmt_vcf_installer_location_chosen</vt:lpstr>
      <vt:lpstr>mgmt_vcf_management_network_chosen</vt:lpstr>
      <vt:lpstr>mgmt_vcfops_appliance_size_chosen</vt:lpstr>
      <vt:lpstr>mgmt_vnaa_fqdn</vt:lpstr>
      <vt:lpstr>mgmt_vnaa_ip</vt:lpstr>
      <vt:lpstr>mgmt_vnab_fqdn</vt:lpstr>
      <vt:lpstr>mgmt_vnab_ip</vt:lpstr>
      <vt:lpstr>mgmt_vns_chosen</vt:lpstr>
      <vt:lpstr>mgmt_vns_result</vt:lpstr>
      <vt:lpstr>mgmt_vpc_ext_ip_blocks</vt:lpstr>
      <vt:lpstr>mgmt_vpc_transit_gateway_ip_blocks</vt:lpstr>
      <vt:lpstr>mgmt_vrms_admin_email</vt:lpstr>
      <vt:lpstr>mgmt_vrms_admin_password</vt:lpstr>
      <vt:lpstr>mgmt_vrms_hostname</vt:lpstr>
      <vt:lpstr>mgmt_vrms_mgmt_ip</vt:lpstr>
      <vt:lpstr>mgmt_vrms_p12_password</vt:lpstr>
      <vt:lpstr>mgmt_vrms_pg</vt:lpstr>
      <vt:lpstr>mgmt_vrms_recovery_replication_cidr</vt:lpstr>
      <vt:lpstr>mgmt_vrms_root_password</vt:lpstr>
      <vt:lpstr>mgmt_vrms_site_name</vt:lpstr>
      <vt:lpstr>mgmt_vrms_vm_folder</vt:lpstr>
      <vt:lpstr>mgmt_vrms_vrms_ip</vt:lpstr>
      <vt:lpstr>mgmt_witness_az_mgmt_mask</vt:lpstr>
      <vt:lpstr>mgmt_witness_cluster</vt:lpstr>
      <vt:lpstr>mgmt_witness_dns1_ip</vt:lpstr>
      <vt:lpstr>mgmt_witness_dns2_ip</vt:lpstr>
      <vt:lpstr>mgmt_witness_fqdn</vt:lpstr>
      <vt:lpstr>mgmt_witness_hostname</vt:lpstr>
      <vt:lpstr>mgmt_witness_ip</vt:lpstr>
      <vt:lpstr>mgmt_witness_mgmt_pg</vt:lpstr>
      <vt:lpstr>mgmt_witness_ntp1_server</vt:lpstr>
      <vt:lpstr>mgmt_witness_ntp2_server</vt:lpstr>
      <vt:lpstr>mgmt_witness_root_password</vt:lpstr>
      <vt:lpstr>mgmt_witness_sddc_domain</vt:lpstr>
      <vt:lpstr>mgmt_witness_vc_fqdn</vt:lpstr>
      <vt:lpstr>mgmt_witness_vcenter_fqdn</vt:lpstr>
      <vt:lpstr>mgmt_witness_vcenter_hostname</vt:lpstr>
      <vt:lpstr>mgmt_witness_vm_folder</vt:lpstr>
      <vt:lpstr>mgmt_witness_vsan_datastore</vt:lpstr>
      <vt:lpstr>mgmt_witness_zone_vc_fqdn</vt:lpstr>
      <vt:lpstr>mgmt_witness_zone_vc_hostname</vt:lpstr>
      <vt:lpstr>mgmt_witness_zone_vc_ip</vt:lpstr>
      <vt:lpstr>mgmt_witnessaz_cidr</vt:lpstr>
      <vt:lpstr>mgmt_witnessaz_gateway_ip</vt:lpstr>
      <vt:lpstr>mgmt_witnessaz_mgmt_cidr</vt:lpstr>
      <vt:lpstr>mgmt_witnessaz_mgmt_gateway_ip</vt:lpstr>
      <vt:lpstr>mgmt_witnessaz_mgmt_mask</vt:lpstr>
      <vt:lpstr>mgmt_witnessaz_mgmt_mtu</vt:lpstr>
      <vt:lpstr>mgmt_witnessaz_mgmt_network</vt:lpstr>
      <vt:lpstr>mgmt_witnessaz_mgmt_vlan</vt:lpstr>
      <vt:lpstr>mgmt_witnessaz_mtu</vt:lpstr>
      <vt:lpstr>mgmt_witnessaz_vlan</vt:lpstr>
      <vt:lpstr>navigation_apply_signed_certs_mgmt_domain</vt:lpstr>
      <vt:lpstr>navigation_apply_signed_certs_wld_domain</vt:lpstr>
      <vt:lpstr>navigation_avi_lb_mgmt_domain</vt:lpstr>
      <vt:lpstr>navigation_avi_lb_wld_domain</vt:lpstr>
      <vt:lpstr>navigation_configure_sftp_mgmt_domain</vt:lpstr>
      <vt:lpstr>navigation_mgmt_configure_auth</vt:lpstr>
      <vt:lpstr>navigation_nsx_federation_for_management_domain</vt:lpstr>
      <vt:lpstr>navigation_nsx_federation_for_wld_domain</vt:lpstr>
      <vt:lpstr>navigation_nsx_routing_mgmt_domain</vt:lpstr>
      <vt:lpstr>navigation_nsx_routing_wld_domain</vt:lpstr>
      <vt:lpstr>navigation_site_protection_mgmt</vt:lpstr>
      <vt:lpstr>navigation_site_protection_solution_interop</vt:lpstr>
      <vt:lpstr>navigation_site_protection_wld</vt:lpstr>
      <vt:lpstr>navigation_stretched_cluster_mgmt_domain</vt:lpstr>
      <vt:lpstr>navigation_stretched_cluster_wld_domain</vt:lpstr>
      <vt:lpstr>navigation_vcf_and_vvf_planning_tab</vt:lpstr>
      <vt:lpstr>navlink_input_ca_values</vt:lpstr>
      <vt:lpstr>non_first_domain_mgmt_only_viable</vt:lpstr>
      <vt:lpstr>non_first_domain_mgmt_vi_viable</vt:lpstr>
      <vt:lpstr>nsx_sizing_limits</vt:lpstr>
      <vt:lpstr>nsxt_en_admin_password</vt:lpstr>
      <vt:lpstr>nsxt_en_root_password</vt:lpstr>
      <vt:lpstr>nsxt_gm_admin_password</vt:lpstr>
      <vt:lpstr>nsxt_gm_audit_password</vt:lpstr>
      <vt:lpstr>nsxt_gm_root_password</vt:lpstr>
      <vt:lpstr>nsxt_lm_admin_password</vt:lpstr>
      <vt:lpstr>nsxt_lm_audit_password</vt:lpstr>
      <vt:lpstr>nsxt_lm_root_password</vt:lpstr>
      <vt:lpstr>other_instance</vt:lpstr>
      <vt:lpstr>other_prefix_mgmt_stretched_cidr</vt:lpstr>
      <vt:lpstr>other_prefix_wld_stretched_cidr</vt:lpstr>
      <vt:lpstr>parent_ad_groups_ou</vt:lpstr>
      <vt:lpstr>parent_ad_users_ou</vt:lpstr>
      <vt:lpstr>parent_dns_zone</vt:lpstr>
      <vt:lpstr>pnp_version_history</vt:lpstr>
      <vt:lpstr>pnp_version_number</vt:lpstr>
      <vt:lpstr>prefix_flt_shared_cidr</vt:lpstr>
      <vt:lpstr>prefix_mgmt_az1_cidr</vt:lpstr>
      <vt:lpstr>prefix_mgmt_az1_vlan</vt:lpstr>
      <vt:lpstr>prefix_mgmt_az2_cidr</vt:lpstr>
      <vt:lpstr>prefix_mgmt_az2_vlan</vt:lpstr>
      <vt:lpstr>prefix_mgmt_stretched_cidr</vt:lpstr>
      <vt:lpstr>prefix_mgmt_stretched_vlan</vt:lpstr>
      <vt:lpstr>prefix_mgmt_tor_asn</vt:lpstr>
      <vt:lpstr>prefix_mgmt_witness_cidr</vt:lpstr>
      <vt:lpstr>prefix_mgmt_witness_vlan</vt:lpstr>
      <vt:lpstr>prefix_other_region_az1_cidr</vt:lpstr>
      <vt:lpstr>prefix_portable_component</vt:lpstr>
      <vt:lpstr>prefix_reg_cidr</vt:lpstr>
      <vt:lpstr>prefix_wld_az1_cidr</vt:lpstr>
      <vt:lpstr>prefix_wld_az1_rack_cidr</vt:lpstr>
      <vt:lpstr>prefix_wld_az1_rack_vlan</vt:lpstr>
      <vt:lpstr>prefix_wld_az1_vlan</vt:lpstr>
      <vt:lpstr>prefix_wld_az2_cidr</vt:lpstr>
      <vt:lpstr>prefix_wld_az2_rack_cidr</vt:lpstr>
      <vt:lpstr>prefix_wld_az2_rack_vlan</vt:lpstr>
      <vt:lpstr>prefix_wld_az2_vlan</vt:lpstr>
      <vt:lpstr>prefix_wld_k8s_cidr</vt:lpstr>
      <vt:lpstr>prefix_wld_stretched_cidr</vt:lpstr>
      <vt:lpstr>prefix_wld_stretched_vlan</vt:lpstr>
      <vt:lpstr>prefix_wld_tor_asn</vt:lpstr>
      <vt:lpstr>prefix_wld_witness_cidr</vt:lpstr>
      <vt:lpstr>prefix_wld_witness_vlan</vt:lpstr>
      <vt:lpstr>prefix_xreg_cidr</vt:lpstr>
      <vt:lpstr>protected_mgmt_result</vt:lpstr>
      <vt:lpstr>protected_wld_result</vt:lpstr>
      <vt:lpstr>recovery_mgmt_result</vt:lpstr>
      <vt:lpstr>reg_seg01_mask_overlay_backed</vt:lpstr>
      <vt:lpstr>region_ad_child_fqdn</vt:lpstr>
      <vt:lpstr>region_ad_child_netbios</vt:lpstr>
      <vt:lpstr>region_ad_parent_fqdn</vt:lpstr>
      <vt:lpstr>region_ad_parent_netbios</vt:lpstr>
      <vt:lpstr>region_dns1_ip</vt:lpstr>
      <vt:lpstr>region_dns2_ip</vt:lpstr>
      <vt:lpstr>region_ntp_servers_array</vt:lpstr>
      <vt:lpstr>region_ntp1_server</vt:lpstr>
      <vt:lpstr>region_ntp2_server</vt:lpstr>
      <vt:lpstr>region_vrli_nodea_fqdn</vt:lpstr>
      <vt:lpstr>region_vrli_nodea_hostname</vt:lpstr>
      <vt:lpstr>region_vrli_nodea_ip</vt:lpstr>
      <vt:lpstr>region_vrli_nodeb_fqdn</vt:lpstr>
      <vt:lpstr>region_vrli_nodeb_hostname</vt:lpstr>
      <vt:lpstr>region_vrli_nodeb_ip</vt:lpstr>
      <vt:lpstr>region_vrli_nodec_fqdn</vt:lpstr>
      <vt:lpstr>region_vrli_nodec_hostname</vt:lpstr>
      <vt:lpstr>region_vrli_nodec_ip</vt:lpstr>
      <vt:lpstr>region_vrli_virtual_fqdn</vt:lpstr>
      <vt:lpstr>region_vrli_virtual_hostname</vt:lpstr>
      <vt:lpstr>region_vrli_virtual_ip</vt:lpstr>
      <vt:lpstr>region_vrni_nodea_hostname</vt:lpstr>
      <vt:lpstr>region_vrni_nodea_ip</vt:lpstr>
      <vt:lpstr>rwr_child_dns_zone</vt:lpstr>
      <vt:lpstr>rwr_chosen</vt:lpstr>
      <vt:lpstr>rwr_datacenter</vt:lpstr>
      <vt:lpstr>rwr_result</vt:lpstr>
      <vt:lpstr>rwr_sso_domain_name</vt:lpstr>
      <vt:lpstr>rwr_vlr_replication_password</vt:lpstr>
      <vt:lpstr>rwr_vrms_pg</vt:lpstr>
      <vt:lpstr>sample_administrator_vsphere_local_password</vt:lpstr>
      <vt:lpstr>sample_air_GPU_network_operator_namespace</vt:lpstr>
      <vt:lpstr>sample_air_GPU_operator_namespace</vt:lpstr>
      <vt:lpstr>sample_air_GPU_VM_class</vt:lpstr>
      <vt:lpstr>sample_air_license</vt:lpstr>
      <vt:lpstr>sample_avilb_root_password</vt:lpstr>
      <vt:lpstr>sample_ca_administrator_password</vt:lpstr>
      <vt:lpstr>sample_ca_administrator_username</vt:lpstr>
      <vt:lpstr>sample_ca_algorithm</vt:lpstr>
      <vt:lpstr>sample_ca_country</vt:lpstr>
      <vt:lpstr>sample_ca_email_address</vt:lpstr>
      <vt:lpstr>sample_ca_key_size</vt:lpstr>
      <vt:lpstr>sample_ca_locality</vt:lpstr>
      <vt:lpstr>sample_ca_organization</vt:lpstr>
      <vt:lpstr>sample_ca_organization_unit</vt:lpstr>
      <vt:lpstr>sample_ca_state</vt:lpstr>
      <vt:lpstr>sample_ca_template_name</vt:lpstr>
      <vt:lpstr>sample_cbr_aria_logs_key</vt:lpstr>
      <vt:lpstr>sample_cbr_aria_logs_url</vt:lpstr>
      <vt:lpstr>sample_cbr_firewall_group</vt:lpstr>
      <vt:lpstr>sample_cbr_firewall_ip_addresses</vt:lpstr>
      <vt:lpstr>sample_cbr_firewall_rule_vcenter</vt:lpstr>
      <vt:lpstr>sample_cbr_recovery_host_count</vt:lpstr>
      <vt:lpstr>sample_cbr_recovery_host_type</vt:lpstr>
      <vt:lpstr>sample_cbr_recovery_management_subnet</vt:lpstr>
      <vt:lpstr>sample_cbr_recovery_region</vt:lpstr>
      <vt:lpstr>sample_cbr_recovery_sddc_name</vt:lpstr>
      <vt:lpstr>sample_cbr_recovery_subnet</vt:lpstr>
      <vt:lpstr>sample_cbr_recovery_vpc</vt:lpstr>
      <vt:lpstr>sample_cbr_vcdr_anti_affinity</vt:lpstr>
      <vt:lpstr>sample_cbr_vcdr_cdp1_hostname</vt:lpstr>
      <vt:lpstr>sample_cbr_vcdr_cdp1_ip</vt:lpstr>
      <vt:lpstr>sample_cbr_vcdr_cdp2_hostname</vt:lpstr>
      <vt:lpstr>sample_cbr_vcdr_cdp2_ip</vt:lpstr>
      <vt:lpstr>sample_cbr_vcdr_cloud_file_system</vt:lpstr>
      <vt:lpstr>sample_cbr_vcdr_email_recipient</vt:lpstr>
      <vt:lpstr>sample_cbr_vcdr_email_sender</vt:lpstr>
      <vt:lpstr>sample_cbr_vcdr_label</vt:lpstr>
      <vt:lpstr>sample_cbr_vcdr_orchestrator_fqdn</vt:lpstr>
      <vt:lpstr>sample_cbr_vcdr_ova</vt:lpstr>
      <vt:lpstr>sample_cbr_vcdr_passcode</vt:lpstr>
      <vt:lpstr>sample_cbr_vcdr_site_name</vt:lpstr>
      <vt:lpstr>sample_cbr_vcdr_timezone</vt:lpstr>
      <vt:lpstr>sample_cbr_vcdr_vsphere_role</vt:lpstr>
      <vt:lpstr>sample_cbr_vm_folder</vt:lpstr>
      <vt:lpstr>sample_cbw_hcx_cdp_fqdn</vt:lpstr>
      <vt:lpstr>sample_ccm_aws_admin_password</vt:lpstr>
      <vt:lpstr>sample_ccm_aws_admin_ssouser</vt:lpstr>
      <vt:lpstr>sample_ccm_aws_host_count</vt:lpstr>
      <vt:lpstr>sample_ccm_aws_host_type</vt:lpstr>
      <vt:lpstr>sample_ccm_aws_management_subnet</vt:lpstr>
      <vt:lpstr>sample_ccm_aws_region</vt:lpstr>
      <vt:lpstr>sample_ccm_aws_sddc_name</vt:lpstr>
      <vt:lpstr>sample_ccm_aws_subnet</vt:lpstr>
      <vt:lpstr>sample_ccm_aws_vpc</vt:lpstr>
      <vt:lpstr>sample_ccm_firewall_group</vt:lpstr>
      <vt:lpstr>sample_ccm_firewall_ip_addresses</vt:lpstr>
      <vt:lpstr>sample_ccm_firewall_rule_hcx</vt:lpstr>
      <vt:lpstr>sample_ccm_firewall_rule_vcenter</vt:lpstr>
      <vt:lpstr>sample_ccm_hcx_admin_password</vt:lpstr>
      <vt:lpstr>sample_ccm_hcx_cdp_hostname</vt:lpstr>
      <vt:lpstr>sample_ccm_hcx_cdp_ip</vt:lpstr>
      <vt:lpstr>sample_ccm_hcx_compute_profile</vt:lpstr>
      <vt:lpstr>sample_ccm_hcx_dc_location</vt:lpstr>
      <vt:lpstr>sample_ccm_hcx_license</vt:lpstr>
      <vt:lpstr>sample_ccm_hcx_mgmt_network_ip_range</vt:lpstr>
      <vt:lpstr>sample_ccm_hcx_remote_url</vt:lpstr>
      <vt:lpstr>sample_ccm_hcx_resource_pool</vt:lpstr>
      <vt:lpstr>sample_ccm_hcx_root_password</vt:lpstr>
      <vt:lpstr>sample_ccm_hcx_service_mesh</vt:lpstr>
      <vt:lpstr>sample_ccm_hcx_vm_folder</vt:lpstr>
      <vt:lpstr>sample_ccm_hcx_vmotion_network_ip_range</vt:lpstr>
      <vt:lpstr>sample_ccm_hcx_vsphere_role</vt:lpstr>
      <vt:lpstr>sample_ccm_vm_folder</vt:lpstr>
      <vt:lpstr>sample_certificate_authority_fqdn</vt:lpstr>
      <vt:lpstr>sample_certificate_authority_name</vt:lpstr>
      <vt:lpstr>sample_child_ad_groups_ou</vt:lpstr>
      <vt:lpstr>sample_child_ad_users_ou</vt:lpstr>
      <vt:lpstr>sample_child_dns_zone</vt:lpstr>
      <vt:lpstr>sample_child_svc_nsx_ad_password</vt:lpstr>
      <vt:lpstr>sample_child_svc_nsx_ad_user</vt:lpstr>
      <vt:lpstr>sample_child_svc_vsphere_ad_password</vt:lpstr>
      <vt:lpstr>sample_child_svc_vsphere_ad_user</vt:lpstr>
      <vt:lpstr>sample_cluster_az1_host_overlay_cidr</vt:lpstr>
      <vt:lpstr>sample_cluster_az1_host_overlay_gateway_ip</vt:lpstr>
      <vt:lpstr>sample_cluster_az1_host_overlay_network_pool_description</vt:lpstr>
      <vt:lpstr>sample_cluster_az1_host_overlay_network_pool_name</vt:lpstr>
      <vt:lpstr>sample_cluster_az1_host_overlay_network_profile_name</vt:lpstr>
      <vt:lpstr>sample_cluster_az1_host_overlay_pool_end_ip</vt:lpstr>
      <vt:lpstr>sample_cluster_az1_host_overlay_pool_start_ip</vt:lpstr>
      <vt:lpstr>sample_cluster_az1_host_overlay_uplink_profile_name</vt:lpstr>
      <vt:lpstr>sample_cluster_az1_host_overlay_vlan</vt:lpstr>
      <vt:lpstr>sample_cluster_az1_host1_fqdn</vt:lpstr>
      <vt:lpstr>sample_cluster_az1_host1_mgmt_ip</vt:lpstr>
      <vt:lpstr>sample_cluster_az1_host10_fqdn</vt:lpstr>
      <vt:lpstr>sample_cluster_az1_host10_mgmt_ip</vt:lpstr>
      <vt:lpstr>sample_cluster_az1_host11_fqdn</vt:lpstr>
      <vt:lpstr>sample_cluster_az1_host11_mgmt_ip</vt:lpstr>
      <vt:lpstr>sample_cluster_az1_host12_fqdn</vt:lpstr>
      <vt:lpstr>sample_cluster_az1_host12_mgmt_ip</vt:lpstr>
      <vt:lpstr>sample_cluster_az1_host13_fqdn</vt:lpstr>
      <vt:lpstr>sample_cluster_az1_host13_mgmt_ip</vt:lpstr>
      <vt:lpstr>sample_cluster_az1_host14_fqdn</vt:lpstr>
      <vt:lpstr>sample_cluster_az1_host14_mgmt_ip</vt:lpstr>
      <vt:lpstr>sample_cluster_az1_host15_fqdn</vt:lpstr>
      <vt:lpstr>sample_cluster_az1_host15_mgmt_ip</vt:lpstr>
      <vt:lpstr>sample_cluster_az1_host16_fqdn</vt:lpstr>
      <vt:lpstr>sample_cluster_az1_host16_mgmt_ip</vt:lpstr>
      <vt:lpstr>sample_cluster_az1_host2_fqdn</vt:lpstr>
      <vt:lpstr>sample_cluster_az1_host2_mgmt_ip</vt:lpstr>
      <vt:lpstr>sample_cluster_az1_host3_fqdn</vt:lpstr>
      <vt:lpstr>sample_cluster_az1_host3_mgmt_ip</vt:lpstr>
      <vt:lpstr>sample_cluster_az1_host4_fqdn</vt:lpstr>
      <vt:lpstr>sample_cluster_az1_host4_mgmt_ip</vt:lpstr>
      <vt:lpstr>sample_cluster_az1_host5_fqdn</vt:lpstr>
      <vt:lpstr>sample_cluster_az1_host5_mgmt_ip</vt:lpstr>
      <vt:lpstr>sample_cluster_az1_host6_fqdn</vt:lpstr>
      <vt:lpstr>sample_cluster_az1_host6_mgmt_ip</vt:lpstr>
      <vt:lpstr>sample_cluster_az1_host7_fqdn</vt:lpstr>
      <vt:lpstr>sample_cluster_az1_host7_mgmt_ip</vt:lpstr>
      <vt:lpstr>sample_cluster_az1_host8_fqdn</vt:lpstr>
      <vt:lpstr>sample_cluster_az1_host8_mgmt_ip</vt:lpstr>
      <vt:lpstr>sample_cluster_az1_host9_fqdn</vt:lpstr>
      <vt:lpstr>sample_cluster_az1_host9_mgmt_ip</vt:lpstr>
      <vt:lpstr>sample_cluster_az1_mgmt_cidr</vt:lpstr>
      <vt:lpstr>sample_cluster_az1_mgmt_gateway_ip</vt:lpstr>
      <vt:lpstr>sample_cluster_az1_mgmt_mtu</vt:lpstr>
      <vt:lpstr>sample_cluster_az1_mgmt_pg</vt:lpstr>
      <vt:lpstr>sample_cluster_az1_mgmt_vlan</vt:lpstr>
      <vt:lpstr>sample_cluster_az1_mgmt_vm_pg</vt:lpstr>
      <vt:lpstr>sample_cluster_az1_nsx_uplink_count</vt:lpstr>
      <vt:lpstr>sample_cluster_az1_nsx_uplink1</vt:lpstr>
      <vt:lpstr>sample_cluster_az1_nsx_uplink1_active</vt:lpstr>
      <vt:lpstr>sample_cluster_az1_nsx_uplink2</vt:lpstr>
      <vt:lpstr>sample_cluster_az1_nsx_uplink2_active</vt:lpstr>
      <vt:lpstr>sample_cluster_az1_pool_name</vt:lpstr>
      <vt:lpstr>sample_cluster_az1_principal_storage_gateway_ip</vt:lpstr>
      <vt:lpstr>sample_cluster_az1_principal_storage_mask</vt:lpstr>
      <vt:lpstr>sample_cluster_az1_principal_storage_mtu</vt:lpstr>
      <vt:lpstr>sample_cluster_az1_principal_storage_network</vt:lpstr>
      <vt:lpstr>sample_cluster_az1_principal_storage_pg</vt:lpstr>
      <vt:lpstr>sample_cluster_az1_principal_storage_pool_end_ip</vt:lpstr>
      <vt:lpstr>sample_cluster_az1_principal_storage_pool_start_ip</vt:lpstr>
      <vt:lpstr>sample_cluster_az1_principal_storage_vlan</vt:lpstr>
      <vt:lpstr>sample_cluster_az1_secondary_storage_gateway_ip</vt:lpstr>
      <vt:lpstr>sample_cluster_az1_secondary_storage_mask</vt:lpstr>
      <vt:lpstr>sample_cluster_az1_secondary_storage_mtu</vt:lpstr>
      <vt:lpstr>sample_cluster_az1_secondary_storage_network</vt:lpstr>
      <vt:lpstr>sample_cluster_az1_secondary_storage_pool_end_ip</vt:lpstr>
      <vt:lpstr>sample_cluster_az1_secondary_storage_pool_start_ip</vt:lpstr>
      <vt:lpstr>sample_cluster_az1_secondary_storage_vlan</vt:lpstr>
      <vt:lpstr>sample_cluster_az1_storage_cluster_gateway_ip</vt:lpstr>
      <vt:lpstr>sample_cluster_az1_storage_cluster_mask</vt:lpstr>
      <vt:lpstr>sample_cluster_az1_storage_cluster_mtu</vt:lpstr>
      <vt:lpstr>sample_cluster_az1_storage_cluster_network</vt:lpstr>
      <vt:lpstr>sample_cluster_az1_storage_cluster_pool_end_ip</vt:lpstr>
      <vt:lpstr>sample_cluster_az1_storage_cluster_pool_start_ip</vt:lpstr>
      <vt:lpstr>sample_cluster_az1_storage_cluster_vlan</vt:lpstr>
      <vt:lpstr>sample_cluster_az1_vmotion_gateway_ip</vt:lpstr>
      <vt:lpstr>sample_cluster_az1_vmotion_mask</vt:lpstr>
      <vt:lpstr>sample_cluster_az1_vmotion_mtu</vt:lpstr>
      <vt:lpstr>sample_cluster_az1_vmotion_network</vt:lpstr>
      <vt:lpstr>sample_cluster_az1_vmotion_pg</vt:lpstr>
      <vt:lpstr>sample_cluster_az1_vmotion_pool_end_ip</vt:lpstr>
      <vt:lpstr>sample_cluster_az1_vmotion_pool_start_ip</vt:lpstr>
      <vt:lpstr>sample_cluster_az1_vmotion_vlan</vt:lpstr>
      <vt:lpstr>sample_cluster_az1_vsan_storage_client_pg</vt:lpstr>
      <vt:lpstr>sample_cluster_az2_host_overlay_cidr</vt:lpstr>
      <vt:lpstr>sample_cluster_az2_host_overlay_gateway_ip</vt:lpstr>
      <vt:lpstr>sample_cluster_az2_host_overlay_gateway_mtu</vt:lpstr>
      <vt:lpstr>sample_cluster_az2_host_overlay_network_pool_name</vt:lpstr>
      <vt:lpstr>sample_cluster_az2_host_overlay_network_profile_name</vt:lpstr>
      <vt:lpstr>sample_cluster_az2_host_overlay_pool_end_ip</vt:lpstr>
      <vt:lpstr>sample_cluster_az2_host_overlay_pool_start_ip</vt:lpstr>
      <vt:lpstr>sample_cluster_az2_host_overlay_uplink_profile_name</vt:lpstr>
      <vt:lpstr>sample_cluster_az2_host_overlay_vlan</vt:lpstr>
      <vt:lpstr>sample_cluster_az2_host1_fqdn</vt:lpstr>
      <vt:lpstr>sample_cluster_az2_host1_mgmt_ip</vt:lpstr>
      <vt:lpstr>sample_cluster_az2_host10_fqdn</vt:lpstr>
      <vt:lpstr>sample_cluster_az2_host10_mgmt_ip</vt:lpstr>
      <vt:lpstr>sample_cluster_az2_host11_fqdn</vt:lpstr>
      <vt:lpstr>sample_cluster_az2_host11_mgmt_ip</vt:lpstr>
      <vt:lpstr>sample_cluster_az2_host12_fqdn</vt:lpstr>
      <vt:lpstr>sample_cluster_az2_host12_mgmt_ip</vt:lpstr>
      <vt:lpstr>sample_cluster_az2_host13_fqdn</vt:lpstr>
      <vt:lpstr>sample_cluster_az2_host13_mgmt_ip</vt:lpstr>
      <vt:lpstr>sample_cluster_az2_host14_fqdn</vt:lpstr>
      <vt:lpstr>sample_cluster_az2_host14_mgmt_ip</vt:lpstr>
      <vt:lpstr>sample_cluster_az2_host15_fqdn</vt:lpstr>
      <vt:lpstr>sample_cluster_az2_host15_mgmt_ip</vt:lpstr>
      <vt:lpstr>sample_cluster_az2_host16_fqdn</vt:lpstr>
      <vt:lpstr>sample_cluster_az2_host16_mgmt_ip</vt:lpstr>
      <vt:lpstr>sample_cluster_az2_host2_fqdn</vt:lpstr>
      <vt:lpstr>sample_cluster_az2_host2_mgmt_ip</vt:lpstr>
      <vt:lpstr>sample_cluster_az2_host3_fqdn</vt:lpstr>
      <vt:lpstr>sample_cluster_az2_host3_mgmt_ip</vt:lpstr>
      <vt:lpstr>sample_cluster_az2_host4_fqdn</vt:lpstr>
      <vt:lpstr>sample_cluster_az2_host4_mgmt_ip</vt:lpstr>
      <vt:lpstr>sample_cluster_az2_host5_fqdn</vt:lpstr>
      <vt:lpstr>sample_cluster_az2_host5_mgmt_ip</vt:lpstr>
      <vt:lpstr>sample_cluster_az2_host6_fqdn</vt:lpstr>
      <vt:lpstr>sample_cluster_az2_host6_mgmt_ip</vt:lpstr>
      <vt:lpstr>sample_cluster_az2_host7_fqdn</vt:lpstr>
      <vt:lpstr>sample_cluster_az2_host7_mgmt_ip</vt:lpstr>
      <vt:lpstr>sample_cluster_az2_host8_fqdn</vt:lpstr>
      <vt:lpstr>sample_cluster_az2_host8_mgmt_ip</vt:lpstr>
      <vt:lpstr>sample_cluster_az2_host9_fqdn</vt:lpstr>
      <vt:lpstr>sample_cluster_az2_host9_mgmt_ip</vt:lpstr>
      <vt:lpstr>sample_cluster_az2_mgmt_cidr</vt:lpstr>
      <vt:lpstr>sample_cluster_az2_mgmt_gateway_ip</vt:lpstr>
      <vt:lpstr>sample_cluster_az2_mgmt_mtu</vt:lpstr>
      <vt:lpstr>sample_cluster_az2_mgmt_vlan</vt:lpstr>
      <vt:lpstr>sample_cluster_az2_pool_name</vt:lpstr>
      <vt:lpstr>sample_cluster_az2_principal_storage_gateway_ip</vt:lpstr>
      <vt:lpstr>sample_cluster_az2_principal_storage_mask</vt:lpstr>
      <vt:lpstr>sample_cluster_az2_principal_storage_mtu</vt:lpstr>
      <vt:lpstr>sample_cluster_az2_principal_storage_network</vt:lpstr>
      <vt:lpstr>sample_cluster_az2_principal_storage_pool_end_ip</vt:lpstr>
      <vt:lpstr>sample_cluster_az2_principal_storage_pool_start_ip</vt:lpstr>
      <vt:lpstr>sample_cluster_az2_principal_storage_vlan</vt:lpstr>
      <vt:lpstr>sample_cluster_az2_secondary_storage_gateway_ip</vt:lpstr>
      <vt:lpstr>sample_cluster_az2_secondary_storage_mask</vt:lpstr>
      <vt:lpstr>sample_cluster_az2_secondary_storage_mtu</vt:lpstr>
      <vt:lpstr>sample_cluster_az2_secondary_storage_network</vt:lpstr>
      <vt:lpstr>sample_cluster_az2_secondary_storage_pool_end_ip</vt:lpstr>
      <vt:lpstr>sample_cluster_az2_secondary_storage_pool_start_ip</vt:lpstr>
      <vt:lpstr>sample_cluster_az2_secondary_storage_vlan</vt:lpstr>
      <vt:lpstr>sample_cluster_az2_storage_cluster_gateway_ip</vt:lpstr>
      <vt:lpstr>sample_cluster_az2_storage_cluster_mask</vt:lpstr>
      <vt:lpstr>sample_cluster_az2_storage_cluster_mtu</vt:lpstr>
      <vt:lpstr>sample_cluster_az2_storage_cluster_network</vt:lpstr>
      <vt:lpstr>sample_cluster_az2_storage_cluster_pool_end_ip</vt:lpstr>
      <vt:lpstr>sample_cluster_az2_storage_cluster_pool_start_ip</vt:lpstr>
      <vt:lpstr>sample_cluster_az2_storage_cluster_vlan</vt:lpstr>
      <vt:lpstr>sample_cluster_az2_tor1_peer_asn</vt:lpstr>
      <vt:lpstr>sample_cluster_az2_tor1_peer_ip</vt:lpstr>
      <vt:lpstr>sample_cluster_az2_tor2_peer_asn</vt:lpstr>
      <vt:lpstr>sample_cluster_az2_tor2_peer_ip</vt:lpstr>
      <vt:lpstr>sample_cluster_az2_vmotion_gateway_ip</vt:lpstr>
      <vt:lpstr>sample_cluster_az2_vmotion_mask</vt:lpstr>
      <vt:lpstr>sample_cluster_az2_vmotion_mtu</vt:lpstr>
      <vt:lpstr>sample_cluster_az2_vmotion_network</vt:lpstr>
      <vt:lpstr>sample_cluster_az2_vmotion_pool_end_ip</vt:lpstr>
      <vt:lpstr>sample_cluster_az2_vmotion_pool_start_ip</vt:lpstr>
      <vt:lpstr>sample_cluster_az2_vmotion_vlan</vt:lpstr>
      <vt:lpstr>sample_cluster_cluster_sddc_id</vt:lpstr>
      <vt:lpstr>sample_cluster_datacenter</vt:lpstr>
      <vt:lpstr>sample_cluster_domain_name</vt:lpstr>
      <vt:lpstr>sample_cluster_esx_root_password</vt:lpstr>
      <vt:lpstr>sample_cluster_esx_root_username</vt:lpstr>
      <vt:lpstr>sample_cluster_host_overlay_transportzone</vt:lpstr>
      <vt:lpstr>sample_cluster_image_name</vt:lpstr>
      <vt:lpstr>sample_cluster_name</vt:lpstr>
      <vt:lpstr>sample_cluster_nfs_datastore_name</vt:lpstr>
      <vt:lpstr>sample_cluster_nfs_server_address</vt:lpstr>
      <vt:lpstr>sample_cluster_nfs_share_path</vt:lpstr>
      <vt:lpstr>sample_cluster_nsx_vlan_transport_zone_name</vt:lpstr>
      <vt:lpstr>sample_cluster_nsxt_vip_fqdn</vt:lpstr>
      <vt:lpstr>sample_cluster_storage_cluster_name</vt:lpstr>
      <vt:lpstr>sample_cluster_vc_fqdn</vt:lpstr>
      <vt:lpstr>sample_cluster_vds01_lag_name</vt:lpstr>
      <vt:lpstr>sample_cluster_vds01_mtu</vt:lpstr>
      <vt:lpstr>sample_cluster_vds01_name</vt:lpstr>
      <vt:lpstr>sample_cluster_vds01_pnics</vt:lpstr>
      <vt:lpstr>sample_cluster_vds01_uplink_count</vt:lpstr>
      <vt:lpstr>sample_cluster_vds02_lag_name</vt:lpstr>
      <vt:lpstr>sample_cluster_vds02_mtu</vt:lpstr>
      <vt:lpstr>sample_cluster_vds02_name</vt:lpstr>
      <vt:lpstr>sample_cluster_vds02_pnics</vt:lpstr>
      <vt:lpstr>sample_cluster_vds02_uplink_count</vt:lpstr>
      <vt:lpstr>sample_cluster_vds03_lag_name</vt:lpstr>
      <vt:lpstr>sample_cluster_vds03_mtu</vt:lpstr>
      <vt:lpstr>sample_cluster_vds03_name</vt:lpstr>
      <vt:lpstr>sample_cluster_vds03_pnics</vt:lpstr>
      <vt:lpstr>sample_cluster_vds03_uplink_count</vt:lpstr>
      <vt:lpstr>sample_cluster_vmfs_datastore_name</vt:lpstr>
      <vt:lpstr>sample_cluster_vsan_datastore</vt:lpstr>
      <vt:lpstr>sample_cluster_witness_cluster</vt:lpstr>
      <vt:lpstr>sample_cluster_witness_dns1_ip</vt:lpstr>
      <vt:lpstr>sample_cluster_witness_dns2_ip</vt:lpstr>
      <vt:lpstr>sample_cluster_witness_fqdn</vt:lpstr>
      <vt:lpstr>sample_cluster_witness_hostname</vt:lpstr>
      <vt:lpstr>sample_cluster_witness_ip</vt:lpstr>
      <vt:lpstr>sample_cluster_witness_mgmt_pg</vt:lpstr>
      <vt:lpstr>sample_cluster_witness_ntp1_server</vt:lpstr>
      <vt:lpstr>sample_cluster_witness_ntp2_server</vt:lpstr>
      <vt:lpstr>sample_cluster_witness_vm_folder</vt:lpstr>
      <vt:lpstr>sample_cluster_witness_vsan_datastore</vt:lpstr>
      <vt:lpstr>sample_cluster_witness_zone_vc_fqdn</vt:lpstr>
      <vt:lpstr>sample_cluster_witnessaz_mask</vt:lpstr>
      <vt:lpstr>sample_cluster_witnessaz_mgmt_cidr</vt:lpstr>
      <vt:lpstr>sample_cluster_witnessaz_mgmt_gateway_ip</vt:lpstr>
      <vt:lpstr>sample_cluster_witnessaz_mgmt_mtu</vt:lpstr>
      <vt:lpstr>sample_cluster_witnessaz_mgmt_vlan</vt:lpstr>
      <vt:lpstr>sample_domain_controller_hostname</vt:lpstr>
      <vt:lpstr>sample_esxi_root_password</vt:lpstr>
      <vt:lpstr>sample_flt_auto_node_pool_end_ip</vt:lpstr>
      <vt:lpstr>sample_flt_auto_node_pool_start_ip</vt:lpstr>
      <vt:lpstr>sample_flt_auto_sr_fqdn</vt:lpstr>
      <vt:lpstr>sample_flt_auto_sr_ip</vt:lpstr>
      <vt:lpstr>sample_flt_custom_network_auto_admin_password</vt:lpstr>
      <vt:lpstr>sample_flt_custom_network_auto_nodea_ip</vt:lpstr>
      <vt:lpstr>sample_flt_custom_network_auto_nodeb_ip</vt:lpstr>
      <vt:lpstr>sample_flt_custom_network_auto_nodec_ip</vt:lpstr>
      <vt:lpstr>sample_flt_custom_network_auto_noded_ip</vt:lpstr>
      <vt:lpstr>sample_flt_custom_network_auto_nodee_ip</vt:lpstr>
      <vt:lpstr>sample_flt_custom_network_auto_nodef_ip</vt:lpstr>
      <vt:lpstr>sample_flt_custom_network_auto_prefix</vt:lpstr>
      <vt:lpstr>sample_flt_custom_network_auto_vip_fqdn</vt:lpstr>
      <vt:lpstr>sample_flt_custom_network_auto_vip_ip</vt:lpstr>
      <vt:lpstr>sample_flt_custom_network_flt_admin_password</vt:lpstr>
      <vt:lpstr>sample_flt_custom_network_flt_fqdn</vt:lpstr>
      <vt:lpstr>sample_flt_custom_network_flt_ip</vt:lpstr>
      <vt:lpstr>sample_flt_custom_network_flt_root_password</vt:lpstr>
      <vt:lpstr>sample_flt_custom_network_local_reg_gateway_ip</vt:lpstr>
      <vt:lpstr>sample_flt_custom_network_local_reg_mask</vt:lpstr>
      <vt:lpstr>sample_flt_custom_network_local_reg_pg</vt:lpstr>
      <vt:lpstr>sample_flt_custom_network_ops_admin_password</vt:lpstr>
      <vt:lpstr>sample_flt_custom_network_ops_collector_fqdn</vt:lpstr>
      <vt:lpstr>sample_flt_custom_network_ops_collector_ip</vt:lpstr>
      <vt:lpstr>sample_flt_custom_network_ops_collector_root_password</vt:lpstr>
      <vt:lpstr>sample_flt_custom_network_ops_collector_version</vt:lpstr>
      <vt:lpstr>sample_flt_custom_network_ops_nodea_fqdn</vt:lpstr>
      <vt:lpstr>sample_flt_custom_network_ops_nodea_ip</vt:lpstr>
      <vt:lpstr>sample_flt_custom_network_ops_nodeb_fqdn</vt:lpstr>
      <vt:lpstr>sample_flt_custom_network_ops_nodeb_ip</vt:lpstr>
      <vt:lpstr>sample_flt_custom_network_ops_nodec_fqdn</vt:lpstr>
      <vt:lpstr>sample_flt_custom_network_ops_nodec_ip</vt:lpstr>
      <vt:lpstr>sample_flt_custom_network_ops_root_password</vt:lpstr>
      <vt:lpstr>sample_flt_custom_network_ops_vip_fqdn</vt:lpstr>
      <vt:lpstr>sample_flt_custom_network_ops_vip_ip</vt:lpstr>
      <vt:lpstr>sample_flt_custom_network_x_reg_gateway_ip</vt:lpstr>
      <vt:lpstr>sample_flt_custom_network_x_reg_mask</vt:lpstr>
      <vt:lpstr>sample_flt_custom_network_x_reg_pg</vt:lpstr>
      <vt:lpstr>sample_flt_fc_fqdn</vt:lpstr>
      <vt:lpstr>sample_flt_fc_ip</vt:lpstr>
      <vt:lpstr>sample_flt_ic_fqdn</vt:lpstr>
      <vt:lpstr>sample_flt_ic_ip</vt:lpstr>
      <vt:lpstr>sample_flt_lc_fqdn</vt:lpstr>
      <vt:lpstr>sample_flt_lc_ip</vt:lpstr>
      <vt:lpstr>sample_flt_logs_admin_email</vt:lpstr>
      <vt:lpstr>sample_flt_logs_admin_password</vt:lpstr>
      <vt:lpstr>sample_flt_logs_admin_password_alias</vt:lpstr>
      <vt:lpstr>sample_flt_logs_admin_password_description</vt:lpstr>
      <vt:lpstr>sample_flt_logs_admin_username</vt:lpstr>
      <vt:lpstr>sample_flt_logs_cert_alias</vt:lpstr>
      <vt:lpstr>sample_flt_logs_cert_country_code</vt:lpstr>
      <vt:lpstr>sample_flt_logs_cert_locality</vt:lpstr>
      <vt:lpstr>sample_flt_logs_cert_organisation</vt:lpstr>
      <vt:lpstr>sample_flt_logs_cert_state</vt:lpstr>
      <vt:lpstr>sample_flt_logs_cluster</vt:lpstr>
      <vt:lpstr>sample_flt_logs_common_name</vt:lpstr>
      <vt:lpstr>sample_flt_logs_datastore</vt:lpstr>
      <vt:lpstr>sample_flt_logs_folder</vt:lpstr>
      <vt:lpstr>sample_flt_logs_gateway_ip</vt:lpstr>
      <vt:lpstr>sample_flt_logs_mask</vt:lpstr>
      <vt:lpstr>sample_flt_logs_nodea_fqdn</vt:lpstr>
      <vt:lpstr>sample_flt_logs_nodea_hostname</vt:lpstr>
      <vt:lpstr>sample_flt_logs_nodea_ip</vt:lpstr>
      <vt:lpstr>sample_flt_logs_nodeb_fqdn</vt:lpstr>
      <vt:lpstr>sample_flt_logs_nodeb_hostname</vt:lpstr>
      <vt:lpstr>sample_flt_logs_nodeb_ip</vt:lpstr>
      <vt:lpstr>sample_flt_logs_nodec_fqdn</vt:lpstr>
      <vt:lpstr>sample_flt_logs_nodec_hostname</vt:lpstr>
      <vt:lpstr>sample_flt_logs_nodec_ip</vt:lpstr>
      <vt:lpstr>sample_flt_logs_ou_cert</vt:lpstr>
      <vt:lpstr>sample_flt_logs_portgroup</vt:lpstr>
      <vt:lpstr>sample_flt_logs_resource_pool</vt:lpstr>
      <vt:lpstr>sample_flt_logs_root_password</vt:lpstr>
      <vt:lpstr>sample_flt_logs_root_password_alias</vt:lpstr>
      <vt:lpstr>sample_flt_logs_root_password_description</vt:lpstr>
      <vt:lpstr>sample_flt_logs_root_username</vt:lpstr>
      <vt:lpstr>sample_flt_logs_vcenter_fqdn</vt:lpstr>
      <vt:lpstr>sample_flt_logs_vip_fqdn</vt:lpstr>
      <vt:lpstr>sample_flt_logs_vip_ip</vt:lpstr>
      <vt:lpstr>sample_flt_net_admin_password</vt:lpstr>
      <vt:lpstr>sample_flt_net_admin_password_alias</vt:lpstr>
      <vt:lpstr>sample_flt_net_admin_password_description</vt:lpstr>
      <vt:lpstr>sample_flt_net_admin_username</vt:lpstr>
      <vt:lpstr>sample_flt_net_cert_alias</vt:lpstr>
      <vt:lpstr>sample_flt_net_cert_country_code</vt:lpstr>
      <vt:lpstr>sample_flt_net_cert_locality</vt:lpstr>
      <vt:lpstr>sample_flt_net_cert_organisation</vt:lpstr>
      <vt:lpstr>sample_flt_net_cert_state</vt:lpstr>
      <vt:lpstr>sample_flt_net_cluster</vt:lpstr>
      <vt:lpstr>sample_flt_net_common_name</vt:lpstr>
      <vt:lpstr>sample_flt_net_console_password</vt:lpstr>
      <vt:lpstr>sample_flt_net_datastore</vt:lpstr>
      <vt:lpstr>sample_flt_net_folder</vt:lpstr>
      <vt:lpstr>sample_flt_net_node_gateway_ip</vt:lpstr>
      <vt:lpstr>sample_flt_net_node_mask</vt:lpstr>
      <vt:lpstr>sample_flt_net_node_portgroup</vt:lpstr>
      <vt:lpstr>sample_flt_net_nodea_fqdn</vt:lpstr>
      <vt:lpstr>sample_flt_net_nodea_ip</vt:lpstr>
      <vt:lpstr>sample_flt_net_nodeb_fqdn</vt:lpstr>
      <vt:lpstr>sample_flt_net_nodeb_ip</vt:lpstr>
      <vt:lpstr>sample_flt_net_nodec_fqdn</vt:lpstr>
      <vt:lpstr>sample_flt_net_nodec_ip</vt:lpstr>
      <vt:lpstr>sample_flt_net_ou_cert</vt:lpstr>
      <vt:lpstr>sample_flt_net_platform_password</vt:lpstr>
      <vt:lpstr>sample_flt_net_prxy_fqdn</vt:lpstr>
      <vt:lpstr>sample_flt_net_prxy_gateway_ip</vt:lpstr>
      <vt:lpstr>sample_flt_net_prxy_ip</vt:lpstr>
      <vt:lpstr>sample_flt_net_prxy_mask</vt:lpstr>
      <vt:lpstr>sample_flt_net_prxy_portgroup</vt:lpstr>
      <vt:lpstr>sample_flt_net_resource_pool</vt:lpstr>
      <vt:lpstr>sample_flt_net_support_password</vt:lpstr>
      <vt:lpstr>sample_flt_net_vcenter_fqdn</vt:lpstr>
      <vt:lpstr>sample_flt_net_vcenter_list</vt:lpstr>
      <vt:lpstr>sample_flt_sr_fqdn</vt:lpstr>
      <vt:lpstr>sample_flt_sr_ip</vt:lpstr>
      <vt:lpstr>sample_flt_vcfms_node_pool_end_ip</vt:lpstr>
      <vt:lpstr>sample_flt_vcfms_node_pool_start_ip</vt:lpstr>
      <vt:lpstr>sample_flt_vidb_additional_vips</vt:lpstr>
      <vt:lpstr>sample_flt_vidb_base_dn</vt:lpstr>
      <vt:lpstr>sample_flt_vidb_bind_password</vt:lpstr>
      <vt:lpstr>sample_flt_vidb_bind_username</vt:lpstr>
      <vt:lpstr>sample_flt_vidb_cert_alias</vt:lpstr>
      <vt:lpstr>sample_flt_vidb_cert_common_name</vt:lpstr>
      <vt:lpstr>sample_flt_vidb_cert_country_code</vt:lpstr>
      <vt:lpstr>sample_flt_vidb_cert_locality</vt:lpstr>
      <vt:lpstr>sample_flt_vidb_cert_organisation</vt:lpstr>
      <vt:lpstr>sample_flt_vidb_cert_state</vt:lpstr>
      <vt:lpstr>sample_flt_vidb_cluster</vt:lpstr>
      <vt:lpstr>sample_flt_vidb_datastore</vt:lpstr>
      <vt:lpstr>sample_flt_vidb_directory_name</vt:lpstr>
      <vt:lpstr>sample_flt_vidb_distinguished_name</vt:lpstr>
      <vt:lpstr>sample_flt_vidb_employeeID</vt:lpstr>
      <vt:lpstr>sample_flt_vidb_first_name</vt:lpstr>
      <vt:lpstr>sample_flt_vidb_folder</vt:lpstr>
      <vt:lpstr>sample_flt_vidb_gateway_ip</vt:lpstr>
      <vt:lpstr>sample_flt_vidb_group_base_dn</vt:lpstr>
      <vt:lpstr>sample_flt_vidb_last_name</vt:lpstr>
      <vt:lpstr>sample_flt_vidb_mail</vt:lpstr>
      <vt:lpstr>sample_flt_vidb_mask</vt:lpstr>
      <vt:lpstr>sample_flt_vidb_node_prefix</vt:lpstr>
      <vt:lpstr>sample_flt_vidb_nodea_ip</vt:lpstr>
      <vt:lpstr>sample_flt_vidb_nodeb_ip</vt:lpstr>
      <vt:lpstr>sample_flt_vidb_nodec_ip</vt:lpstr>
      <vt:lpstr>sample_flt_vidb_noded_ip</vt:lpstr>
      <vt:lpstr>sample_flt_vidb_ou_cert</vt:lpstr>
      <vt:lpstr>sample_flt_vidb_password</vt:lpstr>
      <vt:lpstr>sample_flt_vidb_password_alias</vt:lpstr>
      <vt:lpstr>sample_flt_vidb_password_description</vt:lpstr>
      <vt:lpstr>sample_flt_vidb_pg</vt:lpstr>
      <vt:lpstr>sample_flt_vidb_primary_domain_controller</vt:lpstr>
      <vt:lpstr>sample_flt_vidb_primary_domain_controller_port</vt:lpstr>
      <vt:lpstr>sample_flt_vidb_resource_pool</vt:lpstr>
      <vt:lpstr>sample_flt_vidb_root_username</vt:lpstr>
      <vt:lpstr>sample_flt_vidb_secondary_domain_controller</vt:lpstr>
      <vt:lpstr>sample_flt_vidb_secondary_domain_controller_port</vt:lpstr>
      <vt:lpstr>sample_flt_vidb_system_user_alias</vt:lpstr>
      <vt:lpstr>sample_flt_vidb_system_user_description</vt:lpstr>
      <vt:lpstr>sample_flt_vidb_system_user_password</vt:lpstr>
      <vt:lpstr>sample_flt_vidb_user_base_dn</vt:lpstr>
      <vt:lpstr>sample_flt_vidb_user_name</vt:lpstr>
      <vt:lpstr>sample_flt_vidb_user_principal_name</vt:lpstr>
      <vt:lpstr>sample_flt_vidb_vcenter_fqdn</vt:lpstr>
      <vt:lpstr>sample_flt_vidb_version</vt:lpstr>
      <vt:lpstr>sample_flt_vidb_vip_fqdn</vt:lpstr>
      <vt:lpstr>sample_flt_vidb_vip_ip</vt:lpstr>
      <vt:lpstr>sample_gg_kub_admins_group</vt:lpstr>
      <vt:lpstr>sample_gg_kub_readonly_group</vt:lpstr>
      <vt:lpstr>sample_gg_nsx_auditors_group</vt:lpstr>
      <vt:lpstr>sample_gg_nsx_enterprise_admins_group</vt:lpstr>
      <vt:lpstr>sample_gg_nsx_network_admins_group</vt:lpstr>
      <vt:lpstr>sample_gg_sso_admins_group</vt:lpstr>
      <vt:lpstr>sample_gg_vc_admins_group</vt:lpstr>
      <vt:lpstr>sample_gg_vc_read_only_group</vt:lpstr>
      <vt:lpstr>sample_gg_vcf_admins_group</vt:lpstr>
      <vt:lpstr>sample_gg_vcf_operators_group</vt:lpstr>
      <vt:lpstr>sample_gg_vcf_viewers_group</vt:lpstr>
      <vt:lpstr>sample_gg_vra_cloud_assembly_admins_group</vt:lpstr>
      <vt:lpstr>sample_gg_vra_cloud_assembly_users_group</vt:lpstr>
      <vt:lpstr>sample_gg_vra_cloud_assembly_viewers_group</vt:lpstr>
      <vt:lpstr>sample_gg_vra_orchestrator_admins_group</vt:lpstr>
      <vt:lpstr>sample_gg_vra_orchestrator_designers_group</vt:lpstr>
      <vt:lpstr>sample_gg_vra_orchestrator_viewers_group</vt:lpstr>
      <vt:lpstr>sample_gg_vra_org_owners_group</vt:lpstr>
      <vt:lpstr>sample_gg_vra_project_admins_sample_group</vt:lpstr>
      <vt:lpstr>sample_gg_vra_project_users_sample_group</vt:lpstr>
      <vt:lpstr>sample_gg_vra_service_broker_admins_group</vt:lpstr>
      <vt:lpstr>sample_gg_vra_service_broker_users_group</vt:lpstr>
      <vt:lpstr>sample_gg_vra_service_broker_viewers_group</vt:lpstr>
      <vt:lpstr>sample_gg_vrli_admins_group</vt:lpstr>
      <vt:lpstr>sample_gg_vrli_users_group</vt:lpstr>
      <vt:lpstr>sample_gg_vrli_viewers_group</vt:lpstr>
      <vt:lpstr>sample_gg_vrni_admin_group</vt:lpstr>
      <vt:lpstr>sample_gg_vrni_auditor_group</vt:lpstr>
      <vt:lpstr>sample_gg_vrni_member_group</vt:lpstr>
      <vt:lpstr>sample_gg_vrops_admins_group</vt:lpstr>
      <vt:lpstr>sample_gg_vrops_content_admins_group</vt:lpstr>
      <vt:lpstr>sample_gg_vrops_read_only_group</vt:lpstr>
      <vt:lpstr>sample_gg_vrslcm_admins_group</vt:lpstr>
      <vt:lpstr>sample_gg_vrslcm_content_developers_group</vt:lpstr>
      <vt:lpstr>sample_gg_vrslcm_release_managers_group</vt:lpstr>
      <vt:lpstr>sample_k8s_cluster_name</vt:lpstr>
      <vt:lpstr>sample_k8s_ip_prefixlist</vt:lpstr>
      <vt:lpstr>sample_k8s_ip_routemap</vt:lpstr>
      <vt:lpstr>sample_k8s_kubectl_path</vt:lpstr>
      <vt:lpstr>sample_k8s_mgmt_seg</vt:lpstr>
      <vt:lpstr>sample_k8s_namepsace</vt:lpstr>
      <vt:lpstr>sample_k8s_tanzu_k8s_cluster_pod_pool_cidr</vt:lpstr>
      <vt:lpstr>sample_k8s_tanzu_k8s_cluster_service_pool_cidr</vt:lpstr>
      <vt:lpstr>sample_k8s_vcenter_category</vt:lpstr>
      <vt:lpstr>sample_k8s_vcenter_content_library</vt:lpstr>
      <vt:lpstr>sample_k8s_vcenter_storage_policy</vt:lpstr>
      <vt:lpstr>sample_k8s_vcenter_tag</vt:lpstr>
      <vt:lpstr>sample_k8s_vm_class</vt:lpstr>
      <vt:lpstr>sample_mgmt_auth_encrypted_cert</vt:lpstr>
      <vt:lpstr>sample_mgmt_avilb_cluster_name</vt:lpstr>
      <vt:lpstr>sample_mgmt_avilb_cluster_version</vt:lpstr>
      <vt:lpstr>sample_mgmt_avilb_fqdn</vt:lpstr>
      <vt:lpstr>sample_mgmt_avilb_ip</vt:lpstr>
      <vt:lpstr>sample_mgmt_avilb_mgra_ip</vt:lpstr>
      <vt:lpstr>sample_mgmt_avilb_mgrb_ip</vt:lpstr>
      <vt:lpstr>sample_mgmt_avilb_mgrc_ip</vt:lpstr>
      <vt:lpstr>sample_mgmt_az1_edge_overlay_cidr</vt:lpstr>
      <vt:lpstr>sample_mgmt_az1_edge_overlay_gateway_ip</vt:lpstr>
      <vt:lpstr>sample_mgmt_az1_edge_overlay_mask</vt:lpstr>
      <vt:lpstr>sample_mgmt_az1_edge_overlay_mtu</vt:lpstr>
      <vt:lpstr>sample_mgmt_az1_edge_overlay_network_pool_name</vt:lpstr>
      <vt:lpstr>sample_mgmt_az1_edge_overlay_pool_end_ip</vt:lpstr>
      <vt:lpstr>sample_mgmt_az1_edge_overlay_pool_start_ip</vt:lpstr>
      <vt:lpstr>sample_mgmt_az1_edge_overlay_vlan</vt:lpstr>
      <vt:lpstr>sample_mgmt_az1_en1_edge_overlay_interface_ip_1_ip</vt:lpstr>
      <vt:lpstr>sample_mgmt_az1_en1_edge_overlay_interface_ip_2_ip</vt:lpstr>
      <vt:lpstr>sample_mgmt_az1_en1_eth0_uplink0</vt:lpstr>
      <vt:lpstr>sample_mgmt_az1_en1_eth0_uplink1</vt:lpstr>
      <vt:lpstr>sample_mgmt_az1_en1_eth1_uplink0</vt:lpstr>
      <vt:lpstr>sample_mgmt_az1_en1_eth1_uplink1</vt:lpstr>
      <vt:lpstr>sample_mgmt_az1_en1_fqdn</vt:lpstr>
      <vt:lpstr>sample_mgmt_az1_en1_hostname</vt:lpstr>
      <vt:lpstr>sample_mgmt_az1_en1_mgmt_cidr</vt:lpstr>
      <vt:lpstr>sample_mgmt_az1_en1_mgmt_ip</vt:lpstr>
      <vt:lpstr>sample_mgmt_az1_en1_uplink01_interface_cidr</vt:lpstr>
      <vt:lpstr>sample_mgmt_az1_en1_uplink02_interface_cidr</vt:lpstr>
      <vt:lpstr>sample_mgmt_az1_en2_edge_overlay_interface_ip_1_ip</vt:lpstr>
      <vt:lpstr>sample_mgmt_az1_en2_edge_overlay_interface_ip_2_ip</vt:lpstr>
      <vt:lpstr>sample_mgmt_az1_en2_eth0_uplink0</vt:lpstr>
      <vt:lpstr>sample_mgmt_az1_en2_eth0_uplink1</vt:lpstr>
      <vt:lpstr>sample_mgmt_az1_en2_eth1_uplink0</vt:lpstr>
      <vt:lpstr>sample_mgmt_az1_en2_eth1_uplink1</vt:lpstr>
      <vt:lpstr>sample_mgmt_az1_en2_fqdn</vt:lpstr>
      <vt:lpstr>sample_mgmt_az1_en2_hostname</vt:lpstr>
      <vt:lpstr>sample_mgmt_az1_en2_mgmt_cidr</vt:lpstr>
      <vt:lpstr>sample_mgmt_az1_en2_mgmt_ip</vt:lpstr>
      <vt:lpstr>sample_mgmt_az1_en2_uplink01_interface_cidr</vt:lpstr>
      <vt:lpstr>sample_mgmt_az1_en2_uplink02_interface_cidr</vt:lpstr>
      <vt:lpstr>sample_mgmt_az1_host_overlay_cidr</vt:lpstr>
      <vt:lpstr>sample_mgmt_az1_host_overlay_gateway_ip</vt:lpstr>
      <vt:lpstr>sample_mgmt_az1_host_overlay_mtu</vt:lpstr>
      <vt:lpstr>sample_mgmt_az1_host_overlay_network_pool_description</vt:lpstr>
      <vt:lpstr>sample_mgmt_az1_host_overlay_network_pool_name</vt:lpstr>
      <vt:lpstr>sample_mgmt_az1_host_overlay_pool_end_ip</vt:lpstr>
      <vt:lpstr>sample_mgmt_az1_host_overlay_pool_start_ip</vt:lpstr>
      <vt:lpstr>sample_mgmt_az1_host_overlay_vlan</vt:lpstr>
      <vt:lpstr>sample_mgmt_az1_host1_fqdn</vt:lpstr>
      <vt:lpstr>sample_mgmt_az1_host1_mgmt_ip</vt:lpstr>
      <vt:lpstr>sample_mgmt_az1_host1_vrms_ip</vt:lpstr>
      <vt:lpstr>sample_mgmt_az1_host10_fqdn</vt:lpstr>
      <vt:lpstr>sample_mgmt_az1_host10_mgmt_ip</vt:lpstr>
      <vt:lpstr>sample_mgmt_az1_host10_vrms_ip</vt:lpstr>
      <vt:lpstr>sample_mgmt_az1_host11_fqdn</vt:lpstr>
      <vt:lpstr>sample_mgmt_az1_host11_mgmt_ip</vt:lpstr>
      <vt:lpstr>sample_mgmt_az1_host11_vrms_ip</vt:lpstr>
      <vt:lpstr>sample_mgmt_az1_host12_fqdn</vt:lpstr>
      <vt:lpstr>sample_mgmt_az1_host12_mgmt_ip</vt:lpstr>
      <vt:lpstr>sample_mgmt_az1_host12_vrms_ip</vt:lpstr>
      <vt:lpstr>sample_mgmt_az1_host13_fqdn</vt:lpstr>
      <vt:lpstr>sample_mgmt_az1_host13_mgmt_ip</vt:lpstr>
      <vt:lpstr>sample_mgmt_az1_host13_vrms_ip</vt:lpstr>
      <vt:lpstr>sample_mgmt_az1_host14_fqdn</vt:lpstr>
      <vt:lpstr>sample_mgmt_az1_host14_mgmt_ip</vt:lpstr>
      <vt:lpstr>sample_mgmt_az1_host14_vrms_ip</vt:lpstr>
      <vt:lpstr>sample_mgmt_az1_host15_fqdn</vt:lpstr>
      <vt:lpstr>sample_mgmt_az1_host15_mgmt_ip</vt:lpstr>
      <vt:lpstr>sample_mgmt_az1_host15_vrms_ip</vt:lpstr>
      <vt:lpstr>sample_mgmt_az1_host16_fqdn</vt:lpstr>
      <vt:lpstr>sample_mgmt_az1_host16_mgmt_ip</vt:lpstr>
      <vt:lpstr>sample_mgmt_az1_host16_vrms_ip</vt:lpstr>
      <vt:lpstr>sample_mgmt_az1_host2_fqdn</vt:lpstr>
      <vt:lpstr>sample_mgmt_az1_host2_mgmt_ip</vt:lpstr>
      <vt:lpstr>sample_mgmt_az1_host2_vrms_ip</vt:lpstr>
      <vt:lpstr>sample_mgmt_az1_host3_fqdn</vt:lpstr>
      <vt:lpstr>sample_mgmt_az1_host3_mgmt_ip</vt:lpstr>
      <vt:lpstr>sample_mgmt_az1_host3_vrms_ip</vt:lpstr>
      <vt:lpstr>sample_mgmt_az1_host4_fqdn</vt:lpstr>
      <vt:lpstr>sample_mgmt_az1_host4_mgmt_ip</vt:lpstr>
      <vt:lpstr>sample_mgmt_az1_host4_vrms_ip</vt:lpstr>
      <vt:lpstr>sample_mgmt_az1_host5_fqdn</vt:lpstr>
      <vt:lpstr>sample_mgmt_az1_host5_mgmt_ip</vt:lpstr>
      <vt:lpstr>sample_mgmt_az1_host5_vrms_ip</vt:lpstr>
      <vt:lpstr>sample_mgmt_az1_host6_fqdn</vt:lpstr>
      <vt:lpstr>sample_mgmt_az1_host6_mgmt_ip</vt:lpstr>
      <vt:lpstr>sample_mgmt_az1_host6_vrms_ip</vt:lpstr>
      <vt:lpstr>sample_mgmt_az1_host7_fqdn</vt:lpstr>
      <vt:lpstr>sample_mgmt_az1_host7_mgmt_ip</vt:lpstr>
      <vt:lpstr>sample_mgmt_az1_host7_vrms_ip</vt:lpstr>
      <vt:lpstr>sample_mgmt_az1_host8_fqdn</vt:lpstr>
      <vt:lpstr>sample_mgmt_az1_host8_mgmt_ip</vt:lpstr>
      <vt:lpstr>sample_mgmt_az1_host8_vrms_ip</vt:lpstr>
      <vt:lpstr>sample_mgmt_az1_host9_fqdn</vt:lpstr>
      <vt:lpstr>sample_mgmt_az1_host9_mgmt_ip</vt:lpstr>
      <vt:lpstr>sample_mgmt_az1_host9_vrms_ip</vt:lpstr>
      <vt:lpstr>sample_mgmt_az1_mgmt_cidr</vt:lpstr>
      <vt:lpstr>sample_mgmt_az1_mgmt_gateway_ip</vt:lpstr>
      <vt:lpstr>sample_mgmt_az1_mgmt_mtu</vt:lpstr>
      <vt:lpstr>sample_mgmt_az1_mgmt_vlan</vt:lpstr>
      <vt:lpstr>sample_mgmt_az1_mgmt_vm_cidr</vt:lpstr>
      <vt:lpstr>sample_mgmt_az1_mgmt_vm_gateway_ip</vt:lpstr>
      <vt:lpstr>sample_mgmt_az1_mgmt_vm_mtu</vt:lpstr>
      <vt:lpstr>sample_mgmt_az1_mgmt_vm_prefix</vt:lpstr>
      <vt:lpstr>sample_mgmt_az1_mgmt_vm_vlan</vt:lpstr>
      <vt:lpstr>sample_mgmt_az1_rtep_ip_pool_name</vt:lpstr>
      <vt:lpstr>sample_mgmt_az1_rtep_overlay_cidr</vt:lpstr>
      <vt:lpstr>sample_mgmt_az1_rtep_overlay_gateway_ip</vt:lpstr>
      <vt:lpstr>sample_mgmt_az1_rtep_overlay_vlan</vt:lpstr>
      <vt:lpstr>sample_mgmt_az1_secondary_storage_cidr</vt:lpstr>
      <vt:lpstr>sample_mgmt_az1_secondary_storage_gateway_ip</vt:lpstr>
      <vt:lpstr>sample_mgmt_az1_secondary_storage_mtu</vt:lpstr>
      <vt:lpstr>sample_mgmt_az1_secondary_storage_pool_end_ip</vt:lpstr>
      <vt:lpstr>sample_mgmt_az1_secondary_storage_pool_start_ip</vt:lpstr>
      <vt:lpstr>sample_mgmt_az1_secondary_storage_vlan</vt:lpstr>
      <vt:lpstr>sample_mgmt_az1_tor1_peer_asn</vt:lpstr>
      <vt:lpstr>sample_mgmt_az1_tor1_peer_bgp_password</vt:lpstr>
      <vt:lpstr>sample_mgmt_az1_tor1_peer_ip</vt:lpstr>
      <vt:lpstr>sample_mgmt_az1_tor2_peer_asn</vt:lpstr>
      <vt:lpstr>sample_mgmt_az1_tor2_peer_bgp_password</vt:lpstr>
      <vt:lpstr>sample_mgmt_az1_tor2_peer_ip</vt:lpstr>
      <vt:lpstr>sample_mgmt_az1_uplink01_cidr</vt:lpstr>
      <vt:lpstr>sample_mgmt_az1_uplink01_gateway_ip</vt:lpstr>
      <vt:lpstr>sample_mgmt_az1_uplink01_mtu</vt:lpstr>
      <vt:lpstr>sample_mgmt_az1_uplink01_vlan</vt:lpstr>
      <vt:lpstr>sample_mgmt_az1_uplink02_cidr</vt:lpstr>
      <vt:lpstr>sample_mgmt_az1_uplink02_gateway_ip</vt:lpstr>
      <vt:lpstr>sample_mgmt_az1_uplink02_mtu</vt:lpstr>
      <vt:lpstr>sample_mgmt_az1_uplink02_vlan</vt:lpstr>
      <vt:lpstr>sample_mgmt_az1_vmotion_cidr</vt:lpstr>
      <vt:lpstr>sample_mgmt_az1_vmotion_gateway_ip</vt:lpstr>
      <vt:lpstr>sample_mgmt_az1_vmotion_mtu</vt:lpstr>
      <vt:lpstr>sample_mgmt_az1_vmotion_pool_end_ip</vt:lpstr>
      <vt:lpstr>sample_mgmt_az1_vmotion_pool_start_ip</vt:lpstr>
      <vt:lpstr>sample_mgmt_az1_vmotion_vlan</vt:lpstr>
      <vt:lpstr>sample_mgmt_az1_vrms_cidr</vt:lpstr>
      <vt:lpstr>sample_mgmt_az1_vrms_gateway_ip</vt:lpstr>
      <vt:lpstr>sample_mgmt_az1_vrms_mask</vt:lpstr>
      <vt:lpstr>sample_mgmt_az1_vrms_mtu</vt:lpstr>
      <vt:lpstr>sample_mgmt_az1_vrms_vlan</vt:lpstr>
      <vt:lpstr>sample_mgmt_az1_vsan_cidr</vt:lpstr>
      <vt:lpstr>sample_mgmt_az1_vsan_gateway_ip</vt:lpstr>
      <vt:lpstr>sample_mgmt_az1_vsan_mtu</vt:lpstr>
      <vt:lpstr>sample_mgmt_az1_vsan_pool_end_ip</vt:lpstr>
      <vt:lpstr>sample_mgmt_az1_vsan_pool_start_ip</vt:lpstr>
      <vt:lpstr>sample_mgmt_az1_vsan_vlan</vt:lpstr>
      <vt:lpstr>sample_mgmt_az2_host_hostnames</vt:lpstr>
      <vt:lpstr>sample_mgmt_az2_host_overlay_cidr</vt:lpstr>
      <vt:lpstr>sample_mgmt_az2_host_overlay_gateway_ip</vt:lpstr>
      <vt:lpstr>sample_mgmt_az2_host_overlay_mtu</vt:lpstr>
      <vt:lpstr>sample_mgmt_az2_host_overlay_network_pool_name</vt:lpstr>
      <vt:lpstr>sample_mgmt_az2_host_overlay_network_profile_name</vt:lpstr>
      <vt:lpstr>sample_mgmt_az2_host_overlay_pool_end_ip</vt:lpstr>
      <vt:lpstr>sample_mgmt_az2_host_overlay_pool_start_ip</vt:lpstr>
      <vt:lpstr>sample_mgmt_az2_host_overlay_uplink_profile_name</vt:lpstr>
      <vt:lpstr>sample_mgmt_az2_host_overlay_vlan</vt:lpstr>
      <vt:lpstr>sample_mgmt_az2_host1_fqdn</vt:lpstr>
      <vt:lpstr>sample_mgmt_az2_host1_mgmt_ip</vt:lpstr>
      <vt:lpstr>sample_mgmt_az2_host1_sddc_id</vt:lpstr>
      <vt:lpstr>sample_mgmt_az2_host1_vrms_ip</vt:lpstr>
      <vt:lpstr>sample_mgmt_az2_host10_fqdn</vt:lpstr>
      <vt:lpstr>sample_mgmt_az2_host10_mgmt_ip</vt:lpstr>
      <vt:lpstr>sample_mgmt_az2_host10_vrms_ip</vt:lpstr>
      <vt:lpstr>sample_mgmt_az2_host11_fqdn</vt:lpstr>
      <vt:lpstr>sample_mgmt_az2_host11_mgmt_ip</vt:lpstr>
      <vt:lpstr>sample_mgmt_az2_host11_vrms_ip</vt:lpstr>
      <vt:lpstr>sample_mgmt_az2_host12_fqdn</vt:lpstr>
      <vt:lpstr>sample_mgmt_az2_host12_mgmt_ip</vt:lpstr>
      <vt:lpstr>sample_mgmt_az2_host12_vrms_ip</vt:lpstr>
      <vt:lpstr>sample_mgmt_az2_host13_fqdn</vt:lpstr>
      <vt:lpstr>sample_mgmt_az2_host13_mgmt_ip</vt:lpstr>
      <vt:lpstr>sample_mgmt_az2_host13_vrms_ip</vt:lpstr>
      <vt:lpstr>sample_mgmt_az2_host14_fqdn</vt:lpstr>
      <vt:lpstr>sample_mgmt_az2_host14_mgmt_ip</vt:lpstr>
      <vt:lpstr>sample_mgmt_az2_host14_vrms_ip</vt:lpstr>
      <vt:lpstr>sample_mgmt_az2_host15_fqdn</vt:lpstr>
      <vt:lpstr>sample_mgmt_az2_host15_mgmt_ip</vt:lpstr>
      <vt:lpstr>sample_mgmt_az2_host15_vrms_ip</vt:lpstr>
      <vt:lpstr>sample_mgmt_az2_host16_fqdn</vt:lpstr>
      <vt:lpstr>sample_mgmt_az2_host16_mgmt_ip</vt:lpstr>
      <vt:lpstr>sample_mgmt_az2_host16_vrms_ip</vt:lpstr>
      <vt:lpstr>sample_mgmt_az2_host2_fqdn</vt:lpstr>
      <vt:lpstr>sample_mgmt_az2_host2_mgmt_ip</vt:lpstr>
      <vt:lpstr>sample_mgmt_az2_host2_sddc_id</vt:lpstr>
      <vt:lpstr>sample_mgmt_az2_host2_vrms_ip</vt:lpstr>
      <vt:lpstr>sample_mgmt_az2_host3_fqdn</vt:lpstr>
      <vt:lpstr>sample_mgmt_az2_host3_mgmt_ip</vt:lpstr>
      <vt:lpstr>sample_mgmt_az2_host3_sddc_id</vt:lpstr>
      <vt:lpstr>sample_mgmt_az2_host3_vrms_ip</vt:lpstr>
      <vt:lpstr>sample_mgmt_az2_host4_fqdn</vt:lpstr>
      <vt:lpstr>sample_mgmt_az2_host4_mgmt_ip</vt:lpstr>
      <vt:lpstr>sample_mgmt_az2_host4_sddc_id</vt:lpstr>
      <vt:lpstr>sample_mgmt_az2_host4_vrms_ip</vt:lpstr>
      <vt:lpstr>sample_mgmt_az2_host5_fqdn</vt:lpstr>
      <vt:lpstr>sample_mgmt_az2_host5_mgmt_ip</vt:lpstr>
      <vt:lpstr>sample_mgmt_az2_host5_vrms_ip</vt:lpstr>
      <vt:lpstr>sample_mgmt_az2_host6_fqdn</vt:lpstr>
      <vt:lpstr>sample_mgmt_az2_host6_mgmt_ip</vt:lpstr>
      <vt:lpstr>sample_mgmt_az2_host6_vrms_ip</vt:lpstr>
      <vt:lpstr>sample_mgmt_az2_host7_fqdn</vt:lpstr>
      <vt:lpstr>sample_mgmt_az2_host7_mgmt_ip</vt:lpstr>
      <vt:lpstr>sample_mgmt_az2_host7_vrms_ip</vt:lpstr>
      <vt:lpstr>sample_mgmt_az2_host8_fqdn</vt:lpstr>
      <vt:lpstr>sample_mgmt_az2_host8_mgmt_ip</vt:lpstr>
      <vt:lpstr>sample_mgmt_az2_host8_vrms_ip</vt:lpstr>
      <vt:lpstr>sample_mgmt_az2_host9_fqdn</vt:lpstr>
      <vt:lpstr>sample_mgmt_az2_host9_mgmt_ip</vt:lpstr>
      <vt:lpstr>sample_mgmt_az2_host9_vrms_ip</vt:lpstr>
      <vt:lpstr>sample_mgmt_az2_mgmt_cidr</vt:lpstr>
      <vt:lpstr>sample_mgmt_az2_mgmt_gateway_ip</vt:lpstr>
      <vt:lpstr>sample_mgmt_az2_mgmt_mtu</vt:lpstr>
      <vt:lpstr>sample_mgmt_az2_mgmt_vlan</vt:lpstr>
      <vt:lpstr>sample_mgmt_az2_pool_name</vt:lpstr>
      <vt:lpstr>sample_mgmt_az2_secondary_storage_cidr</vt:lpstr>
      <vt:lpstr>sample_mgmt_az2_secondary_storage_gateway_ip</vt:lpstr>
      <vt:lpstr>sample_mgmt_az2_secondary_storage_mask</vt:lpstr>
      <vt:lpstr>sample_mgmt_az2_secondary_storage_mtu</vt:lpstr>
      <vt:lpstr>sample_mgmt_az2_secondary_storage_network</vt:lpstr>
      <vt:lpstr>sample_mgmt_az2_secondary_storage_pool_end_ip</vt:lpstr>
      <vt:lpstr>sample_mgmt_az2_secondary_storage_pool_start_ip</vt:lpstr>
      <vt:lpstr>sample_mgmt_az2_secondary_storage_vlan</vt:lpstr>
      <vt:lpstr>sample_mgmt_az2_tor1_peer_asn</vt:lpstr>
      <vt:lpstr>sample_mgmt_az2_tor1_peer_bgp_password</vt:lpstr>
      <vt:lpstr>sample_mgmt_az2_tor1_peer_ip</vt:lpstr>
      <vt:lpstr>sample_mgmt_az2_tor2_peer_asn</vt:lpstr>
      <vt:lpstr>sample_mgmt_az2_tor2_peer_bgp_password</vt:lpstr>
      <vt:lpstr>sample_mgmt_az2_tor2_peer_ip</vt:lpstr>
      <vt:lpstr>sample_mgmt_az2_vmotion_cidr</vt:lpstr>
      <vt:lpstr>sample_mgmt_az2_vmotion_gateway_ip</vt:lpstr>
      <vt:lpstr>sample_mgmt_az2_vmotion_mask</vt:lpstr>
      <vt:lpstr>sample_mgmt_az2_vmotion_mtu</vt:lpstr>
      <vt:lpstr>sample_mgmt_az2_vmotion_network</vt:lpstr>
      <vt:lpstr>sample_mgmt_az2_vmotion_pool_end_ip</vt:lpstr>
      <vt:lpstr>sample_mgmt_az2_vmotion_pool_start_ip</vt:lpstr>
      <vt:lpstr>sample_mgmt_az2_vmotion_vlan</vt:lpstr>
      <vt:lpstr>sample_mgmt_az2_vsan_cidr</vt:lpstr>
      <vt:lpstr>sample_mgmt_az2_vsan_gateway_ip</vt:lpstr>
      <vt:lpstr>sample_mgmt_az2_vsan_mask</vt:lpstr>
      <vt:lpstr>sample_mgmt_az2_vsan_mtu</vt:lpstr>
      <vt:lpstr>sample_mgmt_az2_vsan_network</vt:lpstr>
      <vt:lpstr>sample_mgmt_az2_vsan_pool_end_ip</vt:lpstr>
      <vt:lpstr>sample_mgmt_az2_vsan_pool_start_ip</vt:lpstr>
      <vt:lpstr>sample_mgmt_az2_vsan_vlan</vt:lpstr>
      <vt:lpstr>sample_mgmt_cl01_az1_mgmt_pg</vt:lpstr>
      <vt:lpstr>sample_mgmt_cl01_az1_mgmt_vm_pg</vt:lpstr>
      <vt:lpstr>sample_mgmt_cl01_az1_nfs_pg</vt:lpstr>
      <vt:lpstr>sample_mgmt_cl01_az1_uplink01_pg</vt:lpstr>
      <vt:lpstr>sample_mgmt_cl01_az1_uplink02_pg</vt:lpstr>
      <vt:lpstr>sample_mgmt_cl01_az1_vcf_mgmt_pg</vt:lpstr>
      <vt:lpstr>sample_mgmt_cl01_az1_vmotion_pg</vt:lpstr>
      <vt:lpstr>sample_mgmt_cl01_az1_vsan_pg</vt:lpstr>
      <vt:lpstr>sample_mgmt_cl01_cluster</vt:lpstr>
      <vt:lpstr>sample_mgmt_cl01_cluster_sddc_id</vt:lpstr>
      <vt:lpstr>sample_mgmt_cl01_nfs_server_ip</vt:lpstr>
      <vt:lpstr>sample_mgmt_cl01_nfs_share</vt:lpstr>
      <vt:lpstr>sample_mgmt_cl01_vds01_lag_name</vt:lpstr>
      <vt:lpstr>sample_mgmt_cl01_vds01_mtu</vt:lpstr>
      <vt:lpstr>sample_mgmt_cl01_vds01_name</vt:lpstr>
      <vt:lpstr>sample_mgmt_cl01_vds01_uplink_count</vt:lpstr>
      <vt:lpstr>sample_mgmt_cl01_vds01_uplink1</vt:lpstr>
      <vt:lpstr>sample_mgmt_cl01_vds01_uplink2</vt:lpstr>
      <vt:lpstr>sample_mgmt_cl01_vds02_lag_name</vt:lpstr>
      <vt:lpstr>sample_mgmt_cl01_vds02_mtu</vt:lpstr>
      <vt:lpstr>sample_mgmt_cl01_vds02_name</vt:lpstr>
      <vt:lpstr>sample_mgmt_cl01_vds02_uplink_count</vt:lpstr>
      <vt:lpstr>sample_mgmt_cl01_vds02_uplink1</vt:lpstr>
      <vt:lpstr>sample_mgmt_cl01_vds02_uplink2</vt:lpstr>
      <vt:lpstr>sample_mgmt_cl01_vds03_lag_name</vt:lpstr>
      <vt:lpstr>sample_mgmt_cl01_vds03_mtu</vt:lpstr>
      <vt:lpstr>sample_mgmt_cl01_vds03_name</vt:lpstr>
      <vt:lpstr>sample_mgmt_cl01_vds03_uplink_count</vt:lpstr>
      <vt:lpstr>sample_mgmt_cl01_vds03_uplink1</vt:lpstr>
      <vt:lpstr>sample_mgmt_cl01_vds03_uplink2</vt:lpstr>
      <vt:lpstr>sample_mgmt_cl01_vsan_datastore</vt:lpstr>
      <vt:lpstr>sample_mgmt_cross_instance_linked_t0_name</vt:lpstr>
      <vt:lpstr>sample_mgmt_datacenter</vt:lpstr>
      <vt:lpstr>sample_mgmt_ec_mtu</vt:lpstr>
      <vt:lpstr>sample_mgmt_ec_name</vt:lpstr>
      <vt:lpstr>sample_mgmt_ec_rp_name</vt:lpstr>
      <vt:lpstr>sample_mgmt_ec01_en01_host_group_affinity_rule_name</vt:lpstr>
      <vt:lpstr>sample_mgmt_ec01_en02_host_group_affinity_rule_name</vt:lpstr>
      <vt:lpstr>sample_mgmt_en_asn</vt:lpstr>
      <vt:lpstr>sample_mgmt_existing_active_nsx_gm</vt:lpstr>
      <vt:lpstr>sample_mgmt_existing_cross_instance_t0_name</vt:lpstr>
      <vt:lpstr>sample_mgmt_host_overlay_transportzone</vt:lpstr>
      <vt:lpstr>sample_mgmt_internet_proxy_address</vt:lpstr>
      <vt:lpstr>sample_mgmt_internet_proxy_email</vt:lpstr>
      <vt:lpstr>sample_mgmt_internet_proxy_password</vt:lpstr>
      <vt:lpstr>sample_mgmt_internet_proxy_port</vt:lpstr>
      <vt:lpstr>sample_mgmt_mgmt_rp</vt:lpstr>
      <vt:lpstr>sample_mgmt_nsx_rp</vt:lpstr>
      <vt:lpstr>sample_mgmt_nsxt_en_admin_password</vt:lpstr>
      <vt:lpstr>sample_mgmt_nsxt_en_root_password</vt:lpstr>
      <vt:lpstr>sample_mgmt_nsxt_federation_global_manager_name</vt:lpstr>
      <vt:lpstr>sample_mgmt_nsxt_federation_location_name</vt:lpstr>
      <vt:lpstr>sample_mgmt_nsxt_global_mgr_anti_affinity_rule_name</vt:lpstr>
      <vt:lpstr>sample_mgmt_nsxt_global_mgr_certificate_id</vt:lpstr>
      <vt:lpstr>sample_mgmt_nsxt_global_mgr_cluster_id</vt:lpstr>
      <vt:lpstr>sample_mgmt_nsxt_global_mgr_vmca_signed_thumbprint</vt:lpstr>
      <vt:lpstr>sample_mgmt_nsxt_global_mgra_fqdn</vt:lpstr>
      <vt:lpstr>sample_mgmt_nsxt_global_mgra_hostname</vt:lpstr>
      <vt:lpstr>sample_mgmt_nsxt_global_mgra_ip</vt:lpstr>
      <vt:lpstr>sample_mgmt_nsxt_global_mgrb_fqdn</vt:lpstr>
      <vt:lpstr>sample_mgmt_nsxt_global_mgrb_hostname</vt:lpstr>
      <vt:lpstr>sample_mgmt_nsxt_global_mgrb_ip</vt:lpstr>
      <vt:lpstr>sample_mgmt_nsxt_global_mgrc_fqdn</vt:lpstr>
      <vt:lpstr>sample_mgmt_nsxt_global_mgrc_hostname</vt:lpstr>
      <vt:lpstr>sample_mgmt_nsxt_global_mgrc_ip</vt:lpstr>
      <vt:lpstr>sample_mgmt_nsxt_gm_fingerprint</vt:lpstr>
      <vt:lpstr>sample_mgmt_nsxt_gm_vip_fqdn</vt:lpstr>
      <vt:lpstr>sample_mgmt_nsxt_gm_vip_ip</vt:lpstr>
      <vt:lpstr>sample_mgmt_nsxt_lm_fingerprint</vt:lpstr>
      <vt:lpstr>sample_mgmt_nsxt_mgra_fqdn</vt:lpstr>
      <vt:lpstr>sample_mgmt_nsxt_mgra_ip</vt:lpstr>
      <vt:lpstr>sample_mgmt_nsxt_mgrb_fqdn</vt:lpstr>
      <vt:lpstr>sample_mgmt_nsxt_mgrb_ip</vt:lpstr>
      <vt:lpstr>sample_mgmt_nsxt_mgrc_fqdn</vt:lpstr>
      <vt:lpstr>sample_mgmt_nsxt_mgrc_ip</vt:lpstr>
      <vt:lpstr>sample_mgmt_nsxt_vip_fqdn</vt:lpstr>
      <vt:lpstr>sample_mgmt_nsxt_vip_ip</vt:lpstr>
      <vt:lpstr>sample_mgmt_nsxt_xreg_t1_name</vt:lpstr>
      <vt:lpstr>sample_mgmt_offline_depot_fqdn</vt:lpstr>
      <vt:lpstr>sample_mgmt_offline_depot_port</vt:lpstr>
      <vt:lpstr>sample_mgmt_recovery_lb_creation_method</vt:lpstr>
      <vt:lpstr>sample_mgmt_rtep_overlay_pool_end_ip</vt:lpstr>
      <vt:lpstr>sample_mgmt_rtep_overlay_pool_start_ip</vt:lpstr>
      <vt:lpstr>sample_mgmt_rwr_recovery_site_az1_mgmt_cidr</vt:lpstr>
      <vt:lpstr>sample_mgmt_rwr_vc_fqdn</vt:lpstr>
      <vt:lpstr>sample_mgmt_sddc_domain</vt:lpstr>
      <vt:lpstr>sample_mgmt_srm_admin_email</vt:lpstr>
      <vt:lpstr>sample_mgmt_srm_admin_password</vt:lpstr>
      <vt:lpstr>sample_mgmt_srm_database_password</vt:lpstr>
      <vt:lpstr>sample_mgmt_srm_days</vt:lpstr>
      <vt:lpstr>sample_mgmt_srm_instances_per_day</vt:lpstr>
      <vt:lpstr>sample_mgmt_srm_ip</vt:lpstr>
      <vt:lpstr>sample_mgmt_srm_logs_pg</vt:lpstr>
      <vt:lpstr>sample_mgmt_srm_logs_rp</vt:lpstr>
      <vt:lpstr>sample_mgmt_srm_net_pg</vt:lpstr>
      <vt:lpstr>sample_mgmt_srm_net_rp</vt:lpstr>
      <vt:lpstr>sample_mgmt_srm_p12_password</vt:lpstr>
      <vt:lpstr>sample_mgmt_srm_recovery_cluster</vt:lpstr>
      <vt:lpstr>sample_mgmt_srm_recovery_datastore</vt:lpstr>
      <vt:lpstr>sample_mgmt_srm_recovery_gateway</vt:lpstr>
      <vt:lpstr>sample_mgmt_srm_recovery_mask</vt:lpstr>
      <vt:lpstr>sample_mgmt_srm_recovery_nsx_ec_name</vt:lpstr>
      <vt:lpstr>sample_mgmt_srm_recovery_nsx_location</vt:lpstr>
      <vt:lpstr>sample_mgmt_srm_recovery_pg</vt:lpstr>
      <vt:lpstr>sample_mgmt_srm_recovery_sddc_manager_domain</vt:lpstr>
      <vt:lpstr>sample_mgmt_srm_recovery_sddc_manager_fqdn</vt:lpstr>
      <vt:lpstr>sample_mgmt_srm_recovery_sddc_manager_password</vt:lpstr>
      <vt:lpstr>sample_mgmt_srm_recovery_sddc_manager_username</vt:lpstr>
      <vt:lpstr>sample_mgmt_srm_recovery_t1_si_ip</vt:lpstr>
      <vt:lpstr>sample_mgmt_srm_recovery_vcenter_fqdn</vt:lpstr>
      <vt:lpstr>sample_mgmt_srm_recovery_vcenter_password</vt:lpstr>
      <vt:lpstr>sample_mgmt_srm_recovery_vcenter_username</vt:lpstr>
      <vt:lpstr>sample_mgmt_srm_root_password</vt:lpstr>
      <vt:lpstr>sample_mgmt_srm_rpo</vt:lpstr>
      <vt:lpstr>sample_mgmt_srm_site_name</vt:lpstr>
      <vt:lpstr>sample_mgmt_srm_sso_domain_membership</vt:lpstr>
      <vt:lpstr>sample_mgmt_srm_vm_folder</vt:lpstr>
      <vt:lpstr>sample_mgmt_srm_vra_pg</vt:lpstr>
      <vt:lpstr>sample_mgmt_srm_vra_rp</vt:lpstr>
      <vt:lpstr>sample_mgmt_srm_vrops_pg</vt:lpstr>
      <vt:lpstr>sample_mgmt_srm_vrops_rp</vt:lpstr>
      <vt:lpstr>sample_mgmt_srm_vrslcm_wsa_pg</vt:lpstr>
      <vt:lpstr>sample_mgmt_srm_vrslcm_wsa_rp</vt:lpstr>
      <vt:lpstr>sample_mgmt_sso_domain</vt:lpstr>
      <vt:lpstr>sample_mgmt_sso_domain_username</vt:lpstr>
      <vt:lpstr>sample_mgmt_tier0_name</vt:lpstr>
      <vt:lpstr>sample_mgmt_tier1_name</vt:lpstr>
      <vt:lpstr>sample_mgmt_user_edge_rp</vt:lpstr>
      <vt:lpstr>sample_mgmt_user_vm_rp</vt:lpstr>
      <vt:lpstr>sample_mgmt_vc_fqdn</vt:lpstr>
      <vt:lpstr>sample_mgmt_vc_ip</vt:lpstr>
      <vt:lpstr>sample_mgmt_vnaa_fqdn</vt:lpstr>
      <vt:lpstr>sample_mgmt_vnaa_ip</vt:lpstr>
      <vt:lpstr>sample_mgmt_vnab_fqdn</vt:lpstr>
      <vt:lpstr>sample_mgmt_vnab_ip</vt:lpstr>
      <vt:lpstr>sample_mgmt_vpc_ext_ip_blocks</vt:lpstr>
      <vt:lpstr>sample_mgmt_vpc_transit_gateway_ip_blocks</vt:lpstr>
      <vt:lpstr>sample_mgmt_vrms_admin_email</vt:lpstr>
      <vt:lpstr>sample_mgmt_vrms_admin_password</vt:lpstr>
      <vt:lpstr>sample_mgmt_vrms_hostname</vt:lpstr>
      <vt:lpstr>sample_mgmt_vrms_mgmt_ip</vt:lpstr>
      <vt:lpstr>sample_mgmt_vrms_p12_password</vt:lpstr>
      <vt:lpstr>sample_mgmt_vrms_pg</vt:lpstr>
      <vt:lpstr>sample_mgmt_vrms_recovery_replication_cidr</vt:lpstr>
      <vt:lpstr>sample_mgmt_vrms_root_password</vt:lpstr>
      <vt:lpstr>sample_mgmt_vrms_site_name</vt:lpstr>
      <vt:lpstr>sample_mgmt_vrms_vm_folder</vt:lpstr>
      <vt:lpstr>sample_mgmt_vrms_vrms_ip</vt:lpstr>
      <vt:lpstr>sample_mgmt_witness_cluster</vt:lpstr>
      <vt:lpstr>sample_mgmt_witness_dns1_ip</vt:lpstr>
      <vt:lpstr>sample_mgmt_witness_dns2_ip</vt:lpstr>
      <vt:lpstr>sample_mgmt_witness_fqdn</vt:lpstr>
      <vt:lpstr>sample_mgmt_witness_hostname</vt:lpstr>
      <vt:lpstr>sample_mgmt_witness_ip</vt:lpstr>
      <vt:lpstr>sample_mgmt_witness_mgmt_pg</vt:lpstr>
      <vt:lpstr>sample_mgmt_witness_ntp1_server</vt:lpstr>
      <vt:lpstr>sample_mgmt_witness_ntp2_server</vt:lpstr>
      <vt:lpstr>sample_mgmt_witness_root_password</vt:lpstr>
      <vt:lpstr>sample_mgmt_witness_vm_folder</vt:lpstr>
      <vt:lpstr>sample_mgmt_witness_vsan_datastore</vt:lpstr>
      <vt:lpstr>sample_mgmt_witness_zone_vc_fqdn</vt:lpstr>
      <vt:lpstr>sample_mgmt_witness_zone_vc_ip</vt:lpstr>
      <vt:lpstr>sample_mgmt_witnessaz_mgmt_cidr</vt:lpstr>
      <vt:lpstr>sample_mgmt_witnessaz_mgmt_gateway_ip</vt:lpstr>
      <vt:lpstr>sample_mgmt_witnessaz_mgmt_mtu</vt:lpstr>
      <vt:lpstr>sample_mgmt_witnessaz_mgmt_vlan</vt:lpstr>
      <vt:lpstr>sample_nsxt_gm_admin_password</vt:lpstr>
      <vt:lpstr>sample_nsxt_gm_audit_password</vt:lpstr>
      <vt:lpstr>sample_nsxt_gm_root_password</vt:lpstr>
      <vt:lpstr>sample_nsxt_lm_admin_password</vt:lpstr>
      <vt:lpstr>sample_nsxt_lm_audit_password</vt:lpstr>
      <vt:lpstr>sample_nsxt_lm_root_password</vt:lpstr>
      <vt:lpstr>sample_parent_ad_groups_ou</vt:lpstr>
      <vt:lpstr>sample_parent_ad_users_ou</vt:lpstr>
      <vt:lpstr>sample_parent_dns_zone</vt:lpstr>
      <vt:lpstr>sample_parent_gg_wsa_admins_group</vt:lpstr>
      <vt:lpstr>sample_parent_gg_wsa_directory_admins_group</vt:lpstr>
      <vt:lpstr>sample_parent_gg_wsa_read_only_group</vt:lpstr>
      <vt:lpstr>sample_region_ad_child_fqdn</vt:lpstr>
      <vt:lpstr>sample_region_ad_child_netbios</vt:lpstr>
      <vt:lpstr>sample_region_ad_parent_fqdn</vt:lpstr>
      <vt:lpstr>sample_region_ad_parent_netbios</vt:lpstr>
      <vt:lpstr>sample_region_dns1_ip</vt:lpstr>
      <vt:lpstr>sample_region_dns2_ip</vt:lpstr>
      <vt:lpstr>sample_region_ntp1_server</vt:lpstr>
      <vt:lpstr>sample_region_ntp2_server</vt:lpstr>
      <vt:lpstr>sample_rwr_cert_country_code</vt:lpstr>
      <vt:lpstr>sample_rwr_cert_file</vt:lpstr>
      <vt:lpstr>sample_rwr_cert_locality</vt:lpstr>
      <vt:lpstr>sample_rwr_cert_organisation</vt:lpstr>
      <vt:lpstr>sample_rwr_cert_ou</vt:lpstr>
      <vt:lpstr>sample_rwr_cert_state</vt:lpstr>
      <vt:lpstr>sample_rwr_child_dns_zone</vt:lpstr>
      <vt:lpstr>sample_rwr_datacenter</vt:lpstr>
      <vt:lpstr>sample_rwr_sso_domain_name</vt:lpstr>
      <vt:lpstr>sample_rwr_vlr_replication_password</vt:lpstr>
      <vt:lpstr>sample_rwr_vrms_pg</vt:lpstr>
      <vt:lpstr>sample_sddc_mgr_admin_local_password</vt:lpstr>
      <vt:lpstr>sample_sddc_mgr_fqdn</vt:lpstr>
      <vt:lpstr>sample_sddc_mgr_ip</vt:lpstr>
      <vt:lpstr>sample_sddc_mgr_root_password</vt:lpstr>
      <vt:lpstr>sample_sddc_mgr_vcf_password</vt:lpstr>
      <vt:lpstr>sample_sftp_server</vt:lpstr>
      <vt:lpstr>sample_sftp_server_backup_dir</vt:lpstr>
      <vt:lpstr>sample_sftp_server_passphrase</vt:lpstr>
      <vt:lpstr>sample_sftp_server_port</vt:lpstr>
      <vt:lpstr>sample_sftp_server_protocol</vt:lpstr>
      <vt:lpstr>sample_sftp_server_sshfingerprint</vt:lpstr>
      <vt:lpstr>sample_smtp_server</vt:lpstr>
      <vt:lpstr>sample_smtp_server_port</vt:lpstr>
      <vt:lpstr>sample_svc_cbr_vcdr_vsphere_password</vt:lpstr>
      <vt:lpstr>sample_svc_cbr_vcdr_vsphere_user</vt:lpstr>
      <vt:lpstr>sample_svc_ccm_hcx_nsx_password</vt:lpstr>
      <vt:lpstr>sample_svc_ccm_hcx_nsx_user</vt:lpstr>
      <vt:lpstr>sample_svc_ccm_hcx_vsphere_password</vt:lpstr>
      <vt:lpstr>sample_svc_ccm_hcx_vsphere_user</vt:lpstr>
      <vt:lpstr>sample_svc_hrm_vcf_password</vt:lpstr>
      <vt:lpstr>sample_svc_ila_ad_password</vt:lpstr>
      <vt:lpstr>sample_svc_ila_ad_user</vt:lpstr>
      <vt:lpstr>sample_svc_inv_ad_password</vt:lpstr>
      <vt:lpstr>sample_svc_inv_ad_user</vt:lpstr>
      <vt:lpstr>sample_svc_inv_vrops_password</vt:lpstr>
      <vt:lpstr>sample_svc_inv_vrops_user</vt:lpstr>
      <vt:lpstr>sample_svc_inv_vsphere_password</vt:lpstr>
      <vt:lpstr>sample_svc_inv_vsphere_user</vt:lpstr>
      <vt:lpstr>sample_svc_iom_vcf_password</vt:lpstr>
      <vt:lpstr>sample_svc_iom_vcf_user</vt:lpstr>
      <vt:lpstr>sample_svc_iom_vsphere_password</vt:lpstr>
      <vt:lpstr>sample_svc_iom_vsphere_user</vt:lpstr>
      <vt:lpstr>sample_svc_my_vmware_password</vt:lpstr>
      <vt:lpstr>sample_svc_vcf_bck_password</vt:lpstr>
      <vt:lpstr>sample_svc_vcf_bck_user</vt:lpstr>
      <vt:lpstr>sample_svc_vcf_ca_vcf_password</vt:lpstr>
      <vt:lpstr>sample_svc_vcf_ca_vcf_user</vt:lpstr>
      <vt:lpstr>sample_svc_vra_nsx_password</vt:lpstr>
      <vt:lpstr>sample_svc_vra_nsx_user</vt:lpstr>
      <vt:lpstr>sample_svc_vra_vcf_password</vt:lpstr>
      <vt:lpstr>sample_svc_vra_vcf_user</vt:lpstr>
      <vt:lpstr>sample_svc_vra_vrops_password</vt:lpstr>
      <vt:lpstr>sample_svc_vra_vrops_user</vt:lpstr>
      <vt:lpstr>sample_svc_vra_vsphere_password</vt:lpstr>
      <vt:lpstr>sample_svc_vra_vsphere_user</vt:lpstr>
      <vt:lpstr>sample_svc_vro_vsphere_password</vt:lpstr>
      <vt:lpstr>sample_svc_vro_vsphere_user</vt:lpstr>
      <vt:lpstr>sample_svc_vrops_vra_password</vt:lpstr>
      <vt:lpstr>sample_svc_vrops_vra_user</vt:lpstr>
      <vt:lpstr>sample_vcenter_root_password</vt:lpstr>
      <vt:lpstr>sample_vcf_automation_additional_vips</vt:lpstr>
      <vt:lpstr>sample_vcf_automation_admin_password</vt:lpstr>
      <vt:lpstr>sample_vcf_automation_admin_password_alias</vt:lpstr>
      <vt:lpstr>sample_vcf_automation_admin_password_description</vt:lpstr>
      <vt:lpstr>sample_vcf_automation_admin_username</vt:lpstr>
      <vt:lpstr>sample_vcf_automation_cert_alias</vt:lpstr>
      <vt:lpstr>sample_vcf_automation_cert_common_name</vt:lpstr>
      <vt:lpstr>sample_vcf_automation_cert_country_code</vt:lpstr>
      <vt:lpstr>sample_vcf_automation_cert_file</vt:lpstr>
      <vt:lpstr>sample_vcf_automation_cert_locality</vt:lpstr>
      <vt:lpstr>sample_vcf_automation_cert_organisation</vt:lpstr>
      <vt:lpstr>sample_vcf_automation_cert_state</vt:lpstr>
      <vt:lpstr>sample_vcf_automation_folder</vt:lpstr>
      <vt:lpstr>sample_vcf_automation_gateway_ip</vt:lpstr>
      <vt:lpstr>sample_vcf_automation_mask</vt:lpstr>
      <vt:lpstr>sample_vcf_automation_nodea_ip</vt:lpstr>
      <vt:lpstr>sample_vcf_automation_nodeb_ip</vt:lpstr>
      <vt:lpstr>sample_vcf_automation_nodec_ip</vt:lpstr>
      <vt:lpstr>sample_vcf_automation_noded_ip</vt:lpstr>
      <vt:lpstr>sample_vcf_automation_nodee_ip</vt:lpstr>
      <vt:lpstr>sample_vcf_automation_nodef_ip</vt:lpstr>
      <vt:lpstr>sample_vcf_automation_ou_cert</vt:lpstr>
      <vt:lpstr>sample_vcf_automation_portgroup</vt:lpstr>
      <vt:lpstr>sample_vcf_automation_resource_pool</vt:lpstr>
      <vt:lpstr>sample_vcf_automation_root_password</vt:lpstr>
      <vt:lpstr>sample_vcf_automation_root_password_alias</vt:lpstr>
      <vt:lpstr>sample_vcf_automation_root_password_description</vt:lpstr>
      <vt:lpstr>sample_vcf_automation_root_username</vt:lpstr>
      <vt:lpstr>sample_vcf_automation_version</vt:lpstr>
      <vt:lpstr>sample_vcf_automation_vip_fqdn</vt:lpstr>
      <vt:lpstr>sample_vcf_automation_vip_ip</vt:lpstr>
      <vt:lpstr>sample_vcf_installer_fqdn</vt:lpstr>
      <vt:lpstr>sample_vcf_installer_ip</vt:lpstr>
      <vt:lpstr>sample_vcf_instance_name</vt:lpstr>
      <vt:lpstr>sample_vrslcm_admin_password</vt:lpstr>
      <vt:lpstr>sample_vrslcm_root_password</vt:lpstr>
      <vt:lpstr>sample_vrslcm_xreg_vm_folder</vt:lpstr>
      <vt:lpstr>sample_vvs_dr_dns1_ip</vt:lpstr>
      <vt:lpstr>sample_vvs_dr_dns2_ip</vt:lpstr>
      <vt:lpstr>sample_vvs_dr_flt_auto_fqdn</vt:lpstr>
      <vt:lpstr>sample_vvs_dr_flt_fleet_manager_fqdn</vt:lpstr>
      <vt:lpstr>sample_vvs_dr_flt_fleet_manager_hostname</vt:lpstr>
      <vt:lpstr>sample_vvs_dr_flt_logs_nodea_fqdn</vt:lpstr>
      <vt:lpstr>sample_vvs_dr_flt_logs_nodeb_fqdn</vt:lpstr>
      <vt:lpstr>sample_vvs_dr_flt_logs_nodec_fqdn</vt:lpstr>
      <vt:lpstr>sample_vvs_dr_flt_net_nodea_fqdn</vt:lpstr>
      <vt:lpstr>sample_vvs_dr_flt_net_nodeb_fqdn</vt:lpstr>
      <vt:lpstr>sample_vvs_dr_flt_net_nodec_fqdn</vt:lpstr>
      <vt:lpstr>sample_vvs_dr_flt_ops_nodea_fqdn</vt:lpstr>
      <vt:lpstr>sample_vvs_dr_flt_ops_nodea_hostname</vt:lpstr>
      <vt:lpstr>sample_vvs_dr_flt_ops_nodeb_fqdn</vt:lpstr>
      <vt:lpstr>sample_vvs_dr_flt_ops_nodeb_hostname</vt:lpstr>
      <vt:lpstr>sample_vvs_dr_flt_ops_nodec_fqdn</vt:lpstr>
      <vt:lpstr>sample_vvs_dr_flt_ops_nodec_hostname</vt:lpstr>
      <vt:lpstr>sample_vvs_dr_mgmt_az1_mgmt_vm_pg</vt:lpstr>
      <vt:lpstr>sample_vvs_dr_mgmt_cl01_cluster</vt:lpstr>
      <vt:lpstr>sample_vvs_dr_mgmt_cl01_datastore</vt:lpstr>
      <vt:lpstr>sample_vvs_dr_mgmt_vc_fqdn</vt:lpstr>
      <vt:lpstr>sample_vvs_dr_ntp1_server</vt:lpstr>
      <vt:lpstr>sample_vvs_dr_parent_dns_zone</vt:lpstr>
      <vt:lpstr>sample_vvs_dr_sso_domain</vt:lpstr>
      <vt:lpstr>sample_vvs_dr_vr_password</vt:lpstr>
      <vt:lpstr>sample_vvs_dr_vr_username</vt:lpstr>
      <vt:lpstr>sample_vvs_mgmt_dr_vlr_fqdn</vt:lpstr>
      <vt:lpstr>sample_vvs_mgmt_dr_vlr_hostname</vt:lpstr>
      <vt:lpstr>sample_witness_dns_zone</vt:lpstr>
      <vt:lpstr>sample_wld_administrator_vsphere_local_password</vt:lpstr>
      <vt:lpstr>sample_wld_avilb_cluster_name</vt:lpstr>
      <vt:lpstr>sample_wld_avilb_cluster_version</vt:lpstr>
      <vt:lpstr>sample_wld_avilb_fqdn</vt:lpstr>
      <vt:lpstr>sample_wld_avilb_ip</vt:lpstr>
      <vt:lpstr>sample_wld_avilb_mgra_ip</vt:lpstr>
      <vt:lpstr>sample_wld_avilb_mgrb_ip</vt:lpstr>
      <vt:lpstr>sample_wld_avilb_mgrc_ip</vt:lpstr>
      <vt:lpstr>sample_wld_az1_edge_overlay_cidr</vt:lpstr>
      <vt:lpstr>sample_wld_az1_edge_overlay_gateway_ip</vt:lpstr>
      <vt:lpstr>sample_wld_az1_edge_overlay_mask</vt:lpstr>
      <vt:lpstr>sample_wld_az1_edge_overlay_network_pool_name</vt:lpstr>
      <vt:lpstr>sample_wld_az1_edge_overlay_pool_end_ip</vt:lpstr>
      <vt:lpstr>sample_wld_az1_edge_overlay_pool_start_ip</vt:lpstr>
      <vt:lpstr>sample_wld_az1_edge_overlay_vlan</vt:lpstr>
      <vt:lpstr>sample_wld_az1_en1_edge_overlay_interface_ip_1_ip</vt:lpstr>
      <vt:lpstr>sample_wld_az1_en1_edge_overlay_interface_ip_2_ip</vt:lpstr>
      <vt:lpstr>sample_wld_az1_en1_eth0_uplink0</vt:lpstr>
      <vt:lpstr>sample_wld_az1_en1_eth0_uplink1</vt:lpstr>
      <vt:lpstr>sample_wld_az1_en1_eth1_uplink0</vt:lpstr>
      <vt:lpstr>sample_wld_az1_en1_eth1_uplink1</vt:lpstr>
      <vt:lpstr>sample_wld_az1_en1_fqdn</vt:lpstr>
      <vt:lpstr>sample_wld_az1_en1_hostname</vt:lpstr>
      <vt:lpstr>sample_wld_az1_en1_mgmt_cidr</vt:lpstr>
      <vt:lpstr>sample_wld_az1_en1_mgmt_ip</vt:lpstr>
      <vt:lpstr>sample_wld_az1_en1_uplink01_interface_cidr</vt:lpstr>
      <vt:lpstr>sample_wld_az1_en1_uplink02_interface_cidr</vt:lpstr>
      <vt:lpstr>sample_wld_az1_en2_edge_overlay_interface_ip_1_ip</vt:lpstr>
      <vt:lpstr>sample_wld_az1_en2_edge_overlay_interface_ip_2_ip</vt:lpstr>
      <vt:lpstr>sample_wld_az1_en2_eth0_uplink0</vt:lpstr>
      <vt:lpstr>sample_wld_az1_en2_eth0_uplink1</vt:lpstr>
      <vt:lpstr>sample_wld_az1_en2_eth1_uplink0</vt:lpstr>
      <vt:lpstr>sample_wld_az1_en2_eth1_uplink1</vt:lpstr>
      <vt:lpstr>sample_wld_az1_en2_fqdn</vt:lpstr>
      <vt:lpstr>sample_wld_az1_en2_hostname</vt:lpstr>
      <vt:lpstr>sample_wld_az1_en2_mgmt_cidr</vt:lpstr>
      <vt:lpstr>sample_wld_az1_en2_mgmt_ip</vt:lpstr>
      <vt:lpstr>sample_wld_az1_en2_uplink01_interface_cidr</vt:lpstr>
      <vt:lpstr>sample_wld_az1_en2_uplink02_interface_cidr</vt:lpstr>
      <vt:lpstr>sample_wld_az1_host_fqdns</vt:lpstr>
      <vt:lpstr>sample_wld_az1_host_mgmt_ips</vt:lpstr>
      <vt:lpstr>sample_wld_az1_host_overlay_cidr</vt:lpstr>
      <vt:lpstr>sample_wld_az1_host_overlay_gateway_ip</vt:lpstr>
      <vt:lpstr>sample_wld_az1_host_overlay_mtu</vt:lpstr>
      <vt:lpstr>sample_wld_az1_host_overlay_network_pool_description</vt:lpstr>
      <vt:lpstr>sample_wld_az1_host_overlay_network_pool_name</vt:lpstr>
      <vt:lpstr>sample_wld_az1_host_overlay_pool_end_ip</vt:lpstr>
      <vt:lpstr>sample_wld_az1_host_overlay_pool_start_ip</vt:lpstr>
      <vt:lpstr>sample_wld_az1_host_overlay_uplink_profile_name</vt:lpstr>
      <vt:lpstr>sample_wld_az1_host_overlay_vlan</vt:lpstr>
      <vt:lpstr>sample_wld_az1_host1_fqdn</vt:lpstr>
      <vt:lpstr>sample_wld_az1_host1_mgmt_ip</vt:lpstr>
      <vt:lpstr>sample_wld_az1_host1_vrms_ip</vt:lpstr>
      <vt:lpstr>sample_wld_az1_host10_fqdn</vt:lpstr>
      <vt:lpstr>sample_wld_az1_host10_mgmt_ip</vt:lpstr>
      <vt:lpstr>sample_wld_az1_host10_vrms_ip</vt:lpstr>
      <vt:lpstr>sample_wld_az1_host11_fqdn</vt:lpstr>
      <vt:lpstr>sample_wld_az1_host11_mgmt_ip</vt:lpstr>
      <vt:lpstr>sample_wld_az1_host11_vrms_ip</vt:lpstr>
      <vt:lpstr>sample_wld_az1_host12_fqdn</vt:lpstr>
      <vt:lpstr>sample_wld_az1_host12_mgmt_ip</vt:lpstr>
      <vt:lpstr>sample_wld_az1_host12_vrms_ip</vt:lpstr>
      <vt:lpstr>sample_wld_az1_host13_fqdn</vt:lpstr>
      <vt:lpstr>sample_wld_az1_host13_mgmt_ip</vt:lpstr>
      <vt:lpstr>sample_wld_az1_host13_vrms_ip</vt:lpstr>
      <vt:lpstr>sample_wld_az1_host14_fqdn</vt:lpstr>
      <vt:lpstr>sample_wld_az1_host14_mgmt_ip</vt:lpstr>
      <vt:lpstr>sample_wld_az1_host14_vrms_ip</vt:lpstr>
      <vt:lpstr>sample_wld_az1_host15_fqdn</vt:lpstr>
      <vt:lpstr>sample_wld_az1_host15_mgmt_ip</vt:lpstr>
      <vt:lpstr>sample_wld_az1_host15_vrms_ip</vt:lpstr>
      <vt:lpstr>sample_wld_az1_host16_fqdn</vt:lpstr>
      <vt:lpstr>sample_wld_az1_host16_mgmt_ip</vt:lpstr>
      <vt:lpstr>sample_wld_az1_host16_vrms_ip</vt:lpstr>
      <vt:lpstr>sample_wld_az1_host2_fqdn</vt:lpstr>
      <vt:lpstr>sample_wld_az1_host2_mgmt_ip</vt:lpstr>
      <vt:lpstr>sample_wld_az1_host2_vrms_ip</vt:lpstr>
      <vt:lpstr>sample_wld_az1_host3_fqdn</vt:lpstr>
      <vt:lpstr>sample_wld_az1_host3_mgmt_ip</vt:lpstr>
      <vt:lpstr>sample_wld_az1_host3_vrms_ip</vt:lpstr>
      <vt:lpstr>sample_wld_az1_host4_fqdn</vt:lpstr>
      <vt:lpstr>sample_wld_az1_host4_mgmt_ip</vt:lpstr>
      <vt:lpstr>sample_wld_az1_host4_vrms_ip</vt:lpstr>
      <vt:lpstr>sample_wld_az1_host5_fqdn</vt:lpstr>
      <vt:lpstr>sample_wld_az1_host5_mgmt_ip</vt:lpstr>
      <vt:lpstr>sample_wld_az1_host5_vrms_ip</vt:lpstr>
      <vt:lpstr>sample_wld_az1_host6_fqdn</vt:lpstr>
      <vt:lpstr>sample_wld_az1_host6_mgmt_ip</vt:lpstr>
      <vt:lpstr>sample_wld_az1_host6_vrms_ip</vt:lpstr>
      <vt:lpstr>sample_wld_az1_host7_fqdn</vt:lpstr>
      <vt:lpstr>sample_wld_az1_host7_mgmt_ip</vt:lpstr>
      <vt:lpstr>sample_wld_az1_host7_vrms_ip</vt:lpstr>
      <vt:lpstr>sample_wld_az1_host8_fqdn</vt:lpstr>
      <vt:lpstr>sample_wld_az1_host8_mgmt_ip</vt:lpstr>
      <vt:lpstr>sample_wld_az1_host8_vrms_ip</vt:lpstr>
      <vt:lpstr>sample_wld_az1_host9_fqdn</vt:lpstr>
      <vt:lpstr>sample_wld_az1_host9_mgmt_ip</vt:lpstr>
      <vt:lpstr>sample_wld_az1_host9_vrms_ip</vt:lpstr>
      <vt:lpstr>sample_wld_az1_mgmt_cidr</vt:lpstr>
      <vt:lpstr>sample_wld_az1_mgmt_gateway_ip</vt:lpstr>
      <vt:lpstr>sample_wld_az1_mgmt_mtu</vt:lpstr>
      <vt:lpstr>sample_wld_az1_mgmt_vlan</vt:lpstr>
      <vt:lpstr>sample_wld_az1_mgmt_vm_cidr</vt:lpstr>
      <vt:lpstr>sample_wld_az1_mgmt_vm_gateway_ip</vt:lpstr>
      <vt:lpstr>sample_wld_az1_mgmt_vm_mtu</vt:lpstr>
      <vt:lpstr>sample_wld_az1_mgmt_vm_vlan</vt:lpstr>
      <vt:lpstr>sample_wld_az1_pool_name</vt:lpstr>
      <vt:lpstr>sample_wld_az1_principal_storage_cidr</vt:lpstr>
      <vt:lpstr>sample_wld_az1_principal_storage_gateway_ip</vt:lpstr>
      <vt:lpstr>sample_wld_az1_principal_storage_mask</vt:lpstr>
      <vt:lpstr>sample_wld_az1_principal_storage_mtu</vt:lpstr>
      <vt:lpstr>sample_wld_az1_principal_storage_network</vt:lpstr>
      <vt:lpstr>sample_wld_az1_principal_storage_pool_end_ip</vt:lpstr>
      <vt:lpstr>sample_wld_az1_principal_storage_pool_start_ip</vt:lpstr>
      <vt:lpstr>sample_wld_az1_principal_storage_vlan</vt:lpstr>
      <vt:lpstr>sample_wld_az1_rack1_host_overlay_network_profile_name</vt:lpstr>
      <vt:lpstr>sample_wld_az1_rack2_edge_overlay_gateway_ip</vt:lpstr>
      <vt:lpstr>sample_wld_az1_rack2_edge_overlay_mask</vt:lpstr>
      <vt:lpstr>sample_wld_az1_rack2_edge_overlay_mtu</vt:lpstr>
      <vt:lpstr>sample_wld_az1_rack2_edge_overlay_network</vt:lpstr>
      <vt:lpstr>sample_wld_az1_rack2_edge_overlay_network_pool_name</vt:lpstr>
      <vt:lpstr>sample_wld_az1_rack2_edge_overlay_pool_end_ip</vt:lpstr>
      <vt:lpstr>sample_wld_az1_rack2_edge_overlay_pool_start_ip</vt:lpstr>
      <vt:lpstr>sample_wld_az1_rack2_edge_overlay_vlan</vt:lpstr>
      <vt:lpstr>sample_wld_az1_rack2_host_hostnames</vt:lpstr>
      <vt:lpstr>sample_wld_az1_rack2_host_mgmt_ips</vt:lpstr>
      <vt:lpstr>sample_wld_az1_rack2_host_overlay_cidr</vt:lpstr>
      <vt:lpstr>sample_wld_az1_rack2_host_overlay_gateway_ip</vt:lpstr>
      <vt:lpstr>sample_wld_az1_rack2_host_overlay_mask</vt:lpstr>
      <vt:lpstr>sample_wld_az1_rack2_host_overlay_mtu</vt:lpstr>
      <vt:lpstr>sample_wld_az1_rack2_host_overlay_network</vt:lpstr>
      <vt:lpstr>sample_wld_az1_rack2_host_overlay_network_pool_name</vt:lpstr>
      <vt:lpstr>sample_wld_az1_rack2_host_overlay_network_profile_name</vt:lpstr>
      <vt:lpstr>sample_wld_az1_rack2_host_overlay_pool_end_ip</vt:lpstr>
      <vt:lpstr>sample_wld_az1_rack2_host_overlay_pool_start_ip</vt:lpstr>
      <vt:lpstr>sample_wld_az1_rack2_host_overlay_uplink_profile_name</vt:lpstr>
      <vt:lpstr>sample_wld_az1_rack2_host_overlay_vlan</vt:lpstr>
      <vt:lpstr>sample_wld_az1_rack2_host1_fqdn</vt:lpstr>
      <vt:lpstr>sample_wld_az1_rack2_host1_mgmt_ip</vt:lpstr>
      <vt:lpstr>sample_wld_az1_rack2_host10_fqdn</vt:lpstr>
      <vt:lpstr>sample_wld_az1_rack2_host10_mgmt_ip</vt:lpstr>
      <vt:lpstr>sample_wld_az1_rack2_host11_fqdn</vt:lpstr>
      <vt:lpstr>sample_wld_az1_rack2_host11_mgmt_ip</vt:lpstr>
      <vt:lpstr>sample_wld_az1_rack2_host12_fqdn</vt:lpstr>
      <vt:lpstr>sample_wld_az1_rack2_host12_mgmt_ip</vt:lpstr>
      <vt:lpstr>sample_wld_az1_rack2_host13_fqdn</vt:lpstr>
      <vt:lpstr>sample_wld_az1_rack2_host13_mgmt_ip</vt:lpstr>
      <vt:lpstr>sample_wld_az1_rack2_host14_fqdn</vt:lpstr>
      <vt:lpstr>sample_wld_az1_rack2_host14_mgmt_ip</vt:lpstr>
      <vt:lpstr>sample_wld_az1_rack2_host15_fqdn</vt:lpstr>
      <vt:lpstr>sample_wld_az1_rack2_host15_mgmt_ip</vt:lpstr>
      <vt:lpstr>sample_wld_az1_rack2_host16_fqdn</vt:lpstr>
      <vt:lpstr>sample_wld_az1_rack2_host16_mgmt_ip</vt:lpstr>
      <vt:lpstr>sample_wld_az1_rack2_host2_fqdn</vt:lpstr>
      <vt:lpstr>sample_wld_az1_rack2_host2_mgmt_ip</vt:lpstr>
      <vt:lpstr>sample_wld_az1_rack2_host3_fqdn</vt:lpstr>
      <vt:lpstr>sample_wld_az1_rack2_host3_mgmt_ip</vt:lpstr>
      <vt:lpstr>sample_wld_az1_rack2_host4_fqdn</vt:lpstr>
      <vt:lpstr>sample_wld_az1_rack2_host4_mgmt_ip</vt:lpstr>
      <vt:lpstr>sample_wld_az1_rack2_host5_fqdn</vt:lpstr>
      <vt:lpstr>sample_wld_az1_rack2_host5_mgmt_ip</vt:lpstr>
      <vt:lpstr>sample_wld_az1_rack2_host6_fqdn</vt:lpstr>
      <vt:lpstr>sample_wld_az1_rack2_host6_mgmt_ip</vt:lpstr>
      <vt:lpstr>sample_wld_az1_rack2_host7_fqdn</vt:lpstr>
      <vt:lpstr>sample_wld_az1_rack2_host7_mgmt_ip</vt:lpstr>
      <vt:lpstr>sample_wld_az1_rack2_host8_fqdn</vt:lpstr>
      <vt:lpstr>sample_wld_az1_rack2_host8_mgmt_ip</vt:lpstr>
      <vt:lpstr>sample_wld_az1_rack2_host9_fqdn</vt:lpstr>
      <vt:lpstr>sample_wld_az1_rack2_host9_mgmt_ip</vt:lpstr>
      <vt:lpstr>sample_wld_az1_rack2_mgmt_cidr</vt:lpstr>
      <vt:lpstr>sample_wld_az1_rack2_mgmt_gateway_ip</vt:lpstr>
      <vt:lpstr>sample_wld_az1_rack2_mgmt_mtu</vt:lpstr>
      <vt:lpstr>sample_wld_az1_rack2_mgmt_vlan</vt:lpstr>
      <vt:lpstr>sample_wld_az1_rack2_mgmt_vm_cidr</vt:lpstr>
      <vt:lpstr>sample_wld_az1_rack2_mgmt_vm_gateway_ip</vt:lpstr>
      <vt:lpstr>sample_wld_az1_rack2_mgmt_vm_mtu</vt:lpstr>
      <vt:lpstr>sample_wld_az1_rack2_mgmt_vm_vlan</vt:lpstr>
      <vt:lpstr>sample_wld_az1_rack2_pool_name</vt:lpstr>
      <vt:lpstr>sample_wld_az1_rack2_principal_storage_cidr</vt:lpstr>
      <vt:lpstr>sample_wld_az1_rack2_principal_storage_gateway_ip</vt:lpstr>
      <vt:lpstr>sample_wld_az1_rack2_principal_storage_mask</vt:lpstr>
      <vt:lpstr>sample_wld_az1_rack2_principal_storage_mtu</vt:lpstr>
      <vt:lpstr>sample_wld_az1_rack2_principal_storage_network</vt:lpstr>
      <vt:lpstr>sample_wld_az1_rack2_principal_storage_pool_end_ip</vt:lpstr>
      <vt:lpstr>sample_wld_az1_rack2_principal_storage_pool_start_ip</vt:lpstr>
      <vt:lpstr>sample_wld_az1_rack2_principal_storage_vlan</vt:lpstr>
      <vt:lpstr>sample_wld_az1_rack2_rtep_ip_pool_name</vt:lpstr>
      <vt:lpstr>sample_wld_az1_rack2_secondary_storage_cidr</vt:lpstr>
      <vt:lpstr>sample_wld_az1_rack2_secondary_storage_gateway_ip</vt:lpstr>
      <vt:lpstr>sample_wld_az1_rack2_secondary_storage_mask</vt:lpstr>
      <vt:lpstr>sample_wld_az1_rack2_secondary_storage_mtu</vt:lpstr>
      <vt:lpstr>sample_wld_az1_rack2_secondary_storage_network</vt:lpstr>
      <vt:lpstr>sample_wld_az1_rack2_secondary_storage_pool_end_ip</vt:lpstr>
      <vt:lpstr>sample_wld_az1_rack2_secondary_storage_pool_start_ip</vt:lpstr>
      <vt:lpstr>sample_wld_az1_rack2_secondary_storage_vlan</vt:lpstr>
      <vt:lpstr>sample_wld_az1_rack2_tor1_peer_asn</vt:lpstr>
      <vt:lpstr>sample_wld_az1_rack2_tor1_peer_bgp_password</vt:lpstr>
      <vt:lpstr>sample_wld_az1_rack2_tor1_peer_ip</vt:lpstr>
      <vt:lpstr>sample_wld_az1_rack2_tor2_peer_asn</vt:lpstr>
      <vt:lpstr>sample_wld_az1_rack2_tor2_peer_bgp_password</vt:lpstr>
      <vt:lpstr>sample_wld_az1_rack2_tor2_peer_ip</vt:lpstr>
      <vt:lpstr>sample_wld_az1_rack2_uplink01_gateway_ip</vt:lpstr>
      <vt:lpstr>sample_wld_az1_rack2_uplink01_mask</vt:lpstr>
      <vt:lpstr>sample_wld_az1_rack2_uplink01_mtu</vt:lpstr>
      <vt:lpstr>sample_wld_az1_rack2_uplink01_network</vt:lpstr>
      <vt:lpstr>sample_wld_az1_rack2_uplink01_vlan</vt:lpstr>
      <vt:lpstr>sample_wld_az1_rack2_uplink02_gateway_ip</vt:lpstr>
      <vt:lpstr>sample_wld_az1_rack2_uplink02_mask</vt:lpstr>
      <vt:lpstr>sample_wld_az1_rack2_uplink02_mtu</vt:lpstr>
      <vt:lpstr>sample_wld_az1_rack2_uplink02_network</vt:lpstr>
      <vt:lpstr>sample_wld_az1_rack2_uplink02_vlan</vt:lpstr>
      <vt:lpstr>sample_wld_az1_rack2_vmotion_cidr</vt:lpstr>
      <vt:lpstr>sample_wld_az1_rack2_vmotion_gateway_ip</vt:lpstr>
      <vt:lpstr>sample_wld_az1_rack2_vmotion_mask</vt:lpstr>
      <vt:lpstr>sample_wld_az1_rack2_vmotion_mtu</vt:lpstr>
      <vt:lpstr>sample_wld_az1_rack2_vmotion_network</vt:lpstr>
      <vt:lpstr>sample_wld_az1_rack2_vmotion_pool_end_ip</vt:lpstr>
      <vt:lpstr>sample_wld_az1_rack2_vmotion_pool_start_ip</vt:lpstr>
      <vt:lpstr>sample_wld_az1_rack2_vmotion_vlan</vt:lpstr>
      <vt:lpstr>sample_wld_az1_rack2_vsan_fault_domain</vt:lpstr>
      <vt:lpstr>sample_wld_az1_rack3_edge_overlay_gateway_ip</vt:lpstr>
      <vt:lpstr>sample_wld_az1_rack3_edge_overlay_mask</vt:lpstr>
      <vt:lpstr>sample_wld_az1_rack3_edge_overlay_mtu</vt:lpstr>
      <vt:lpstr>sample_wld_az1_rack3_edge_overlay_network</vt:lpstr>
      <vt:lpstr>sample_wld_az1_rack3_edge_overlay_network_pool_name</vt:lpstr>
      <vt:lpstr>sample_wld_az1_rack3_edge_overlay_pool_end_ip</vt:lpstr>
      <vt:lpstr>sample_wld_az1_rack3_edge_overlay_pool_start_ip</vt:lpstr>
      <vt:lpstr>sample_wld_az1_rack3_edge_overlay_vlan</vt:lpstr>
      <vt:lpstr>sample_wld_az1_rack3_host_hostnames</vt:lpstr>
      <vt:lpstr>sample_wld_az1_rack3_host_mgmt_ips</vt:lpstr>
      <vt:lpstr>sample_wld_az1_rack3_host_overlay_cidr</vt:lpstr>
      <vt:lpstr>sample_wld_az1_rack3_host_overlay_gateway_ip</vt:lpstr>
      <vt:lpstr>sample_wld_az1_rack3_host_overlay_mask</vt:lpstr>
      <vt:lpstr>sample_wld_az1_rack3_host_overlay_mtu</vt:lpstr>
      <vt:lpstr>sample_wld_az1_rack3_host_overlay_network</vt:lpstr>
      <vt:lpstr>sample_wld_az1_rack3_host_overlay_network_pool_name</vt:lpstr>
      <vt:lpstr>sample_wld_az1_rack3_host_overlay_network_profile_name</vt:lpstr>
      <vt:lpstr>sample_wld_az1_rack3_host_overlay_pool_end_ip</vt:lpstr>
      <vt:lpstr>sample_wld_az1_rack3_host_overlay_pool_start_ip</vt:lpstr>
      <vt:lpstr>sample_wld_az1_rack3_host_overlay_uplink_profile_name</vt:lpstr>
      <vt:lpstr>sample_wld_az1_rack3_host_overlay_vlan</vt:lpstr>
      <vt:lpstr>sample_wld_az1_rack3_host1_fqdn</vt:lpstr>
      <vt:lpstr>sample_wld_az1_rack3_host1_mgmt_ip</vt:lpstr>
      <vt:lpstr>sample_wld_az1_rack3_host10_fqdn</vt:lpstr>
      <vt:lpstr>sample_wld_az1_rack3_host10_mgmt_ip</vt:lpstr>
      <vt:lpstr>sample_wld_az1_rack3_host11_fqdn</vt:lpstr>
      <vt:lpstr>sample_wld_az1_rack3_host11_mgmt_ip</vt:lpstr>
      <vt:lpstr>sample_wld_az1_rack3_host12_fqdn</vt:lpstr>
      <vt:lpstr>sample_wld_az1_rack3_host12_mgmt_ip</vt:lpstr>
      <vt:lpstr>sample_wld_az1_rack3_host13_fqdn</vt:lpstr>
      <vt:lpstr>sample_wld_az1_rack3_host13_mgmt_ip</vt:lpstr>
      <vt:lpstr>sample_wld_az1_rack3_host14_fqdn</vt:lpstr>
      <vt:lpstr>sample_wld_az1_rack3_host14_mgmt_ip</vt:lpstr>
      <vt:lpstr>sample_wld_az1_rack3_host15_fqdn</vt:lpstr>
      <vt:lpstr>sample_wld_az1_rack3_host15_mgmt_ip</vt:lpstr>
      <vt:lpstr>sample_wld_az1_rack3_host16_fqdn</vt:lpstr>
      <vt:lpstr>sample_wld_az1_rack3_host16_mgmt_ip</vt:lpstr>
      <vt:lpstr>sample_wld_az1_rack3_host2_fqdn</vt:lpstr>
      <vt:lpstr>sample_wld_az1_rack3_host2_mgmt_ip</vt:lpstr>
      <vt:lpstr>sample_wld_az1_rack3_host3_fqdn</vt:lpstr>
      <vt:lpstr>sample_wld_az1_rack3_host3_mgmt_ip</vt:lpstr>
      <vt:lpstr>sample_wld_az1_rack3_host4_fqdn</vt:lpstr>
      <vt:lpstr>sample_wld_az1_rack3_host4_mgmt_ip</vt:lpstr>
      <vt:lpstr>sample_wld_az1_rack3_host5_fqdn</vt:lpstr>
      <vt:lpstr>sample_wld_az1_rack3_host5_mgmt_ip</vt:lpstr>
      <vt:lpstr>sample_wld_az1_rack3_host6_fqdn</vt:lpstr>
      <vt:lpstr>sample_wld_az1_rack3_host6_mgmt_ip</vt:lpstr>
      <vt:lpstr>sample_wld_az1_rack3_host7_fqdn</vt:lpstr>
      <vt:lpstr>sample_wld_az1_rack3_host7_mgmt_ip</vt:lpstr>
      <vt:lpstr>sample_wld_az1_rack3_host8_fqdn</vt:lpstr>
      <vt:lpstr>sample_wld_az1_rack3_host8_mgmt_ip</vt:lpstr>
      <vt:lpstr>sample_wld_az1_rack3_host9_fqdn</vt:lpstr>
      <vt:lpstr>sample_wld_az1_rack3_host9_mgmt_ip</vt:lpstr>
      <vt:lpstr>sample_wld_az1_rack3_mgmt_cidr</vt:lpstr>
      <vt:lpstr>sample_wld_az1_rack3_mgmt_gateway_ip</vt:lpstr>
      <vt:lpstr>sample_wld_az1_rack3_mgmt_mtu</vt:lpstr>
      <vt:lpstr>sample_wld_az1_rack3_mgmt_vlan</vt:lpstr>
      <vt:lpstr>sample_wld_az1_rack3_mgmt_vm_cidr</vt:lpstr>
      <vt:lpstr>sample_wld_az1_rack3_mgmt_vm_gateway_ip</vt:lpstr>
      <vt:lpstr>sample_wld_az1_rack3_mgmt_vm_mtu</vt:lpstr>
      <vt:lpstr>sample_wld_az1_rack3_mgmt_vm_vlan</vt:lpstr>
      <vt:lpstr>sample_wld_az1_rack3_pool_name</vt:lpstr>
      <vt:lpstr>sample_wld_az1_rack3_principal_storage_cidr</vt:lpstr>
      <vt:lpstr>sample_wld_az1_rack3_principal_storage_gateway_ip</vt:lpstr>
      <vt:lpstr>sample_wld_az1_rack3_principal_storage_mask</vt:lpstr>
      <vt:lpstr>sample_wld_az1_rack3_principal_storage_mtu</vt:lpstr>
      <vt:lpstr>sample_wld_az1_rack3_principal_storage_network</vt:lpstr>
      <vt:lpstr>sample_wld_az1_rack3_principal_storage_pool_end_ip</vt:lpstr>
      <vt:lpstr>sample_wld_az1_rack3_principal_storage_pool_start_ip</vt:lpstr>
      <vt:lpstr>sample_wld_az1_rack3_principal_storage_vlan</vt:lpstr>
      <vt:lpstr>sample_wld_az1_rack3_rtep_ip_pool_name</vt:lpstr>
      <vt:lpstr>sample_wld_az1_rack3_secondary_storage_cidr</vt:lpstr>
      <vt:lpstr>sample_wld_az1_rack3_secondary_storage_gateway_ip</vt:lpstr>
      <vt:lpstr>sample_wld_az1_rack3_secondary_storage_mask</vt:lpstr>
      <vt:lpstr>sample_wld_az1_rack3_secondary_storage_mtu</vt:lpstr>
      <vt:lpstr>sample_wld_az1_rack3_secondary_storage_network</vt:lpstr>
      <vt:lpstr>sample_wld_az1_rack3_secondary_storage_pool_end_ip</vt:lpstr>
      <vt:lpstr>sample_wld_az1_rack3_secondary_storage_pool_start_ip</vt:lpstr>
      <vt:lpstr>sample_wld_az1_rack3_secondary_storage_vlan</vt:lpstr>
      <vt:lpstr>sample_wld_az1_rack3_tor1_peer_asn</vt:lpstr>
      <vt:lpstr>sample_wld_az1_rack3_tor1_peer_bgp_password</vt:lpstr>
      <vt:lpstr>sample_wld_az1_rack3_tor1_peer_ip</vt:lpstr>
      <vt:lpstr>sample_wld_az1_rack3_tor2_peer_asn</vt:lpstr>
      <vt:lpstr>sample_wld_az1_rack3_tor2_peer_bgp_password</vt:lpstr>
      <vt:lpstr>sample_wld_az1_rack3_tor2_peer_ip</vt:lpstr>
      <vt:lpstr>sample_wld_az1_rack3_uplink01_gateway_ip</vt:lpstr>
      <vt:lpstr>sample_wld_az1_rack3_uplink01_mask</vt:lpstr>
      <vt:lpstr>sample_wld_az1_rack3_uplink01_mtu</vt:lpstr>
      <vt:lpstr>sample_wld_az1_rack3_uplink01_network</vt:lpstr>
      <vt:lpstr>sample_wld_az1_rack3_uplink01_vlan</vt:lpstr>
      <vt:lpstr>sample_wld_az1_rack3_uplink02_gateway_ip</vt:lpstr>
      <vt:lpstr>sample_wld_az1_rack3_uplink02_mask</vt:lpstr>
      <vt:lpstr>sample_wld_az1_rack3_uplink02_mtu</vt:lpstr>
      <vt:lpstr>sample_wld_az1_rack3_uplink02_network</vt:lpstr>
      <vt:lpstr>sample_wld_az1_rack3_uplink02_vlan</vt:lpstr>
      <vt:lpstr>sample_wld_az1_rack3_vmotion_cidr</vt:lpstr>
      <vt:lpstr>sample_wld_az1_rack3_vmotion_gateway_ip</vt:lpstr>
      <vt:lpstr>sample_wld_az1_rack3_vmotion_mask</vt:lpstr>
      <vt:lpstr>sample_wld_az1_rack3_vmotion_mtu</vt:lpstr>
      <vt:lpstr>sample_wld_az1_rack3_vmotion_network</vt:lpstr>
      <vt:lpstr>sample_wld_az1_rack3_vmotion_pool_end_ip</vt:lpstr>
      <vt:lpstr>sample_wld_az1_rack3_vmotion_pool_start_ip</vt:lpstr>
      <vt:lpstr>sample_wld_az1_rack3_vmotion_vlan</vt:lpstr>
      <vt:lpstr>sample_wld_az1_rack3_vsan_fault_domain</vt:lpstr>
      <vt:lpstr>sample_wld_az1_rack4_edge_overlay_gateway_ip</vt:lpstr>
      <vt:lpstr>sample_wld_az1_rack4_edge_overlay_mask</vt:lpstr>
      <vt:lpstr>sample_wld_az1_rack4_edge_overlay_mtu</vt:lpstr>
      <vt:lpstr>sample_wld_az1_rack4_edge_overlay_network</vt:lpstr>
      <vt:lpstr>sample_wld_az1_rack4_edge_overlay_network_pool_name</vt:lpstr>
      <vt:lpstr>sample_wld_az1_rack4_edge_overlay_pool_end_ip</vt:lpstr>
      <vt:lpstr>sample_wld_az1_rack4_edge_overlay_pool_start_ip</vt:lpstr>
      <vt:lpstr>sample_wld_az1_rack4_edge_overlay_vlan</vt:lpstr>
      <vt:lpstr>sample_wld_az1_rack4_host_hostnames</vt:lpstr>
      <vt:lpstr>sample_wld_az1_rack4_host_mgmt_ips</vt:lpstr>
      <vt:lpstr>sample_wld_az1_rack4_host_overlay_cidr</vt:lpstr>
      <vt:lpstr>sample_wld_az1_rack4_host_overlay_gateway_ip</vt:lpstr>
      <vt:lpstr>sample_wld_az1_rack4_host_overlay_mask</vt:lpstr>
      <vt:lpstr>sample_wld_az1_rack4_host_overlay_mtu</vt:lpstr>
      <vt:lpstr>sample_wld_az1_rack4_host_overlay_network</vt:lpstr>
      <vt:lpstr>sample_wld_az1_rack4_host_overlay_network_pool_name</vt:lpstr>
      <vt:lpstr>sample_wld_az1_rack4_host_overlay_network_profile_name</vt:lpstr>
      <vt:lpstr>sample_wld_az1_rack4_host_overlay_pool_end_ip</vt:lpstr>
      <vt:lpstr>sample_wld_az1_rack4_host_overlay_pool_start_ip</vt:lpstr>
      <vt:lpstr>sample_wld_az1_rack4_host_overlay_uplink_profile_name</vt:lpstr>
      <vt:lpstr>sample_wld_az1_rack4_host_overlay_vlan</vt:lpstr>
      <vt:lpstr>sample_wld_az1_rack4_host1_fqdn</vt:lpstr>
      <vt:lpstr>sample_wld_az1_rack4_host1_mgmt_ip</vt:lpstr>
      <vt:lpstr>sample_wld_az1_rack4_host10_fqdn</vt:lpstr>
      <vt:lpstr>sample_wld_az1_rack4_host10_mgmt_ip</vt:lpstr>
      <vt:lpstr>sample_wld_az1_rack4_host11_fqdn</vt:lpstr>
      <vt:lpstr>sample_wld_az1_rack4_host11_mgmt_ip</vt:lpstr>
      <vt:lpstr>sample_wld_az1_rack4_host12_fqdn</vt:lpstr>
      <vt:lpstr>sample_wld_az1_rack4_host12_mgmt_ip</vt:lpstr>
      <vt:lpstr>sample_wld_az1_rack4_host13_fqdn</vt:lpstr>
      <vt:lpstr>sample_wld_az1_rack4_host13_mgmt_ip</vt:lpstr>
      <vt:lpstr>sample_wld_az1_rack4_host14_fqdn</vt:lpstr>
      <vt:lpstr>sample_wld_az1_rack4_host14_mgmt_ip</vt:lpstr>
      <vt:lpstr>sample_wld_az1_rack4_host15_fqdn</vt:lpstr>
      <vt:lpstr>sample_wld_az1_rack4_host15_mgmt_ip</vt:lpstr>
      <vt:lpstr>sample_wld_az1_rack4_host16_fqdn</vt:lpstr>
      <vt:lpstr>sample_wld_az1_rack4_host16_mgmt_ip</vt:lpstr>
      <vt:lpstr>sample_wld_az1_rack4_host2_fqdn</vt:lpstr>
      <vt:lpstr>sample_wld_az1_rack4_host2_mgmt_ip</vt:lpstr>
      <vt:lpstr>sample_wld_az1_rack4_host3_fqdn</vt:lpstr>
      <vt:lpstr>sample_wld_az1_rack4_host3_mgmt_ip</vt:lpstr>
      <vt:lpstr>sample_wld_az1_rack4_host4_fqdn</vt:lpstr>
      <vt:lpstr>sample_wld_az1_rack4_host4_mgmt_ip</vt:lpstr>
      <vt:lpstr>sample_wld_az1_rack4_host5_fqdn</vt:lpstr>
      <vt:lpstr>sample_wld_az1_rack4_host5_mgmt_ip</vt:lpstr>
      <vt:lpstr>sample_wld_az1_rack4_host6_fqdn</vt:lpstr>
      <vt:lpstr>sample_wld_az1_rack4_host6_mgmt_ip</vt:lpstr>
      <vt:lpstr>sample_wld_az1_rack4_host7_fqdn</vt:lpstr>
      <vt:lpstr>sample_wld_az1_rack4_host7_mgmt_ip</vt:lpstr>
      <vt:lpstr>sample_wld_az1_rack4_host8_fqdn</vt:lpstr>
      <vt:lpstr>sample_wld_az1_rack4_host8_mgmt_ip</vt:lpstr>
      <vt:lpstr>sample_wld_az1_rack4_host9_fqdn</vt:lpstr>
      <vt:lpstr>sample_wld_az1_rack4_host9_mgmt_ip</vt:lpstr>
      <vt:lpstr>sample_wld_az1_rack4_mgmt_cidr</vt:lpstr>
      <vt:lpstr>sample_wld_az1_rack4_mgmt_gateway_ip</vt:lpstr>
      <vt:lpstr>sample_wld_az1_rack4_mgmt_mtu</vt:lpstr>
      <vt:lpstr>sample_wld_az1_rack4_mgmt_vlan</vt:lpstr>
      <vt:lpstr>sample_wld_az1_rack4_mgmt_vm_cidr</vt:lpstr>
      <vt:lpstr>sample_wld_az1_rack4_mgmt_vm_gateway_ip</vt:lpstr>
      <vt:lpstr>sample_wld_az1_rack4_mgmt_vm_mtu</vt:lpstr>
      <vt:lpstr>sample_wld_az1_rack4_mgmt_vm_vlan</vt:lpstr>
      <vt:lpstr>sample_wld_az1_rack4_pool_name</vt:lpstr>
      <vt:lpstr>sample_wld_az1_rack4_principal_storage_cidr</vt:lpstr>
      <vt:lpstr>sample_wld_az1_rack4_principal_storage_gateway_ip</vt:lpstr>
      <vt:lpstr>sample_wld_az1_rack4_principal_storage_mask</vt:lpstr>
      <vt:lpstr>sample_wld_az1_rack4_principal_storage_mtu</vt:lpstr>
      <vt:lpstr>sample_wld_az1_rack4_principal_storage_network</vt:lpstr>
      <vt:lpstr>sample_wld_az1_rack4_principal_storage_pool_end_ip</vt:lpstr>
      <vt:lpstr>sample_wld_az1_rack4_principal_storage_pool_start_ip</vt:lpstr>
      <vt:lpstr>sample_wld_az1_rack4_principal_storage_vlan</vt:lpstr>
      <vt:lpstr>sample_wld_az1_rack4_rtep_ip_pool_name</vt:lpstr>
      <vt:lpstr>sample_wld_az1_rack4_secondary_storage_cidr</vt:lpstr>
      <vt:lpstr>sample_wld_az1_rack4_secondary_storage_gateway_ip</vt:lpstr>
      <vt:lpstr>sample_wld_az1_rack4_secondary_storage_mask</vt:lpstr>
      <vt:lpstr>sample_wld_az1_rack4_secondary_storage_mtu</vt:lpstr>
      <vt:lpstr>sample_wld_az1_rack4_secondary_storage_network</vt:lpstr>
      <vt:lpstr>sample_wld_az1_rack4_secondary_storage_pool_end_ip</vt:lpstr>
      <vt:lpstr>sample_wld_az1_rack4_secondary_storage_pool_start_ip</vt:lpstr>
      <vt:lpstr>sample_wld_az1_rack4_secondary_storage_vlan</vt:lpstr>
      <vt:lpstr>sample_wld_az1_rack4_tor1_peer_asn</vt:lpstr>
      <vt:lpstr>sample_wld_az1_rack4_tor1_peer_bgp_password</vt:lpstr>
      <vt:lpstr>sample_wld_az1_rack4_tor1_peer_ip</vt:lpstr>
      <vt:lpstr>sample_wld_az1_rack4_tor2_peer_asn</vt:lpstr>
      <vt:lpstr>sample_wld_az1_rack4_tor2_peer_bgp_password</vt:lpstr>
      <vt:lpstr>sample_wld_az1_rack4_tor2_peer_ip</vt:lpstr>
      <vt:lpstr>sample_wld_az1_rack4_uplink01_gateway_ip</vt:lpstr>
      <vt:lpstr>sample_wld_az1_rack4_uplink01_mask</vt:lpstr>
      <vt:lpstr>sample_wld_az1_rack4_uplink01_mtu</vt:lpstr>
      <vt:lpstr>sample_wld_az1_rack4_uplink01_network</vt:lpstr>
      <vt:lpstr>sample_wld_az1_rack4_uplink01_vlan</vt:lpstr>
      <vt:lpstr>sample_wld_az1_rack4_uplink02_gateway_ip</vt:lpstr>
      <vt:lpstr>sample_wld_az1_rack4_uplink02_mask</vt:lpstr>
      <vt:lpstr>sample_wld_az1_rack4_uplink02_mtu</vt:lpstr>
      <vt:lpstr>sample_wld_az1_rack4_uplink02_network</vt:lpstr>
      <vt:lpstr>sample_wld_az1_rack4_uplink02_vlan</vt:lpstr>
      <vt:lpstr>sample_wld_az1_rack4_vmotion_cidr</vt:lpstr>
      <vt:lpstr>sample_wld_az1_rack4_vmotion_gateway_ip</vt:lpstr>
      <vt:lpstr>sample_wld_az1_rack4_vmotion_mask</vt:lpstr>
      <vt:lpstr>sample_wld_az1_rack4_vmotion_mtu</vt:lpstr>
      <vt:lpstr>sample_wld_az1_rack4_vmotion_network</vt:lpstr>
      <vt:lpstr>sample_wld_az1_rack4_vmotion_pool_end_ip</vt:lpstr>
      <vt:lpstr>sample_wld_az1_rack4_vmotion_pool_start_ip</vt:lpstr>
      <vt:lpstr>sample_wld_az1_rack4_vmotion_vlan</vt:lpstr>
      <vt:lpstr>sample_wld_az1_rack4_vsan_fault_domain</vt:lpstr>
      <vt:lpstr>sample_wld_az1_rack5_edge_overlay_gateway_ip</vt:lpstr>
      <vt:lpstr>sample_wld_az1_rack5_edge_overlay_mask</vt:lpstr>
      <vt:lpstr>sample_wld_az1_rack5_edge_overlay_mtu</vt:lpstr>
      <vt:lpstr>sample_wld_az1_rack5_edge_overlay_network</vt:lpstr>
      <vt:lpstr>sample_wld_az1_rack5_edge_overlay_network_pool_name</vt:lpstr>
      <vt:lpstr>sample_wld_az1_rack5_edge_overlay_pool_end_ip</vt:lpstr>
      <vt:lpstr>sample_wld_az1_rack5_edge_overlay_pool_start_ip</vt:lpstr>
      <vt:lpstr>sample_wld_az1_rack5_edge_overlay_vlan</vt:lpstr>
      <vt:lpstr>sample_wld_az1_rack5_host_hostnames</vt:lpstr>
      <vt:lpstr>sample_wld_az1_rack5_host_mgmt_ips</vt:lpstr>
      <vt:lpstr>sample_wld_az1_rack5_host_overlay_cidr</vt:lpstr>
      <vt:lpstr>sample_wld_az1_rack5_host_overlay_gateway_ip</vt:lpstr>
      <vt:lpstr>sample_wld_az1_rack5_host_overlay_mask</vt:lpstr>
      <vt:lpstr>sample_wld_az1_rack5_host_overlay_mtu</vt:lpstr>
      <vt:lpstr>sample_wld_az1_rack5_host_overlay_network</vt:lpstr>
      <vt:lpstr>sample_wld_az1_rack5_host_overlay_network_pool_name</vt:lpstr>
      <vt:lpstr>sample_wld_az1_rack5_host_overlay_network_profile_name</vt:lpstr>
      <vt:lpstr>sample_wld_az1_rack5_host_overlay_pool_end_ip</vt:lpstr>
      <vt:lpstr>sample_wld_az1_rack5_host_overlay_pool_start_ip</vt:lpstr>
      <vt:lpstr>sample_wld_az1_rack5_host_overlay_uplink_profile_name</vt:lpstr>
      <vt:lpstr>sample_wld_az1_rack5_host_overlay_vlan</vt:lpstr>
      <vt:lpstr>sample_wld_az1_rack5_host1_fqdn</vt:lpstr>
      <vt:lpstr>sample_wld_az1_rack5_host1_mgmt_ip</vt:lpstr>
      <vt:lpstr>sample_wld_az1_rack5_host10_fqdn</vt:lpstr>
      <vt:lpstr>sample_wld_az1_rack5_host10_mgmt_ip</vt:lpstr>
      <vt:lpstr>sample_wld_az1_rack5_host11_fqdn</vt:lpstr>
      <vt:lpstr>sample_wld_az1_rack5_host11_mgmt_ip</vt:lpstr>
      <vt:lpstr>sample_wld_az1_rack5_host12_fqdn</vt:lpstr>
      <vt:lpstr>sample_wld_az1_rack5_host12_mgmt_ip</vt:lpstr>
      <vt:lpstr>sample_wld_az1_rack5_host13_fqdn</vt:lpstr>
      <vt:lpstr>sample_wld_az1_rack5_host13_mgmt_ip</vt:lpstr>
      <vt:lpstr>sample_wld_az1_rack5_host14_fqdn</vt:lpstr>
      <vt:lpstr>sample_wld_az1_rack5_host14_mgmt_ip</vt:lpstr>
      <vt:lpstr>sample_wld_az1_rack5_host15_fqdn</vt:lpstr>
      <vt:lpstr>sample_wld_az1_rack5_host15_mgmt_ip</vt:lpstr>
      <vt:lpstr>sample_wld_az1_rack5_host16_fqdn</vt:lpstr>
      <vt:lpstr>sample_wld_az1_rack5_host16_mgmt_ip</vt:lpstr>
      <vt:lpstr>sample_wld_az1_rack5_host2_fqdn</vt:lpstr>
      <vt:lpstr>sample_wld_az1_rack5_host2_mgmt_ip</vt:lpstr>
      <vt:lpstr>sample_wld_az1_rack5_host3_fqdn</vt:lpstr>
      <vt:lpstr>sample_wld_az1_rack5_host3_mgmt_ip</vt:lpstr>
      <vt:lpstr>sample_wld_az1_rack5_host4_fqdn</vt:lpstr>
      <vt:lpstr>sample_wld_az1_rack5_host4_mgmt_ip</vt:lpstr>
      <vt:lpstr>sample_wld_az1_rack5_host5_fqdn</vt:lpstr>
      <vt:lpstr>sample_wld_az1_rack5_host5_mgmt_ip</vt:lpstr>
      <vt:lpstr>sample_wld_az1_rack5_host6_fqdn</vt:lpstr>
      <vt:lpstr>sample_wld_az1_rack5_host6_mgmt_ip</vt:lpstr>
      <vt:lpstr>sample_wld_az1_rack5_host7_fqdn</vt:lpstr>
      <vt:lpstr>sample_wld_az1_rack5_host7_mgmt_ip</vt:lpstr>
      <vt:lpstr>sample_wld_az1_rack5_host8_fqdn</vt:lpstr>
      <vt:lpstr>sample_wld_az1_rack5_host8_mgmt_ip</vt:lpstr>
      <vt:lpstr>sample_wld_az1_rack5_host9_fqdn</vt:lpstr>
      <vt:lpstr>sample_wld_az1_rack5_host9_mgmt_ip</vt:lpstr>
      <vt:lpstr>sample_wld_az1_rack5_mgmt_cidr</vt:lpstr>
      <vt:lpstr>sample_wld_az1_rack5_mgmt_gateway_ip</vt:lpstr>
      <vt:lpstr>sample_wld_az1_rack5_mgmt_mtu</vt:lpstr>
      <vt:lpstr>sample_wld_az1_rack5_mgmt_vlan</vt:lpstr>
      <vt:lpstr>sample_wld_az1_rack5_mgmt_vm_cidr</vt:lpstr>
      <vt:lpstr>sample_wld_az1_rack5_mgmt_vm_gateway_ip</vt:lpstr>
      <vt:lpstr>sample_wld_az1_rack5_mgmt_vm_mtu</vt:lpstr>
      <vt:lpstr>sample_wld_az1_rack5_mgmt_vm_vlan</vt:lpstr>
      <vt:lpstr>sample_wld_az1_rack5_pool_name</vt:lpstr>
      <vt:lpstr>sample_wld_az1_rack5_principal_storage_cidr</vt:lpstr>
      <vt:lpstr>sample_wld_az1_rack5_principal_storage_gateway_ip</vt:lpstr>
      <vt:lpstr>sample_wld_az1_rack5_principal_storage_mask</vt:lpstr>
      <vt:lpstr>sample_wld_az1_rack5_principal_storage_mtu</vt:lpstr>
      <vt:lpstr>sample_wld_az1_rack5_principal_storage_network</vt:lpstr>
      <vt:lpstr>sample_wld_az1_rack5_principal_storage_pool_end_ip</vt:lpstr>
      <vt:lpstr>sample_wld_az1_rack5_principal_storage_pool_start_ip</vt:lpstr>
      <vt:lpstr>sample_wld_az1_rack5_principal_storage_vlan</vt:lpstr>
      <vt:lpstr>sample_wld_az1_rack5_rtep_ip_pool_name</vt:lpstr>
      <vt:lpstr>sample_wld_az1_rack5_secondary_storage_cidr</vt:lpstr>
      <vt:lpstr>sample_wld_az1_rack5_secondary_storage_gateway_ip</vt:lpstr>
      <vt:lpstr>sample_wld_az1_rack5_secondary_storage_mask</vt:lpstr>
      <vt:lpstr>sample_wld_az1_rack5_secondary_storage_mtu</vt:lpstr>
      <vt:lpstr>sample_wld_az1_rack5_secondary_storage_network</vt:lpstr>
      <vt:lpstr>sample_wld_az1_rack5_secondary_storage_pool_end_ip</vt:lpstr>
      <vt:lpstr>sample_wld_az1_rack5_secondary_storage_pool_start_ip</vt:lpstr>
      <vt:lpstr>sample_wld_az1_rack5_secondary_storage_vlan</vt:lpstr>
      <vt:lpstr>sample_wld_az1_rack5_tor1_peer_asn</vt:lpstr>
      <vt:lpstr>sample_wld_az1_rack5_tor1_peer_bgp_password</vt:lpstr>
      <vt:lpstr>sample_wld_az1_rack5_tor1_peer_ip</vt:lpstr>
      <vt:lpstr>sample_wld_az1_rack5_tor2_peer_asn</vt:lpstr>
      <vt:lpstr>sample_wld_az1_rack5_tor2_peer_bgp_password</vt:lpstr>
      <vt:lpstr>sample_wld_az1_rack5_tor2_peer_ip</vt:lpstr>
      <vt:lpstr>sample_wld_az1_rack5_uplink01_gateway_ip</vt:lpstr>
      <vt:lpstr>sample_wld_az1_rack5_uplink01_mask</vt:lpstr>
      <vt:lpstr>sample_wld_az1_rack5_uplink01_mtu</vt:lpstr>
      <vt:lpstr>sample_wld_az1_rack5_uplink01_network</vt:lpstr>
      <vt:lpstr>sample_wld_az1_rack5_uplink01_vlan</vt:lpstr>
      <vt:lpstr>sample_wld_az1_rack5_uplink02_gateway_ip</vt:lpstr>
      <vt:lpstr>sample_wld_az1_rack5_uplink02_mask</vt:lpstr>
      <vt:lpstr>sample_wld_az1_rack5_uplink02_mtu</vt:lpstr>
      <vt:lpstr>sample_wld_az1_rack5_uplink02_network</vt:lpstr>
      <vt:lpstr>sample_wld_az1_rack5_uplink02_vlan</vt:lpstr>
      <vt:lpstr>sample_wld_az1_rack5_vmotion_cidr</vt:lpstr>
      <vt:lpstr>sample_wld_az1_rack5_vmotion_gateway_ip</vt:lpstr>
      <vt:lpstr>sample_wld_az1_rack5_vmotion_mask</vt:lpstr>
      <vt:lpstr>sample_wld_az1_rack5_vmotion_mtu</vt:lpstr>
      <vt:lpstr>sample_wld_az1_rack5_vmotion_network</vt:lpstr>
      <vt:lpstr>sample_wld_az1_rack5_vmotion_pool_end_ip</vt:lpstr>
      <vt:lpstr>sample_wld_az1_rack5_vmotion_pool_start_ip</vt:lpstr>
      <vt:lpstr>sample_wld_az1_rack5_vmotion_vlan</vt:lpstr>
      <vt:lpstr>sample_wld_az1_rack5_vsan_fault_domain</vt:lpstr>
      <vt:lpstr>sample_wld_az1_rack6_edge_overlay_gateway_ip</vt:lpstr>
      <vt:lpstr>sample_wld_az1_rack6_edge_overlay_mask</vt:lpstr>
      <vt:lpstr>sample_wld_az1_rack6_edge_overlay_mtu</vt:lpstr>
      <vt:lpstr>sample_wld_az1_rack6_edge_overlay_network</vt:lpstr>
      <vt:lpstr>sample_wld_az1_rack6_edge_overlay_network_pool_name</vt:lpstr>
      <vt:lpstr>sample_wld_az1_rack6_edge_overlay_pool_end_ip</vt:lpstr>
      <vt:lpstr>sample_wld_az1_rack6_edge_overlay_pool_start_ip</vt:lpstr>
      <vt:lpstr>sample_wld_az1_rack6_edge_overlay_vlan</vt:lpstr>
      <vt:lpstr>sample_wld_az1_rack6_host_hostnames</vt:lpstr>
      <vt:lpstr>sample_wld_az1_rack6_host_mgmt_ips</vt:lpstr>
      <vt:lpstr>sample_wld_az1_rack6_host_overlay_cidr</vt:lpstr>
      <vt:lpstr>sample_wld_az1_rack6_host_overlay_gateway_ip</vt:lpstr>
      <vt:lpstr>sample_wld_az1_rack6_host_overlay_mask</vt:lpstr>
      <vt:lpstr>sample_wld_az1_rack6_host_overlay_mtu</vt:lpstr>
      <vt:lpstr>sample_wld_az1_rack6_host_overlay_network</vt:lpstr>
      <vt:lpstr>sample_wld_az1_rack6_host_overlay_network_pool_name</vt:lpstr>
      <vt:lpstr>sample_wld_az1_rack6_host_overlay_network_profile_name</vt:lpstr>
      <vt:lpstr>sample_wld_az1_rack6_host_overlay_pool_end_ip</vt:lpstr>
      <vt:lpstr>sample_wld_az1_rack6_host_overlay_pool_start_ip</vt:lpstr>
      <vt:lpstr>sample_wld_az1_rack6_host_overlay_uplink_profile_name</vt:lpstr>
      <vt:lpstr>sample_wld_az1_rack6_host_overlay_vlan</vt:lpstr>
      <vt:lpstr>sample_wld_az1_rack6_host1_fqdn</vt:lpstr>
      <vt:lpstr>sample_wld_az1_rack6_host1_mgmt_ip</vt:lpstr>
      <vt:lpstr>sample_wld_az1_rack6_host10_fqdn</vt:lpstr>
      <vt:lpstr>sample_wld_az1_rack6_host10_mgmt_ip</vt:lpstr>
      <vt:lpstr>sample_wld_az1_rack6_host11_fqdn</vt:lpstr>
      <vt:lpstr>sample_wld_az1_rack6_host11_mgmt_ip</vt:lpstr>
      <vt:lpstr>sample_wld_az1_rack6_host12_fqdn</vt:lpstr>
      <vt:lpstr>sample_wld_az1_rack6_host12_mgmt_ip</vt:lpstr>
      <vt:lpstr>sample_wld_az1_rack6_host13_fqdn</vt:lpstr>
      <vt:lpstr>sample_wld_az1_rack6_host13_mgmt_ip</vt:lpstr>
      <vt:lpstr>sample_wld_az1_rack6_host14_fqdn</vt:lpstr>
      <vt:lpstr>sample_wld_az1_rack6_host14_mgmt_ip</vt:lpstr>
      <vt:lpstr>sample_wld_az1_rack6_host15_fqdn</vt:lpstr>
      <vt:lpstr>sample_wld_az1_rack6_host15_mgmt_ip</vt:lpstr>
      <vt:lpstr>sample_wld_az1_rack6_host16_fqdn</vt:lpstr>
      <vt:lpstr>sample_wld_az1_rack6_host16_mgmt_ip</vt:lpstr>
      <vt:lpstr>sample_wld_az1_rack6_host2_fqdn</vt:lpstr>
      <vt:lpstr>sample_wld_az1_rack6_host2_mgmt_ip</vt:lpstr>
      <vt:lpstr>sample_wld_az1_rack6_host3_fqdn</vt:lpstr>
      <vt:lpstr>sample_wld_az1_rack6_host3_mgmt_ip</vt:lpstr>
      <vt:lpstr>sample_wld_az1_rack6_host4_fqdn</vt:lpstr>
      <vt:lpstr>sample_wld_az1_rack6_host4_mgmt_ip</vt:lpstr>
      <vt:lpstr>sample_wld_az1_rack6_host5_fqdn</vt:lpstr>
      <vt:lpstr>sample_wld_az1_rack6_host5_mgmt_ip</vt:lpstr>
      <vt:lpstr>sample_wld_az1_rack6_host6_fqdn</vt:lpstr>
      <vt:lpstr>sample_wld_az1_rack6_host6_mgmt_ip</vt:lpstr>
      <vt:lpstr>sample_wld_az1_rack6_host7_fqdn</vt:lpstr>
      <vt:lpstr>sample_wld_az1_rack6_host7_mgmt_ip</vt:lpstr>
      <vt:lpstr>sample_wld_az1_rack6_host8_fqdn</vt:lpstr>
      <vt:lpstr>sample_wld_az1_rack6_host8_mgmt_ip</vt:lpstr>
      <vt:lpstr>sample_wld_az1_rack6_host9_fqdn</vt:lpstr>
      <vt:lpstr>sample_wld_az1_rack6_host9_mgmt_ip</vt:lpstr>
      <vt:lpstr>sample_wld_az1_rack6_mgmt_cidr</vt:lpstr>
      <vt:lpstr>sample_wld_az1_rack6_mgmt_gateway_ip</vt:lpstr>
      <vt:lpstr>sample_wld_az1_rack6_mgmt_mtu</vt:lpstr>
      <vt:lpstr>sample_wld_az1_rack6_mgmt_vlan</vt:lpstr>
      <vt:lpstr>sample_wld_az1_rack6_mgmt_vm_cidr</vt:lpstr>
      <vt:lpstr>sample_wld_az1_rack6_mgmt_vm_gateway_ip</vt:lpstr>
      <vt:lpstr>sample_wld_az1_rack6_mgmt_vm_mtu</vt:lpstr>
      <vt:lpstr>sample_wld_az1_rack6_mgmt_vm_vlan</vt:lpstr>
      <vt:lpstr>sample_wld_az1_rack6_pool_name</vt:lpstr>
      <vt:lpstr>sample_wld_az1_rack6_principal_storage_cidr</vt:lpstr>
      <vt:lpstr>sample_wld_az1_rack6_principal_storage_gateway_ip</vt:lpstr>
      <vt:lpstr>sample_wld_az1_rack6_principal_storage_mask</vt:lpstr>
      <vt:lpstr>sample_wld_az1_rack6_principal_storage_mtu</vt:lpstr>
      <vt:lpstr>sample_wld_az1_rack6_principal_storage_network</vt:lpstr>
      <vt:lpstr>sample_wld_az1_rack6_principal_storage_pool_end_ip</vt:lpstr>
      <vt:lpstr>sample_wld_az1_rack6_principal_storage_pool_start_ip</vt:lpstr>
      <vt:lpstr>sample_wld_az1_rack6_principal_storage_vlan</vt:lpstr>
      <vt:lpstr>sample_wld_az1_rack6_rtep_ip_pool_name</vt:lpstr>
      <vt:lpstr>sample_wld_az1_rack6_secondary_storage_cidr</vt:lpstr>
      <vt:lpstr>sample_wld_az1_rack6_secondary_storage_gateway_ip</vt:lpstr>
      <vt:lpstr>sample_wld_az1_rack6_secondary_storage_mask</vt:lpstr>
      <vt:lpstr>sample_wld_az1_rack6_secondary_storage_mtu</vt:lpstr>
      <vt:lpstr>sample_wld_az1_rack6_secondary_storage_network</vt:lpstr>
      <vt:lpstr>sample_wld_az1_rack6_secondary_storage_pool_end_ip</vt:lpstr>
      <vt:lpstr>sample_wld_az1_rack6_secondary_storage_pool_start_ip</vt:lpstr>
      <vt:lpstr>sample_wld_az1_rack6_secondary_storage_vlan</vt:lpstr>
      <vt:lpstr>sample_wld_az1_rack6_tor1_peer_asn</vt:lpstr>
      <vt:lpstr>sample_wld_az1_rack6_tor1_peer_bgp_password</vt:lpstr>
      <vt:lpstr>sample_wld_az1_rack6_tor1_peer_ip</vt:lpstr>
      <vt:lpstr>sample_wld_az1_rack6_tor2_peer_asn</vt:lpstr>
      <vt:lpstr>sample_wld_az1_rack6_tor2_peer_bgp_password</vt:lpstr>
      <vt:lpstr>sample_wld_az1_rack6_tor2_peer_ip</vt:lpstr>
      <vt:lpstr>sample_wld_az1_rack6_uplink01_gateway_ip</vt:lpstr>
      <vt:lpstr>sample_wld_az1_rack6_uplink01_mask</vt:lpstr>
      <vt:lpstr>sample_wld_az1_rack6_uplink01_mtu</vt:lpstr>
      <vt:lpstr>sample_wld_az1_rack6_uplink01_network</vt:lpstr>
      <vt:lpstr>sample_wld_az1_rack6_uplink01_vlan</vt:lpstr>
      <vt:lpstr>sample_wld_az1_rack6_uplink02_gateway_ip</vt:lpstr>
      <vt:lpstr>sample_wld_az1_rack6_uplink02_mask</vt:lpstr>
      <vt:lpstr>sample_wld_az1_rack6_uplink02_mtu</vt:lpstr>
      <vt:lpstr>sample_wld_az1_rack6_uplink02_network</vt:lpstr>
      <vt:lpstr>sample_wld_az1_rack6_uplink02_vlan</vt:lpstr>
      <vt:lpstr>sample_wld_az1_rack6_vmotion_cidr</vt:lpstr>
      <vt:lpstr>sample_wld_az1_rack6_vmotion_gateway_ip</vt:lpstr>
      <vt:lpstr>sample_wld_az1_rack6_vmotion_mask</vt:lpstr>
      <vt:lpstr>sample_wld_az1_rack6_vmotion_mtu</vt:lpstr>
      <vt:lpstr>sample_wld_az1_rack6_vmotion_network</vt:lpstr>
      <vt:lpstr>sample_wld_az1_rack6_vmotion_pool_end_ip</vt:lpstr>
      <vt:lpstr>sample_wld_az1_rack6_vmotion_pool_start_ip</vt:lpstr>
      <vt:lpstr>sample_wld_az1_rack6_vmotion_vlan</vt:lpstr>
      <vt:lpstr>sample_wld_az1_rack6_vsan_fault_domain</vt:lpstr>
      <vt:lpstr>sample_wld_az1_rack7_edge_overlay_gateway_ip</vt:lpstr>
      <vt:lpstr>sample_wld_az1_rack7_edge_overlay_mask</vt:lpstr>
      <vt:lpstr>sample_wld_az1_rack7_edge_overlay_mtu</vt:lpstr>
      <vt:lpstr>sample_wld_az1_rack7_edge_overlay_network</vt:lpstr>
      <vt:lpstr>sample_wld_az1_rack7_edge_overlay_network_pool_name</vt:lpstr>
      <vt:lpstr>sample_wld_az1_rack7_edge_overlay_pool_end_ip</vt:lpstr>
      <vt:lpstr>sample_wld_az1_rack7_edge_overlay_pool_start_ip</vt:lpstr>
      <vt:lpstr>sample_wld_az1_rack7_edge_overlay_vlan</vt:lpstr>
      <vt:lpstr>sample_wld_az1_rack7_host_hostnames</vt:lpstr>
      <vt:lpstr>sample_wld_az1_rack7_host_mgmt_ips</vt:lpstr>
      <vt:lpstr>sample_wld_az1_rack7_host_overlay_cidr</vt:lpstr>
      <vt:lpstr>sample_wld_az1_rack7_host_overlay_gateway_ip</vt:lpstr>
      <vt:lpstr>sample_wld_az1_rack7_host_overlay_mask</vt:lpstr>
      <vt:lpstr>sample_wld_az1_rack7_host_overlay_mtu</vt:lpstr>
      <vt:lpstr>sample_wld_az1_rack7_host_overlay_network</vt:lpstr>
      <vt:lpstr>sample_wld_az1_rack7_host_overlay_network_pool_name</vt:lpstr>
      <vt:lpstr>sample_wld_az1_rack7_host_overlay_network_profile_name</vt:lpstr>
      <vt:lpstr>sample_wld_az1_rack7_host_overlay_pool_end_ip</vt:lpstr>
      <vt:lpstr>sample_wld_az1_rack7_host_overlay_pool_start_ip</vt:lpstr>
      <vt:lpstr>sample_wld_az1_rack7_host_overlay_uplink_profile_name</vt:lpstr>
      <vt:lpstr>sample_wld_az1_rack7_host_overlay_vlan</vt:lpstr>
      <vt:lpstr>sample_wld_az1_rack7_host1_fqdn</vt:lpstr>
      <vt:lpstr>sample_wld_az1_rack7_host1_mgmt_ip</vt:lpstr>
      <vt:lpstr>sample_wld_az1_rack7_host10_fqdn</vt:lpstr>
      <vt:lpstr>sample_wld_az1_rack7_host10_mgmt_ip</vt:lpstr>
      <vt:lpstr>sample_wld_az1_rack7_host11_fqdn</vt:lpstr>
      <vt:lpstr>sample_wld_az1_rack7_host11_mgmt_ip</vt:lpstr>
      <vt:lpstr>sample_wld_az1_rack7_host12_fqdn</vt:lpstr>
      <vt:lpstr>sample_wld_az1_rack7_host12_mgmt_ip</vt:lpstr>
      <vt:lpstr>sample_wld_az1_rack7_host13_fqdn</vt:lpstr>
      <vt:lpstr>sample_wld_az1_rack7_host13_mgmt_ip</vt:lpstr>
      <vt:lpstr>sample_wld_az1_rack7_host14_fqdn</vt:lpstr>
      <vt:lpstr>sample_wld_az1_rack7_host14_mgmt_ip</vt:lpstr>
      <vt:lpstr>sample_wld_az1_rack7_host15_fqdn</vt:lpstr>
      <vt:lpstr>sample_wld_az1_rack7_host15_mgmt_ip</vt:lpstr>
      <vt:lpstr>sample_wld_az1_rack7_host16_fqdn</vt:lpstr>
      <vt:lpstr>sample_wld_az1_rack7_host16_mgmt_ip</vt:lpstr>
      <vt:lpstr>sample_wld_az1_rack7_host2_fqdn</vt:lpstr>
      <vt:lpstr>sample_wld_az1_rack7_host2_mgmt_ip</vt:lpstr>
      <vt:lpstr>sample_wld_az1_rack7_host3_fqdn</vt:lpstr>
      <vt:lpstr>sample_wld_az1_rack7_host3_mgmt_ip</vt:lpstr>
      <vt:lpstr>sample_wld_az1_rack7_host4_fqdn</vt:lpstr>
      <vt:lpstr>sample_wld_az1_rack7_host4_mgmt_ip</vt:lpstr>
      <vt:lpstr>sample_wld_az1_rack7_host5_fqdn</vt:lpstr>
      <vt:lpstr>sample_wld_az1_rack7_host5_mgmt_ip</vt:lpstr>
      <vt:lpstr>sample_wld_az1_rack7_host6_fqdn</vt:lpstr>
      <vt:lpstr>sample_wld_az1_rack7_host6_mgmt_ip</vt:lpstr>
      <vt:lpstr>sample_wld_az1_rack7_host7_fqdn</vt:lpstr>
      <vt:lpstr>sample_wld_az1_rack7_host7_mgmt_ip</vt:lpstr>
      <vt:lpstr>sample_wld_az1_rack7_host8_fqdn</vt:lpstr>
      <vt:lpstr>sample_wld_az1_rack7_host8_mgmt_ip</vt:lpstr>
      <vt:lpstr>sample_wld_az1_rack7_host9_fqdn</vt:lpstr>
      <vt:lpstr>sample_wld_az1_rack7_host9_mgmt_ip</vt:lpstr>
      <vt:lpstr>sample_wld_az1_rack7_mgmt_cidr</vt:lpstr>
      <vt:lpstr>sample_wld_az1_rack7_mgmt_gateway_ip</vt:lpstr>
      <vt:lpstr>sample_wld_az1_rack7_mgmt_mtu</vt:lpstr>
      <vt:lpstr>sample_wld_az1_rack7_mgmt_vlan</vt:lpstr>
      <vt:lpstr>sample_wld_az1_rack7_mgmt_vm_cidr</vt:lpstr>
      <vt:lpstr>sample_wld_az1_rack7_mgmt_vm_gateway_ip</vt:lpstr>
      <vt:lpstr>sample_wld_az1_rack7_mgmt_vm_mtu</vt:lpstr>
      <vt:lpstr>sample_wld_az1_rack7_mgmt_vm_vlan</vt:lpstr>
      <vt:lpstr>sample_wld_az1_rack7_pool_name</vt:lpstr>
      <vt:lpstr>sample_wld_az1_rack7_principal_storage_cidr</vt:lpstr>
      <vt:lpstr>sample_wld_az1_rack7_principal_storage_gateway_ip</vt:lpstr>
      <vt:lpstr>sample_wld_az1_rack7_principal_storage_mask</vt:lpstr>
      <vt:lpstr>sample_wld_az1_rack7_principal_storage_mtu</vt:lpstr>
      <vt:lpstr>sample_wld_az1_rack7_principal_storage_network</vt:lpstr>
      <vt:lpstr>sample_wld_az1_rack7_principal_storage_pool_end_ip</vt:lpstr>
      <vt:lpstr>sample_wld_az1_rack7_principal_storage_pool_start_ip</vt:lpstr>
      <vt:lpstr>sample_wld_az1_rack7_principal_storage_vlan</vt:lpstr>
      <vt:lpstr>sample_wld_az1_rack7_rtep_ip_pool_name</vt:lpstr>
      <vt:lpstr>sample_wld_az1_rack7_secondary_storage_cidr</vt:lpstr>
      <vt:lpstr>sample_wld_az1_rack7_secondary_storage_gateway_ip</vt:lpstr>
      <vt:lpstr>sample_wld_az1_rack7_secondary_storage_mask</vt:lpstr>
      <vt:lpstr>sample_wld_az1_rack7_secondary_storage_mtu</vt:lpstr>
      <vt:lpstr>sample_wld_az1_rack7_secondary_storage_network</vt:lpstr>
      <vt:lpstr>sample_wld_az1_rack7_secondary_storage_pool_end_ip</vt:lpstr>
      <vt:lpstr>sample_wld_az1_rack7_secondary_storage_pool_start_ip</vt:lpstr>
      <vt:lpstr>sample_wld_az1_rack7_secondary_storage_vlan</vt:lpstr>
      <vt:lpstr>sample_wld_az1_rack7_tor1_peer_asn</vt:lpstr>
      <vt:lpstr>sample_wld_az1_rack7_tor1_peer_bgp_password</vt:lpstr>
      <vt:lpstr>sample_wld_az1_rack7_tor1_peer_ip</vt:lpstr>
      <vt:lpstr>sample_wld_az1_rack7_tor2_peer_asn</vt:lpstr>
      <vt:lpstr>sample_wld_az1_rack7_tor2_peer_bgp_password</vt:lpstr>
      <vt:lpstr>sample_wld_az1_rack7_tor2_peer_ip</vt:lpstr>
      <vt:lpstr>sample_wld_az1_rack7_uplink01_gateway_ip</vt:lpstr>
      <vt:lpstr>sample_wld_az1_rack7_uplink01_mask</vt:lpstr>
      <vt:lpstr>sample_wld_az1_rack7_uplink01_mtu</vt:lpstr>
      <vt:lpstr>sample_wld_az1_rack7_uplink01_network</vt:lpstr>
      <vt:lpstr>sample_wld_az1_rack7_uplink01_vlan</vt:lpstr>
      <vt:lpstr>sample_wld_az1_rack7_uplink02_gateway_ip</vt:lpstr>
      <vt:lpstr>sample_wld_az1_rack7_uplink02_mask</vt:lpstr>
      <vt:lpstr>sample_wld_az1_rack7_uplink02_mtu</vt:lpstr>
      <vt:lpstr>sample_wld_az1_rack7_uplink02_network</vt:lpstr>
      <vt:lpstr>sample_wld_az1_rack7_uplink02_vlan</vt:lpstr>
      <vt:lpstr>sample_wld_az1_rack7_vmotion_cidr</vt:lpstr>
      <vt:lpstr>sample_wld_az1_rack7_vmotion_gateway_ip</vt:lpstr>
      <vt:lpstr>sample_wld_az1_rack7_vmotion_mask</vt:lpstr>
      <vt:lpstr>sample_wld_az1_rack7_vmotion_mtu</vt:lpstr>
      <vt:lpstr>sample_wld_az1_rack7_vmotion_network</vt:lpstr>
      <vt:lpstr>sample_wld_az1_rack7_vmotion_pool_end_ip</vt:lpstr>
      <vt:lpstr>sample_wld_az1_rack7_vmotion_pool_start_ip</vt:lpstr>
      <vt:lpstr>sample_wld_az1_rack7_vmotion_vlan</vt:lpstr>
      <vt:lpstr>sample_wld_az1_rack7_vsan_fault_domain</vt:lpstr>
      <vt:lpstr>sample_wld_az1_rack8_edge_overlay_gateway_ip</vt:lpstr>
      <vt:lpstr>sample_wld_az1_rack8_edge_overlay_mask</vt:lpstr>
      <vt:lpstr>sample_wld_az1_rack8_edge_overlay_mtu</vt:lpstr>
      <vt:lpstr>sample_wld_az1_rack8_edge_overlay_network</vt:lpstr>
      <vt:lpstr>sample_wld_az1_rack8_edge_overlay_network_pool_name</vt:lpstr>
      <vt:lpstr>sample_wld_az1_rack8_edge_overlay_pool_end_ip</vt:lpstr>
      <vt:lpstr>sample_wld_az1_rack8_edge_overlay_pool_start_ip</vt:lpstr>
      <vt:lpstr>sample_wld_az1_rack8_edge_overlay_vlan</vt:lpstr>
      <vt:lpstr>sample_wld_az1_rack8_host_hostnames</vt:lpstr>
      <vt:lpstr>sample_wld_az1_rack8_host_mgmt_ips</vt:lpstr>
      <vt:lpstr>sample_wld_az1_rack8_host_overlay_cidr</vt:lpstr>
      <vt:lpstr>sample_wld_az1_rack8_host_overlay_gateway_ip</vt:lpstr>
      <vt:lpstr>sample_wld_az1_rack8_host_overlay_mask</vt:lpstr>
      <vt:lpstr>sample_wld_az1_rack8_host_overlay_mtu</vt:lpstr>
      <vt:lpstr>sample_wld_az1_rack8_host_overlay_network</vt:lpstr>
      <vt:lpstr>sample_wld_az1_rack8_host_overlay_network_pool_name</vt:lpstr>
      <vt:lpstr>sample_wld_az1_rack8_host_overlay_network_profile_name</vt:lpstr>
      <vt:lpstr>sample_wld_az1_rack8_host_overlay_pool_end_ip</vt:lpstr>
      <vt:lpstr>sample_wld_az1_rack8_host_overlay_pool_start_ip</vt:lpstr>
      <vt:lpstr>sample_wld_az1_rack8_host_overlay_uplink_profile_name</vt:lpstr>
      <vt:lpstr>sample_wld_az1_rack8_host_overlay_vlan</vt:lpstr>
      <vt:lpstr>sample_wld_az1_rack8_host1_fqdn</vt:lpstr>
      <vt:lpstr>sample_wld_az1_rack8_host1_mgmt_ip</vt:lpstr>
      <vt:lpstr>sample_wld_az1_rack8_host10_fqdn</vt:lpstr>
      <vt:lpstr>sample_wld_az1_rack8_host10_mgmt_ip</vt:lpstr>
      <vt:lpstr>sample_wld_az1_rack8_host11_fqdn</vt:lpstr>
      <vt:lpstr>sample_wld_az1_rack8_host11_mgmt_ip</vt:lpstr>
      <vt:lpstr>sample_wld_az1_rack8_host12_fqdn</vt:lpstr>
      <vt:lpstr>sample_wld_az1_rack8_host12_mgmt_ip</vt:lpstr>
      <vt:lpstr>sample_wld_az1_rack8_host13_fqdn</vt:lpstr>
      <vt:lpstr>sample_wld_az1_rack8_host13_mgmt_ip</vt:lpstr>
      <vt:lpstr>sample_wld_az1_rack8_host14_fqdn</vt:lpstr>
      <vt:lpstr>sample_wld_az1_rack8_host14_mgmt_ip</vt:lpstr>
      <vt:lpstr>sample_wld_az1_rack8_host15_fqdn</vt:lpstr>
      <vt:lpstr>sample_wld_az1_rack8_host15_mgmt_ip</vt:lpstr>
      <vt:lpstr>sample_wld_az1_rack8_host16_fqdn</vt:lpstr>
      <vt:lpstr>sample_wld_az1_rack8_host16_mgmt_ip</vt:lpstr>
      <vt:lpstr>sample_wld_az1_rack8_host2_fqdn</vt:lpstr>
      <vt:lpstr>sample_wld_az1_rack8_host2_mgmt_ip</vt:lpstr>
      <vt:lpstr>sample_wld_az1_rack8_host3_fqdn</vt:lpstr>
      <vt:lpstr>sample_wld_az1_rack8_host3_mgmt_ip</vt:lpstr>
      <vt:lpstr>sample_wld_az1_rack8_host4_fqdn</vt:lpstr>
      <vt:lpstr>sample_wld_az1_rack8_host4_mgmt_ip</vt:lpstr>
      <vt:lpstr>sample_wld_az1_rack8_host5_fqdn</vt:lpstr>
      <vt:lpstr>sample_wld_az1_rack8_host5_mgmt_ip</vt:lpstr>
      <vt:lpstr>sample_wld_az1_rack8_host6_fqdn</vt:lpstr>
      <vt:lpstr>sample_wld_az1_rack8_host6_mgmt_ip</vt:lpstr>
      <vt:lpstr>sample_wld_az1_rack8_host7_fqdn</vt:lpstr>
      <vt:lpstr>sample_wld_az1_rack8_host7_mgmt_ip</vt:lpstr>
      <vt:lpstr>sample_wld_az1_rack8_host8_fqdn</vt:lpstr>
      <vt:lpstr>sample_wld_az1_rack8_host8_mgmt_ip</vt:lpstr>
      <vt:lpstr>sample_wld_az1_rack8_host9_fqdn</vt:lpstr>
      <vt:lpstr>sample_wld_az1_rack8_host9_mgmt_ip</vt:lpstr>
      <vt:lpstr>sample_wld_az1_rack8_mgmt_cidr</vt:lpstr>
      <vt:lpstr>sample_wld_az1_rack8_mgmt_gateway_ip</vt:lpstr>
      <vt:lpstr>sample_wld_az1_rack8_mgmt_mtu</vt:lpstr>
      <vt:lpstr>sample_wld_az1_rack8_mgmt_vlan</vt:lpstr>
      <vt:lpstr>sample_wld_az1_rack8_mgmt_vm_cidr</vt:lpstr>
      <vt:lpstr>sample_wld_az1_rack8_mgmt_vm_gateway_ip</vt:lpstr>
      <vt:lpstr>sample_wld_az1_rack8_mgmt_vm_mtu</vt:lpstr>
      <vt:lpstr>sample_wld_az1_rack8_mgmt_vm_vlan</vt:lpstr>
      <vt:lpstr>sample_wld_az1_rack8_pool_name</vt:lpstr>
      <vt:lpstr>sample_wld_az1_rack8_principal_storage_cidr</vt:lpstr>
      <vt:lpstr>sample_wld_az1_rack8_principal_storage_gateway_ip</vt:lpstr>
      <vt:lpstr>sample_wld_az1_rack8_principal_storage_mask</vt:lpstr>
      <vt:lpstr>sample_wld_az1_rack8_principal_storage_mtu</vt:lpstr>
      <vt:lpstr>sample_wld_az1_rack8_principal_storage_network</vt:lpstr>
      <vt:lpstr>sample_wld_az1_rack8_principal_storage_pool_end_ip</vt:lpstr>
      <vt:lpstr>sample_wld_az1_rack8_principal_storage_pool_start_ip</vt:lpstr>
      <vt:lpstr>sample_wld_az1_rack8_principal_storage_vlan</vt:lpstr>
      <vt:lpstr>sample_wld_az1_rack8_rtep_ip_pool_name</vt:lpstr>
      <vt:lpstr>sample_wld_az1_rack8_secondary_storage_cidr</vt:lpstr>
      <vt:lpstr>sample_wld_az1_rack8_secondary_storage_gateway_ip</vt:lpstr>
      <vt:lpstr>sample_wld_az1_rack8_secondary_storage_mask</vt:lpstr>
      <vt:lpstr>sample_wld_az1_rack8_secondary_storage_mtu</vt:lpstr>
      <vt:lpstr>sample_wld_az1_rack8_secondary_storage_network</vt:lpstr>
      <vt:lpstr>sample_wld_az1_rack8_secondary_storage_pool_end_ip</vt:lpstr>
      <vt:lpstr>sample_wld_az1_rack8_secondary_storage_pool_start_ip</vt:lpstr>
      <vt:lpstr>sample_wld_az1_rack8_secondary_storage_vlan</vt:lpstr>
      <vt:lpstr>sample_wld_az1_rack8_tor1_peer_asn</vt:lpstr>
      <vt:lpstr>sample_wld_az1_rack8_tor1_peer_bgp_password</vt:lpstr>
      <vt:lpstr>sample_wld_az1_rack8_tor1_peer_ip</vt:lpstr>
      <vt:lpstr>sample_wld_az1_rack8_tor2_peer_asn</vt:lpstr>
      <vt:lpstr>sample_wld_az1_rack8_tor2_peer_bgp_password</vt:lpstr>
      <vt:lpstr>sample_wld_az1_rack8_tor2_peer_ip</vt:lpstr>
      <vt:lpstr>sample_wld_az1_rack8_uplink01_gateway_ip</vt:lpstr>
      <vt:lpstr>sample_wld_az1_rack8_uplink01_mask</vt:lpstr>
      <vt:lpstr>sample_wld_az1_rack8_uplink01_mtu</vt:lpstr>
      <vt:lpstr>sample_wld_az1_rack8_uplink01_network</vt:lpstr>
      <vt:lpstr>sample_wld_az1_rack8_uplink01_vlan</vt:lpstr>
      <vt:lpstr>sample_wld_az1_rack8_uplink02_gateway_ip</vt:lpstr>
      <vt:lpstr>sample_wld_az1_rack8_uplink02_mask</vt:lpstr>
      <vt:lpstr>sample_wld_az1_rack8_uplink02_mtu</vt:lpstr>
      <vt:lpstr>sample_wld_az1_rack8_uplink02_network</vt:lpstr>
      <vt:lpstr>sample_wld_az1_rack8_uplink02_vlan</vt:lpstr>
      <vt:lpstr>sample_wld_az1_rack8_vmotion_cidr</vt:lpstr>
      <vt:lpstr>sample_wld_az1_rack8_vmotion_gateway_ip</vt:lpstr>
      <vt:lpstr>sample_wld_az1_rack8_vmotion_mask</vt:lpstr>
      <vt:lpstr>sample_wld_az1_rack8_vmotion_mtu</vt:lpstr>
      <vt:lpstr>sample_wld_az1_rack8_vmotion_network</vt:lpstr>
      <vt:lpstr>sample_wld_az1_rack8_vmotion_pool_end_ip</vt:lpstr>
      <vt:lpstr>sample_wld_az1_rack8_vmotion_pool_start_ip</vt:lpstr>
      <vt:lpstr>sample_wld_az1_rack8_vmotion_vlan</vt:lpstr>
      <vt:lpstr>sample_wld_az1_rack8_vsan_fault_domain</vt:lpstr>
      <vt:lpstr>sample_wld_az1_rtep_ip_pool_name</vt:lpstr>
      <vt:lpstr>sample_wld_az1_rtep_overlay_cidr</vt:lpstr>
      <vt:lpstr>sample_wld_az1_rtep_overlay_gateway_ip</vt:lpstr>
      <vt:lpstr>sample_wld_az1_rtep_overlay_vlan</vt:lpstr>
      <vt:lpstr>sample_wld_az1_secondary_storage_gateway_ip</vt:lpstr>
      <vt:lpstr>sample_wld_az1_secondary_storage_mask</vt:lpstr>
      <vt:lpstr>sample_wld_az1_secondary_storage_mtu</vt:lpstr>
      <vt:lpstr>sample_wld_az1_secondary_storage_network</vt:lpstr>
      <vt:lpstr>sample_wld_az1_secondary_storage_pool_end_ip</vt:lpstr>
      <vt:lpstr>sample_wld_az1_secondary_storage_pool_start_ip</vt:lpstr>
      <vt:lpstr>sample_wld_az1_secondary_storage_vlan</vt:lpstr>
      <vt:lpstr>sample_wld_az1_storage_cluster_gateway_ip</vt:lpstr>
      <vt:lpstr>sample_wld_az1_storage_cluster_mask</vt:lpstr>
      <vt:lpstr>sample_wld_az1_storage_cluster_mtu</vt:lpstr>
      <vt:lpstr>sample_wld_az1_storage_cluster_network</vt:lpstr>
      <vt:lpstr>sample_wld_az1_storage_cluster_pool_end_ip</vt:lpstr>
      <vt:lpstr>sample_wld_az1_storage_cluster_pool_start_ip</vt:lpstr>
      <vt:lpstr>sample_wld_az1_storage_cluster_vlan</vt:lpstr>
      <vt:lpstr>sample_wld_az1_tor1_peer_asn</vt:lpstr>
      <vt:lpstr>sample_wld_az1_tor1_peer_bgp_password</vt:lpstr>
      <vt:lpstr>sample_wld_az1_tor1_peer_ip</vt:lpstr>
      <vt:lpstr>sample_wld_az1_tor2_peer_asn</vt:lpstr>
      <vt:lpstr>sample_wld_az1_tor2_peer_bgp_password</vt:lpstr>
      <vt:lpstr>sample_wld_az1_tor2_peer_ip</vt:lpstr>
      <vt:lpstr>sample_wld_az1_uplink01_cidr</vt:lpstr>
      <vt:lpstr>sample_wld_az1_uplink01_gateway_ip</vt:lpstr>
      <vt:lpstr>sample_wld_az1_uplink01_mtu</vt:lpstr>
      <vt:lpstr>sample_wld_az1_uplink01_vlan</vt:lpstr>
      <vt:lpstr>sample_wld_az1_uplink02_cidr</vt:lpstr>
      <vt:lpstr>sample_wld_az1_uplink02_gateway_ip</vt:lpstr>
      <vt:lpstr>sample_wld_az1_uplink02_mtu</vt:lpstr>
      <vt:lpstr>sample_wld_az1_uplink02_vlan</vt:lpstr>
      <vt:lpstr>sample_wld_az1_vmotion_cidr</vt:lpstr>
      <vt:lpstr>sample_wld_az1_vmotion_gateway_ip</vt:lpstr>
      <vt:lpstr>sample_wld_az1_vmotion_mask</vt:lpstr>
      <vt:lpstr>sample_wld_az1_vmotion_mtu</vt:lpstr>
      <vt:lpstr>sample_wld_az1_vmotion_network</vt:lpstr>
      <vt:lpstr>sample_wld_az1_vmotion_pool_end_ip</vt:lpstr>
      <vt:lpstr>sample_wld_az1_vmotion_pool_start_ip</vt:lpstr>
      <vt:lpstr>sample_wld_az1_vmotion_vlan</vt:lpstr>
      <vt:lpstr>sample_wld_az1_vrms_cidr</vt:lpstr>
      <vt:lpstr>sample_wld_az1_vrms_gateway_ip</vt:lpstr>
      <vt:lpstr>sample_wld_az1_vrms_mask</vt:lpstr>
      <vt:lpstr>sample_wld_az1_vrms_mtu</vt:lpstr>
      <vt:lpstr>sample_wld_az1_vrms_vlan</vt:lpstr>
      <vt:lpstr>sample_wld_az2_host_overlay_cidr</vt:lpstr>
      <vt:lpstr>sample_wld_az2_host_overlay_gateway_ip</vt:lpstr>
      <vt:lpstr>sample_wld_az2_host_overlay_mtu</vt:lpstr>
      <vt:lpstr>sample_wld_az2_host_overlay_network_pool_name</vt:lpstr>
      <vt:lpstr>sample_wld_az2_host_overlay_network_profile_name</vt:lpstr>
      <vt:lpstr>sample_wld_az2_host_overlay_pool_end_ip</vt:lpstr>
      <vt:lpstr>sample_wld_az2_host_overlay_pool_start_ip</vt:lpstr>
      <vt:lpstr>sample_wld_az2_host_overlay_uplink_profile_name</vt:lpstr>
      <vt:lpstr>sample_wld_az2_host_overlay_vlan</vt:lpstr>
      <vt:lpstr>sample_wld_az2_host1_fqdn</vt:lpstr>
      <vt:lpstr>sample_wld_az2_host1_mgmt_ip</vt:lpstr>
      <vt:lpstr>sample_wld_az2_host1_sddc_id</vt:lpstr>
      <vt:lpstr>sample_wld_az2_host1_vrms_ip</vt:lpstr>
      <vt:lpstr>sample_wld_az2_host10_fqdn</vt:lpstr>
      <vt:lpstr>sample_wld_az2_host10_mgmt_ip</vt:lpstr>
      <vt:lpstr>sample_wld_az2_host10_vrms_ip</vt:lpstr>
      <vt:lpstr>sample_wld_az2_host11_fqdn</vt:lpstr>
      <vt:lpstr>sample_wld_az2_host11_mgmt_ip</vt:lpstr>
      <vt:lpstr>sample_wld_az2_host11_vrms_ip</vt:lpstr>
      <vt:lpstr>sample_wld_az2_host12_fqdn</vt:lpstr>
      <vt:lpstr>sample_wld_az2_host12_mgmt_ip</vt:lpstr>
      <vt:lpstr>sample_wld_az2_host12_vrms_ip</vt:lpstr>
      <vt:lpstr>sample_wld_az2_host13_fqdn</vt:lpstr>
      <vt:lpstr>sample_wld_az2_host13_mgmt_ip</vt:lpstr>
      <vt:lpstr>sample_wld_az2_host13_vrms_ip</vt:lpstr>
      <vt:lpstr>sample_wld_az2_host14_fqdn</vt:lpstr>
      <vt:lpstr>sample_wld_az2_host14_mgmt_ip</vt:lpstr>
      <vt:lpstr>sample_wld_az2_host14_vrms_ip</vt:lpstr>
      <vt:lpstr>sample_wld_az2_host15_fqdn</vt:lpstr>
      <vt:lpstr>sample_wld_az2_host15_mgmt_ip</vt:lpstr>
      <vt:lpstr>sample_wld_az2_host15_vrms_ip</vt:lpstr>
      <vt:lpstr>sample_wld_az2_host16_fqdn</vt:lpstr>
      <vt:lpstr>sample_wld_az2_host16_mgmt_ip</vt:lpstr>
      <vt:lpstr>sample_wld_az2_host16_vrms_ip</vt:lpstr>
      <vt:lpstr>sample_wld_az2_host2_fqdn</vt:lpstr>
      <vt:lpstr>sample_wld_az2_host2_mgmt_ip</vt:lpstr>
      <vt:lpstr>sample_wld_az2_host2_sddc_id</vt:lpstr>
      <vt:lpstr>sample_wld_az2_host2_vrms_ip</vt:lpstr>
      <vt:lpstr>sample_wld_az2_host3_fqdn</vt:lpstr>
      <vt:lpstr>sample_wld_az2_host3_mgmt_ip</vt:lpstr>
      <vt:lpstr>sample_wld_az2_host3_sddc_id</vt:lpstr>
      <vt:lpstr>sample_wld_az2_host3_vrms_ip</vt:lpstr>
      <vt:lpstr>sample_wld_az2_host4_fqdn</vt:lpstr>
      <vt:lpstr>sample_wld_az2_host4_mgmt_ip</vt:lpstr>
      <vt:lpstr>sample_wld_az2_host4_sddc_id</vt:lpstr>
      <vt:lpstr>sample_wld_az2_host4_vrms_ip</vt:lpstr>
      <vt:lpstr>sample_wld_az2_host5_fqdn</vt:lpstr>
      <vt:lpstr>sample_wld_az2_host5_mgmt_ip</vt:lpstr>
      <vt:lpstr>sample_wld_az2_host5_vrms_ip</vt:lpstr>
      <vt:lpstr>sample_wld_az2_host6_fqdn</vt:lpstr>
      <vt:lpstr>sample_wld_az2_host6_mgmt_ip</vt:lpstr>
      <vt:lpstr>sample_wld_az2_host6_vrms_ip</vt:lpstr>
      <vt:lpstr>sample_wld_az2_host7_fqdn</vt:lpstr>
      <vt:lpstr>sample_wld_az2_host7_mgmt_ip</vt:lpstr>
      <vt:lpstr>sample_wld_az2_host7_vrms_ip</vt:lpstr>
      <vt:lpstr>sample_wld_az2_host8_fqdn</vt:lpstr>
      <vt:lpstr>sample_wld_az2_host8_mgmt_ip</vt:lpstr>
      <vt:lpstr>sample_wld_az2_host8_vrms_ip</vt:lpstr>
      <vt:lpstr>sample_wld_az2_host9_fqdn</vt:lpstr>
      <vt:lpstr>sample_wld_az2_host9_mgmt_ip</vt:lpstr>
      <vt:lpstr>sample_wld_az2_host9_vrms_ip</vt:lpstr>
      <vt:lpstr>sample_wld_az2_mgmt_cidr</vt:lpstr>
      <vt:lpstr>sample_wld_az2_mgmt_gateway_ip</vt:lpstr>
      <vt:lpstr>sample_wld_az2_mgmt_mtu</vt:lpstr>
      <vt:lpstr>sample_wld_az2_mgmt_vlan</vt:lpstr>
      <vt:lpstr>sample_wld_az2_pool_name</vt:lpstr>
      <vt:lpstr>sample_wld_az2_principal_storage_gateway_ip</vt:lpstr>
      <vt:lpstr>sample_wld_az2_principal_storage_mask</vt:lpstr>
      <vt:lpstr>sample_wld_az2_principal_storage_mtu</vt:lpstr>
      <vt:lpstr>sample_wld_az2_principal_storage_network</vt:lpstr>
      <vt:lpstr>sample_wld_az2_principal_storage_pool_end_ip</vt:lpstr>
      <vt:lpstr>sample_wld_az2_principal_storage_pool_start_ip</vt:lpstr>
      <vt:lpstr>sample_wld_az2_principal_storage_vlan</vt:lpstr>
      <vt:lpstr>sample_wld_az2_secondary_storage_gateway_ip</vt:lpstr>
      <vt:lpstr>sample_wld_az2_secondary_storage_mask</vt:lpstr>
      <vt:lpstr>sample_wld_az2_secondary_storage_mtu</vt:lpstr>
      <vt:lpstr>sample_wld_az2_secondary_storage_network</vt:lpstr>
      <vt:lpstr>sample_wld_az2_secondary_storage_pool_end_ip</vt:lpstr>
      <vt:lpstr>sample_wld_az2_secondary_storage_pool_start_ip</vt:lpstr>
      <vt:lpstr>sample_wld_az2_secondary_storage_vlan</vt:lpstr>
      <vt:lpstr>sample_wld_az2_storage_cluster_gateway_ip</vt:lpstr>
      <vt:lpstr>sample_wld_az2_storage_cluster_mask</vt:lpstr>
      <vt:lpstr>sample_wld_az2_storage_cluster_mtu</vt:lpstr>
      <vt:lpstr>sample_wld_az2_storage_cluster_network</vt:lpstr>
      <vt:lpstr>sample_wld_az2_storage_cluster_pool_end_ip</vt:lpstr>
      <vt:lpstr>sample_wld_az2_storage_cluster_pool_start_ip</vt:lpstr>
      <vt:lpstr>sample_wld_az2_storage_cluster_vlan</vt:lpstr>
      <vt:lpstr>sample_wld_az2_tor1_peer_asn</vt:lpstr>
      <vt:lpstr>sample_wld_az2_tor1_peer_bgp_password</vt:lpstr>
      <vt:lpstr>sample_wld_az2_tor1_peer_ip</vt:lpstr>
      <vt:lpstr>sample_wld_az2_tor2_peer_asn</vt:lpstr>
      <vt:lpstr>sample_wld_az2_tor2_peer_bgp_password</vt:lpstr>
      <vt:lpstr>sample_wld_az2_tor2_peer_ip</vt:lpstr>
      <vt:lpstr>sample_wld_az2_vmotion_gateway_ip</vt:lpstr>
      <vt:lpstr>sample_wld_az2_vmotion_mask</vt:lpstr>
      <vt:lpstr>sample_wld_az2_vmotion_mtu</vt:lpstr>
      <vt:lpstr>sample_wld_az2_vmotion_network</vt:lpstr>
      <vt:lpstr>sample_wld_az2_vmotion_pool_end_ip</vt:lpstr>
      <vt:lpstr>sample_wld_az2_vmotion_pool_start_ip</vt:lpstr>
      <vt:lpstr>sample_wld_az2_vmotion_vlan</vt:lpstr>
      <vt:lpstr>sample_wld_bf_nsxt_admin_password</vt:lpstr>
      <vt:lpstr>sample_wld_bf_nsxt_audit_password</vt:lpstr>
      <vt:lpstr>sample_wld_bf_nsxt_mgra_fqdn</vt:lpstr>
      <vt:lpstr>sample_wld_bf_nsxt_mgrb_fqdn</vt:lpstr>
      <vt:lpstr>sample_wld_bf_nsxt_mgrc_fqdn</vt:lpstr>
      <vt:lpstr>sample_wld_bf_nsxt_root_password</vt:lpstr>
      <vt:lpstr>sample_wld_bf_nsxt_vip_fqdn</vt:lpstr>
      <vt:lpstr>sample_wld_bf_sddc_domain</vt:lpstr>
      <vt:lpstr>sample_wld_bf_vc_fqdn</vt:lpstr>
      <vt:lpstr>sample_wld_bf_vc_root_password</vt:lpstr>
      <vt:lpstr>sample_wld_bf_vc_sso_password</vt:lpstr>
      <vt:lpstr>sample_wld_bf_vc_sso_username</vt:lpstr>
      <vt:lpstr>sample_wld_cl01_az1_mgmt_pg</vt:lpstr>
      <vt:lpstr>sample_wld_cl01_az1_mgmt_vm_pg</vt:lpstr>
      <vt:lpstr>sample_wld_cl01_az1_nsx_uplink_count</vt:lpstr>
      <vt:lpstr>sample_wld_cl01_az1_principal_storage_pg</vt:lpstr>
      <vt:lpstr>sample_wld_cl01_az1_uplink01_pg</vt:lpstr>
      <vt:lpstr>sample_wld_cl01_az1_uplink02_pg</vt:lpstr>
      <vt:lpstr>sample_wld_cl01_az1_vmotion_pg</vt:lpstr>
      <vt:lpstr>sample_wld_cl01_az1_vsan_storage_client_pg</vt:lpstr>
      <vt:lpstr>sample_wld_cl01_cluster</vt:lpstr>
      <vt:lpstr>sample_wld_cl01_cluster_sddc_id</vt:lpstr>
      <vt:lpstr>sample_wld_cl01_cluster_zn_name</vt:lpstr>
      <vt:lpstr>sample_wld_cl01_evc_mode</vt:lpstr>
      <vt:lpstr>sample_wld_cl01_image_name</vt:lpstr>
      <vt:lpstr>sample_wld_cl01_nfs_datastore_name</vt:lpstr>
      <vt:lpstr>sample_wld_cl01_nfs_server_address</vt:lpstr>
      <vt:lpstr>sample_wld_cl01_nfs_share_path</vt:lpstr>
      <vt:lpstr>sample_wld_cl01_supervisor_control_plane_ip_range</vt:lpstr>
      <vt:lpstr>sample_wld_cl01_supervisor_dns</vt:lpstr>
      <vt:lpstr>sample_wld_cl01_supervisor_name</vt:lpstr>
      <vt:lpstr>sample_wld_cl01_supervisor_nsx_project</vt:lpstr>
      <vt:lpstr>sample_wld_cl01_supervisor_ntp</vt:lpstr>
      <vt:lpstr>sample_wld_cl01_supervisor_private_cidr</vt:lpstr>
      <vt:lpstr>sample_wld_cl01_supervisor_private_transit_gateway_cidr</vt:lpstr>
      <vt:lpstr>sample_wld_cl01_supervisor_service_cidr</vt:lpstr>
      <vt:lpstr>sample_wld_cl01_supervisor_vpc_profile</vt:lpstr>
      <vt:lpstr>sample_wld_cl01_vds01_lag_name</vt:lpstr>
      <vt:lpstr>sample_wld_cl01_vds01_mtu</vt:lpstr>
      <vt:lpstr>sample_wld_cl01_vds01_name</vt:lpstr>
      <vt:lpstr>sample_wld_cl01_vds01_pnics</vt:lpstr>
      <vt:lpstr>sample_wld_cl01_vds01_uplink_count</vt:lpstr>
      <vt:lpstr>sample_wld_cl01_vds02_lag_name</vt:lpstr>
      <vt:lpstr>sample_wld_cl01_vds02_mtu</vt:lpstr>
      <vt:lpstr>sample_wld_cl01_vds02_name</vt:lpstr>
      <vt:lpstr>sample_wld_cl01_vds02_pnics</vt:lpstr>
      <vt:lpstr>sample_wld_cl01_vds02_uplink_count</vt:lpstr>
      <vt:lpstr>sample_wld_cl01_vds03_lag_name</vt:lpstr>
      <vt:lpstr>sample_wld_cl01_vds03_mtu</vt:lpstr>
      <vt:lpstr>sample_wld_cl01_vds03_name</vt:lpstr>
      <vt:lpstr>sample_wld_cl01_vds03_pnics</vt:lpstr>
      <vt:lpstr>sample_wld_cl01_vds03_uplink_count</vt:lpstr>
      <vt:lpstr>sample_wld_cl01_vmfs_datastore_name</vt:lpstr>
      <vt:lpstr>sample_wld_cl01_vsan_datastore</vt:lpstr>
      <vt:lpstr>sample_wld_datacenter</vt:lpstr>
      <vt:lpstr>sample_wld_ec_mtu</vt:lpstr>
      <vt:lpstr>sample_wld_ec_name</vt:lpstr>
      <vt:lpstr>sample_wld_ec_rp_name</vt:lpstr>
      <vt:lpstr>sample_wld_ec01_en01_host_group_affinity_rule_name</vt:lpstr>
      <vt:lpstr>sample_wld_ec01_en02_host_group_affinity_rule_name</vt:lpstr>
      <vt:lpstr>sample_wld_en_asn</vt:lpstr>
      <vt:lpstr>sample_wld_esx_root_password</vt:lpstr>
      <vt:lpstr>sample_wld_esx_root_username</vt:lpstr>
      <vt:lpstr>sample_wld_existing_active_nsx_gm</vt:lpstr>
      <vt:lpstr>sample_wld_existing_cross_instance_t0_name</vt:lpstr>
      <vt:lpstr>sample_wld_host_overlay_transportzone</vt:lpstr>
      <vt:lpstr>sample_wld_nsx_vlan_transport_zone_name</vt:lpstr>
      <vt:lpstr>sample_wld_nsxt_en_admin_password</vt:lpstr>
      <vt:lpstr>sample_wld_nsxt_en_root_password</vt:lpstr>
      <vt:lpstr>sample_wld_nsxt_federation_global_manager_name</vt:lpstr>
      <vt:lpstr>sample_wld_nsxt_federation_location_name</vt:lpstr>
      <vt:lpstr>sample_wld_nsxt_global_mgr_anti_affinity_rule_name</vt:lpstr>
      <vt:lpstr>sample_wld_nsxt_global_mgr_certificate_id</vt:lpstr>
      <vt:lpstr>sample_wld_nsxt_global_mgr_cluster_id</vt:lpstr>
      <vt:lpstr>sample_wld_nsxt_global_mgr_vmca_signed_thumbprint</vt:lpstr>
      <vt:lpstr>sample_wld_nsxt_global_mgra_fqdn</vt:lpstr>
      <vt:lpstr>sample_wld_nsxt_global_mgra_hostname</vt:lpstr>
      <vt:lpstr>sample_wld_nsxt_global_mgra_ip</vt:lpstr>
      <vt:lpstr>sample_wld_nsxt_global_mgrb_fqdn</vt:lpstr>
      <vt:lpstr>sample_wld_nsxt_global_mgrb_hostname</vt:lpstr>
      <vt:lpstr>sample_wld_nsxt_global_mgrb_ip</vt:lpstr>
      <vt:lpstr>sample_wld_nsxt_global_mgrc_fqdn</vt:lpstr>
      <vt:lpstr>sample_wld_nsxt_global_mgrc_hostname</vt:lpstr>
      <vt:lpstr>sample_wld_nsxt_global_mgrc_ip</vt:lpstr>
      <vt:lpstr>sample_wld_nsxt_gm_admin_password</vt:lpstr>
      <vt:lpstr>sample_wld_nsxt_gm_audit_password</vt:lpstr>
      <vt:lpstr>sample_wld_nsxt_gm_fingerprint</vt:lpstr>
      <vt:lpstr>sample_wld_nsxt_gm_root_password</vt:lpstr>
      <vt:lpstr>sample_wld_nsxt_gm_vip_fqdn</vt:lpstr>
      <vt:lpstr>sample_wld_nsxt_gm_vip_ip</vt:lpstr>
      <vt:lpstr>sample_wld_nsxt_lm_admin_password</vt:lpstr>
      <vt:lpstr>sample_wld_nsxt_lm_audit_password</vt:lpstr>
      <vt:lpstr>sample_wld_nsxt_lm_fingerprint</vt:lpstr>
      <vt:lpstr>sample_wld_nsxt_mgra_fqdn</vt:lpstr>
      <vt:lpstr>sample_wld_nsxt_mgra_ip</vt:lpstr>
      <vt:lpstr>sample_wld_nsxt_mgrb_fqdn</vt:lpstr>
      <vt:lpstr>sample_wld_nsxt_mgrb_ip</vt:lpstr>
      <vt:lpstr>sample_wld_nsxt_mgrc_fqdn</vt:lpstr>
      <vt:lpstr>sample_wld_nsxt_mgrc_ip</vt:lpstr>
      <vt:lpstr>sample_wld_nsxt_vip_fqdn</vt:lpstr>
      <vt:lpstr>sample_wld_nsxt_vip_ip</vt:lpstr>
      <vt:lpstr>sample_wld_nsxt_xreg_t1_name</vt:lpstr>
      <vt:lpstr>sample_wld_rack2_en_asn</vt:lpstr>
      <vt:lpstr>sample_wld_rack3_en_asn</vt:lpstr>
      <vt:lpstr>sample_wld_rack4_en_asn</vt:lpstr>
      <vt:lpstr>sample_wld_rack5_en_asn</vt:lpstr>
      <vt:lpstr>sample_wld_rack6_en_asn</vt:lpstr>
      <vt:lpstr>sample_wld_rack7_en_asn</vt:lpstr>
      <vt:lpstr>sample_wld_rack8_en_asn</vt:lpstr>
      <vt:lpstr>sample_wld_rtep_overlay_pool_end_ip</vt:lpstr>
      <vt:lpstr>sample_wld_rtep_overlay_pool_start_ip</vt:lpstr>
      <vt:lpstr>sample_wld_rwr_az1_vrms_gateway_ip</vt:lpstr>
      <vt:lpstr>sample_wld_rwr_az1_vrms_gateway_mask</vt:lpstr>
      <vt:lpstr>sample_wld_rwr_cl02_cluster</vt:lpstr>
      <vt:lpstr>sample_wld_rwr_cl02_vds01</vt:lpstr>
      <vt:lpstr>sample_wld_rwr_recovery_site_az1_vrms_cidr</vt:lpstr>
      <vt:lpstr>sample_wld_rwr_recovery_site_nsx_ec_name</vt:lpstr>
      <vt:lpstr>sample_wld_rwr_recovery_site_nsx_ec_t0_name</vt:lpstr>
      <vt:lpstr>sample_wld_rwr_recovery_site_nsx_ec_t1_name</vt:lpstr>
      <vt:lpstr>sample_wld_rwr_recovery_site_nsx_fqdn</vt:lpstr>
      <vt:lpstr>sample_wld_rwr_recovery_site_vc_fqdn</vt:lpstr>
      <vt:lpstr>sample_wld_rwr_recoverysite_fd</vt:lpstr>
      <vt:lpstr>sample_wld_rwr_vc_fqdn</vt:lpstr>
      <vt:lpstr>sample_wld_rwr_vcfops_vlsr_username</vt:lpstr>
      <vt:lpstr>sample_wld_rwr_vcfops_vr_username</vt:lpstr>
      <vt:lpstr>sample_wld_sddc_domain</vt:lpstr>
      <vt:lpstr>sample_wld_srm_admin_email</vt:lpstr>
      <vt:lpstr>sample_wld_srm_admin_password</vt:lpstr>
      <vt:lpstr>sample_wld_srm_database_password</vt:lpstr>
      <vt:lpstr>sample_wld_srm_hostname</vt:lpstr>
      <vt:lpstr>sample_wld_srm_ip</vt:lpstr>
      <vt:lpstr>sample_wld_srm_p12_password</vt:lpstr>
      <vt:lpstr>sample_wld_srm_recovery_vcenter_fqdn</vt:lpstr>
      <vt:lpstr>sample_wld_srm_recovery_vcenter_password</vt:lpstr>
      <vt:lpstr>sample_wld_srm_recovery_vcenter_username</vt:lpstr>
      <vt:lpstr>sample_wld_srm_root_password</vt:lpstr>
      <vt:lpstr>sample_wld_srm_site_name</vt:lpstr>
      <vt:lpstr>sample_wld_srm_sso_domain_membership</vt:lpstr>
      <vt:lpstr>sample_wld_srm_vm_folder</vt:lpstr>
      <vt:lpstr>sample_wld_sso_domain_name</vt:lpstr>
      <vt:lpstr>sample_wld_tier0_name</vt:lpstr>
      <vt:lpstr>sample_wld_vc_fqdn</vt:lpstr>
      <vt:lpstr>sample_wld_vc_ip</vt:lpstr>
      <vt:lpstr>sample_wld_vcenter_root_password</vt:lpstr>
      <vt:lpstr>sample_wld_vlr_admin_password</vt:lpstr>
      <vt:lpstr>sample_wld_vlr_fqdn</vt:lpstr>
      <vt:lpstr>sample_wld_vlr_hostname</vt:lpstr>
      <vt:lpstr>sample_wld_vlr_mgmt_ip</vt:lpstr>
      <vt:lpstr>sample_wld_vlr_replication_user</vt:lpstr>
      <vt:lpstr>sample_wld_vlr_root_password</vt:lpstr>
      <vt:lpstr>sample_wld_vnaa_fqdn</vt:lpstr>
      <vt:lpstr>sample_wld_vnaa_ip</vt:lpstr>
      <vt:lpstr>sample_wld_vnab_fqdn</vt:lpstr>
      <vt:lpstr>sample_wld_vnab_ip</vt:lpstr>
      <vt:lpstr>sample_wld_vpc_ext_ip_blocks</vt:lpstr>
      <vt:lpstr>sample_wld_vpc_transit_gateway_ip_blocks</vt:lpstr>
      <vt:lpstr>sample_wld_vrms_admin_email</vt:lpstr>
      <vt:lpstr>sample_wld_vrms_admin_password</vt:lpstr>
      <vt:lpstr>sample_wld_vrms_hostname</vt:lpstr>
      <vt:lpstr>sample_wld_vrms_mgmt_ip</vt:lpstr>
      <vt:lpstr>sample_wld_vrms_p12_password</vt:lpstr>
      <vt:lpstr>sample_wld_vrms_pg</vt:lpstr>
      <vt:lpstr>sample_wld_vrms_recovery_replication_cidr</vt:lpstr>
      <vt:lpstr>sample_wld_vrms_root_password</vt:lpstr>
      <vt:lpstr>sample_wld_vrms_site_name</vt:lpstr>
      <vt:lpstr>sample_wld_vrms_vm_folder</vt:lpstr>
      <vt:lpstr>sample_wld_vrms_vrms_ip</vt:lpstr>
      <vt:lpstr>sample_wld_witness_cluster</vt:lpstr>
      <vt:lpstr>sample_wld_witness_dns1_ip</vt:lpstr>
      <vt:lpstr>sample_wld_witness_dns2_ip</vt:lpstr>
      <vt:lpstr>sample_wld_witness_fqdn</vt:lpstr>
      <vt:lpstr>sample_wld_witness_hostname</vt:lpstr>
      <vt:lpstr>sample_wld_witness_ip</vt:lpstr>
      <vt:lpstr>sample_wld_witness_mgmt_pg</vt:lpstr>
      <vt:lpstr>sample_wld_witness_ntp1_server</vt:lpstr>
      <vt:lpstr>sample_wld_witness_ntp2_server</vt:lpstr>
      <vt:lpstr>sample_wld_witness_root_password</vt:lpstr>
      <vt:lpstr>sample_wld_witness_vm_folder</vt:lpstr>
      <vt:lpstr>sample_wld_witness_vsan_datastore</vt:lpstr>
      <vt:lpstr>sample_wld_witness_zone_vc_fqdn</vt:lpstr>
      <vt:lpstr>sample_wld_witness_zone_vc_ip</vt:lpstr>
      <vt:lpstr>sample_wld_witnessaz_mgmt_cidr</vt:lpstr>
      <vt:lpstr>sample_wld_witnessaz_mgmt_gateway_ip</vt:lpstr>
      <vt:lpstr>sample_wld_witnessaz_mgmt_mtu</vt:lpstr>
      <vt:lpstr>sample_wld_witnessaz_mgmt_vlan</vt:lpstr>
      <vt:lpstr>sample_xreg_seg01_name</vt:lpstr>
      <vt:lpstr>sample_xreg_vra_admin_password</vt:lpstr>
      <vt:lpstr>sample_xreg_vra_node_pool_end_ip</vt:lpstr>
      <vt:lpstr>sample_xreg_vra_node_pool_start_ip</vt:lpstr>
      <vt:lpstr>sample_xreg_vra_nodea_ip</vt:lpstr>
      <vt:lpstr>sample_xreg_vra_nodeb_ip</vt:lpstr>
      <vt:lpstr>sample_xreg_vra_nodec_ip</vt:lpstr>
      <vt:lpstr>sample_xreg_vra_noded_ip</vt:lpstr>
      <vt:lpstr>sample_xreg_vra_nodee_ip</vt:lpstr>
      <vt:lpstr>sample_xreg_vra_nodef_ip</vt:lpstr>
      <vt:lpstr>sample_xreg_vra_prefix</vt:lpstr>
      <vt:lpstr>sample_xreg_vra_virtual_fqdn</vt:lpstr>
      <vt:lpstr>sample_xreg_vra_virtual_ip</vt:lpstr>
      <vt:lpstr>sample_xreg_vra_vm_folder</vt:lpstr>
      <vt:lpstr>sample_xreg_vrops_admin_password</vt:lpstr>
      <vt:lpstr>sample_xreg_vrops_collector_fqdn</vt:lpstr>
      <vt:lpstr>sample_xreg_vrops_collector_ip</vt:lpstr>
      <vt:lpstr>sample_xreg_vrops_collector_root_password</vt:lpstr>
      <vt:lpstr>sample_xreg_vrops_nodea_fqdn</vt:lpstr>
      <vt:lpstr>sample_xreg_vrops_nodea_ip</vt:lpstr>
      <vt:lpstr>sample_xreg_vrops_nodeb_fqdn</vt:lpstr>
      <vt:lpstr>sample_xreg_vrops_nodeb_ip</vt:lpstr>
      <vt:lpstr>sample_xreg_vrops_nodec_fqdn</vt:lpstr>
      <vt:lpstr>sample_xreg_vrops_nodec_ip</vt:lpstr>
      <vt:lpstr>sample_xreg_vrops_root_password</vt:lpstr>
      <vt:lpstr>sample_xreg_vrops_srm_sso_password</vt:lpstr>
      <vt:lpstr>sample_xreg_vrops_srm_sso_username</vt:lpstr>
      <vt:lpstr>sample_xreg_vrops_virtual_fqdn</vt:lpstr>
      <vt:lpstr>sample_xreg_vrops_virtual_ip</vt:lpstr>
      <vt:lpstr>sample_xreg_vrops_vm_folder</vt:lpstr>
      <vt:lpstr>sample_xreg_vrops_vrms_sso_password</vt:lpstr>
      <vt:lpstr>sample_xreg_vrops_vrms_sso_username</vt:lpstr>
      <vt:lpstr>sample_xreg_vrslcm_fqdn</vt:lpstr>
      <vt:lpstr>sample_xreg_vrslcm_ip</vt:lpstr>
      <vt:lpstr>sample_xreg_wsa_vm_folder</vt:lpstr>
      <vt:lpstr>sample_xregion_dns1_ip</vt:lpstr>
      <vt:lpstr>sample_xregion_dns2_ip</vt:lpstr>
      <vt:lpstr>sample_xregion_ntp1_server</vt:lpstr>
      <vt:lpstr>sample_xregion_ntp2_server</vt:lpstr>
      <vt:lpstr>sddc_mgr_admin_local_password</vt:lpstr>
      <vt:lpstr>sddc_mgr_fqdn</vt:lpstr>
      <vt:lpstr>sddc_mgr_hostname</vt:lpstr>
      <vt:lpstr>sddc_mgr_ip</vt:lpstr>
      <vt:lpstr>sddc_mgr_root_password</vt:lpstr>
      <vt:lpstr>sddc_mgr_vcf_password</vt:lpstr>
      <vt:lpstr>sddc_mgr_vcf_username</vt:lpstr>
      <vt:lpstr>sftp_server</vt:lpstr>
      <vt:lpstr>sftp_server_backup_dir</vt:lpstr>
      <vt:lpstr>sftp_server_ip</vt:lpstr>
      <vt:lpstr>sftp_server_passphrase</vt:lpstr>
      <vt:lpstr>sftp_server_port</vt:lpstr>
      <vt:lpstr>sftp_server_protocol</vt:lpstr>
      <vt:lpstr>sftp_server_sshfingerprint</vt:lpstr>
      <vt:lpstr>shared_edge_and_compute</vt:lpstr>
      <vt:lpstr>sizing_cbr_cpu</vt:lpstr>
      <vt:lpstr>sizing_cbr_disk</vt:lpstr>
      <vt:lpstr>sizing_cbr_ram</vt:lpstr>
      <vt:lpstr>sizing_ccm_hcx_cpu</vt:lpstr>
      <vt:lpstr>sizing_ccm_hcx_disk</vt:lpstr>
      <vt:lpstr>sizing_ccm_hcx_ram</vt:lpstr>
      <vt:lpstr>sizing_cpu_oversubscription</vt:lpstr>
      <vt:lpstr>sizing_disk_groups_per_host</vt:lpstr>
      <vt:lpstr>sizing_estimated_growth</vt:lpstr>
      <vt:lpstr>sizing_hrm_hvm_cpu</vt:lpstr>
      <vt:lpstr>sizing_hrm_hvm_disk</vt:lpstr>
      <vt:lpstr>sizing_hrm_hvm_ram</vt:lpstr>
      <vt:lpstr>sizing_inv_cpu</vt:lpstr>
      <vt:lpstr>sizing_inv_disk</vt:lpstr>
      <vt:lpstr>sizing_inv_platform_node_cpu</vt:lpstr>
      <vt:lpstr>sizing_inv_platform_node_disk</vt:lpstr>
      <vt:lpstr>sizing_inv_platform_node_ram</vt:lpstr>
      <vt:lpstr>sizing_inv_ram</vt:lpstr>
      <vt:lpstr>sizing_m01_included</vt:lpstr>
      <vt:lpstr>sizing_m01_nsxt_appliance_size</vt:lpstr>
      <vt:lpstr>sizing_m01_nsxt_edge_size</vt:lpstr>
      <vt:lpstr>sizing_m01_nsxt_gm_appliance_size</vt:lpstr>
      <vt:lpstr>sizing_m01_nsxt_gm_appliance_size_chosen</vt:lpstr>
      <vt:lpstr>sizing_m01_ssp_chosen</vt:lpstr>
      <vt:lpstr>sizing_m01_vcenter_storage_size_chosen</vt:lpstr>
      <vt:lpstr>sizing_mgmt_avi_lb_appliance_size</vt:lpstr>
      <vt:lpstr>sizing_mgmt_avilb_cluster_chosen</vt:lpstr>
      <vt:lpstr>sizing_mgmt_cluster_host_core_count</vt:lpstr>
      <vt:lpstr>sizing_mgmt_cluster_host_ram_count</vt:lpstr>
      <vt:lpstr>sizing_mgmt_ec_formfactor_chosen</vt:lpstr>
      <vt:lpstr>sizing_mgmt_nsxt_global_appliance_chosen</vt:lpstr>
      <vt:lpstr>sizing_nsxt_edge_sizing_list</vt:lpstr>
      <vt:lpstr>sizing_nsxt_manager_size_list</vt:lpstr>
      <vt:lpstr>sizing_ram_oversubscription</vt:lpstr>
      <vt:lpstr>sizing_sddc_manager_cpu</vt:lpstr>
      <vt:lpstr>sizing_sddc_manager_disk</vt:lpstr>
      <vt:lpstr>sizing_sddc_manager_ram</vt:lpstr>
      <vt:lpstr>sizing_storage_type</vt:lpstr>
      <vt:lpstr>sizing_vcenter_appliance_size_list</vt:lpstr>
      <vt:lpstr>sizing_vcenter_storage_size_list</vt:lpstr>
      <vt:lpstr>sizing_vcfauto_chosen</vt:lpstr>
      <vt:lpstr>sizing_vcffm_cpu</vt:lpstr>
      <vt:lpstr>sizing_vcffm_disk</vt:lpstr>
      <vt:lpstr>sizing_vcffm_ram</vt:lpstr>
      <vt:lpstr>sizing_vcfops_collector_chosen</vt:lpstr>
      <vt:lpstr>sizing_vcfops_deployment_model_chosen</vt:lpstr>
      <vt:lpstr>sizing_vcfops_ha_chosen</vt:lpstr>
      <vt:lpstr>sizing_vcfops_logs_chosen</vt:lpstr>
      <vt:lpstr>sizing_vcfops_net_chosen</vt:lpstr>
      <vt:lpstr>sizing_vcfops_net_collector_chosen</vt:lpstr>
      <vt:lpstr>sizing_vcfvidb_chosen</vt:lpstr>
      <vt:lpstr>sizing_vcls_cpu</vt:lpstr>
      <vt:lpstr>sizing_vcls_disk</vt:lpstr>
      <vt:lpstr>sizing_vcls_ram</vt:lpstr>
      <vt:lpstr>sizing_virtual_machine_overhead</vt:lpstr>
      <vt:lpstr>sizing_vm_cpu_requirements</vt:lpstr>
      <vt:lpstr>sizing_vm_ram_requirements</vt:lpstr>
      <vt:lpstr>sizing_vm_storage_requirements</vt:lpstr>
      <vt:lpstr>sizing_w01_avi_appliance_size</vt:lpstr>
      <vt:lpstr>sizing_w01_chosen</vt:lpstr>
      <vt:lpstr>sizing_w01_gm_chosen</vt:lpstr>
      <vt:lpstr>sizing_w01_nsxt_appliance_size</vt:lpstr>
      <vt:lpstr>sizing_w01_nsxt_gm_appliance_size</vt:lpstr>
      <vt:lpstr>sizing_w01_nsxt_model</vt:lpstr>
      <vt:lpstr>sizing_w01_spr_chosen</vt:lpstr>
      <vt:lpstr>sizing_w01_ssp_chosen</vt:lpstr>
      <vt:lpstr>sizing_w01_vcenter_appliance_size</vt:lpstr>
      <vt:lpstr>sizing_w01_vcenter_storage_size</vt:lpstr>
      <vt:lpstr>sizing_w02_avi_appliance_size</vt:lpstr>
      <vt:lpstr>sizing_w02_chosen</vt:lpstr>
      <vt:lpstr>sizing_w02_gm_chosen</vt:lpstr>
      <vt:lpstr>sizing_w02_nsxt_appliance_size</vt:lpstr>
      <vt:lpstr>sizing_w02_nsxt_gm_appliance_size</vt:lpstr>
      <vt:lpstr>sizing_w02_nsxt_model</vt:lpstr>
      <vt:lpstr>sizing_w02_spr_chosen</vt:lpstr>
      <vt:lpstr>sizing_w02_ssp_chosen</vt:lpstr>
      <vt:lpstr>sizing_w02_vcenter_appliance_size</vt:lpstr>
      <vt:lpstr>sizing_w02_vcenter_storage_size</vt:lpstr>
      <vt:lpstr>sizing_w03_avi_appliance_size</vt:lpstr>
      <vt:lpstr>sizing_w03_chosen</vt:lpstr>
      <vt:lpstr>sizing_w03_gm_chosen</vt:lpstr>
      <vt:lpstr>sizing_w03_nsxt_appliance_size</vt:lpstr>
      <vt:lpstr>sizing_w03_nsxt_gm_appliance_size</vt:lpstr>
      <vt:lpstr>sizing_w03_nsxt_model</vt:lpstr>
      <vt:lpstr>sizing_w03_spr_chosen</vt:lpstr>
      <vt:lpstr>sizing_w03_ssp_chosen</vt:lpstr>
      <vt:lpstr>sizing_w03_vcenter_appliance_size</vt:lpstr>
      <vt:lpstr>sizing_w03_vcenter_storage_size</vt:lpstr>
      <vt:lpstr>sizing_w04_avi_appliance_size</vt:lpstr>
      <vt:lpstr>sizing_w04_chosen</vt:lpstr>
      <vt:lpstr>sizing_w04_gm_chosen</vt:lpstr>
      <vt:lpstr>sizing_w04_nsxt_appliance_size</vt:lpstr>
      <vt:lpstr>sizing_w04_nsxt_gm_appliance_size</vt:lpstr>
      <vt:lpstr>sizing_w04_nsxt_model</vt:lpstr>
      <vt:lpstr>sizing_w04_spr_chosen</vt:lpstr>
      <vt:lpstr>sizing_w04_ssp_chosen</vt:lpstr>
      <vt:lpstr>sizing_w04_vcenter_appliance_size</vt:lpstr>
      <vt:lpstr>sizing_w04_vcenter_storage_size</vt:lpstr>
      <vt:lpstr>sizing_w05_avi_appliance_size</vt:lpstr>
      <vt:lpstr>sizing_w05_chosen</vt:lpstr>
      <vt:lpstr>sizing_w05_gm_chosen</vt:lpstr>
      <vt:lpstr>sizing_w05_nsxt_appliance_size</vt:lpstr>
      <vt:lpstr>sizing_w05_nsxt_gm_appliance_size</vt:lpstr>
      <vt:lpstr>sizing_w05_nsxt_model</vt:lpstr>
      <vt:lpstr>sizing_w05_spr_chosen</vt:lpstr>
      <vt:lpstr>sizing_w05_ssp_chosen</vt:lpstr>
      <vt:lpstr>sizing_w05_vcenter_appliance_size</vt:lpstr>
      <vt:lpstr>sizing_w05_vcenter_storage_size</vt:lpstr>
      <vt:lpstr>sizing_w06_avi_appliance_size</vt:lpstr>
      <vt:lpstr>sizing_w06_chosen</vt:lpstr>
      <vt:lpstr>sizing_w06_gm_chosen</vt:lpstr>
      <vt:lpstr>sizing_w06_nsxt_appliance_size</vt:lpstr>
      <vt:lpstr>sizing_w06_nsxt_gm_appliance_size</vt:lpstr>
      <vt:lpstr>sizing_w06_nsxt_model</vt:lpstr>
      <vt:lpstr>sizing_w06_spr_chosen</vt:lpstr>
      <vt:lpstr>sizing_w06_ssp_chosen</vt:lpstr>
      <vt:lpstr>sizing_w06_vcenter_appliance_size</vt:lpstr>
      <vt:lpstr>sizing_w06_vcenter_storage_size</vt:lpstr>
      <vt:lpstr>sizing_w07_avi_appliance_size</vt:lpstr>
      <vt:lpstr>sizing_w07_chosen</vt:lpstr>
      <vt:lpstr>sizing_w07_gm_chosen</vt:lpstr>
      <vt:lpstr>sizing_w07_nsxt_appliance_size</vt:lpstr>
      <vt:lpstr>sizing_w07_nsxt_gm_appliance_size</vt:lpstr>
      <vt:lpstr>sizing_w07_nsxt_model</vt:lpstr>
      <vt:lpstr>sizing_w07_spr_chosen</vt:lpstr>
      <vt:lpstr>sizing_w07_ssp_chosen</vt:lpstr>
      <vt:lpstr>sizing_w07_vcenter_appliance_size</vt:lpstr>
      <vt:lpstr>sizing_w07_vcenter_storage_size</vt:lpstr>
      <vt:lpstr>sizing_w08_avi_appliance_size</vt:lpstr>
      <vt:lpstr>sizing_w08_chosen</vt:lpstr>
      <vt:lpstr>sizing_w08_gm_chosen</vt:lpstr>
      <vt:lpstr>sizing_w08_nsxt_appliance_size</vt:lpstr>
      <vt:lpstr>sizing_w08_nsxt_gm_appliance_size</vt:lpstr>
      <vt:lpstr>sizing_w08_nsxt_model</vt:lpstr>
      <vt:lpstr>sizing_w08_spr_chosen</vt:lpstr>
      <vt:lpstr>sizing_w08_ssp_chosen</vt:lpstr>
      <vt:lpstr>sizing_w08_vcenter_appliance_size</vt:lpstr>
      <vt:lpstr>sizing_w08_vcenter_storage_size</vt:lpstr>
      <vt:lpstr>sizing_w09_avi_appliance_size</vt:lpstr>
      <vt:lpstr>sizing_w09_chosen</vt:lpstr>
      <vt:lpstr>sizing_w09_gm_chosen</vt:lpstr>
      <vt:lpstr>sizing_w09_nsxt_appliance_size</vt:lpstr>
      <vt:lpstr>sizing_w09_nsxt_gm_appliance_size</vt:lpstr>
      <vt:lpstr>sizing_w09_nsxt_model</vt:lpstr>
      <vt:lpstr>sizing_w09_spr_chosen</vt:lpstr>
      <vt:lpstr>sizing_w09_ssp_chosen</vt:lpstr>
      <vt:lpstr>sizing_w09_vcenter_appliance_size</vt:lpstr>
      <vt:lpstr>sizing_w09_vcenter_storage_size</vt:lpstr>
      <vt:lpstr>sizing_w10_avi_appliance_size</vt:lpstr>
      <vt:lpstr>sizing_w10_chosen</vt:lpstr>
      <vt:lpstr>sizing_w10_gm_chosen</vt:lpstr>
      <vt:lpstr>sizing_w10_nsxt_appliance_size</vt:lpstr>
      <vt:lpstr>sizing_w10_nsxt_gm_appliance_size</vt:lpstr>
      <vt:lpstr>sizing_w10_nsxt_model</vt:lpstr>
      <vt:lpstr>sizing_w10_spr_chosen</vt:lpstr>
      <vt:lpstr>sizing_w10_ssp_chosen</vt:lpstr>
      <vt:lpstr>sizing_w10_vcenter_appliance_size</vt:lpstr>
      <vt:lpstr>sizing_w10_vcenter_storage_size</vt:lpstr>
      <vt:lpstr>sizing_w11_avi_appliance_size</vt:lpstr>
      <vt:lpstr>sizing_w11_chosen</vt:lpstr>
      <vt:lpstr>sizing_w11_gm_chosen</vt:lpstr>
      <vt:lpstr>sizing_w11_nsxt_appliance_size</vt:lpstr>
      <vt:lpstr>sizing_w11_nsxt_gm_appliance_size</vt:lpstr>
      <vt:lpstr>sizing_w11_nsxt_model</vt:lpstr>
      <vt:lpstr>sizing_w11_spr_chosen</vt:lpstr>
      <vt:lpstr>sizing_w11_ssp_chosen</vt:lpstr>
      <vt:lpstr>sizing_w11_vcenter_appliance_size</vt:lpstr>
      <vt:lpstr>sizing_w11_vcenter_storage_size</vt:lpstr>
      <vt:lpstr>sizing_w12_avi_appliance_size</vt:lpstr>
      <vt:lpstr>sizing_w12_chosen</vt:lpstr>
      <vt:lpstr>sizing_w12_gm_chosen</vt:lpstr>
      <vt:lpstr>sizing_w12_nsxt_appliance_size</vt:lpstr>
      <vt:lpstr>sizing_w12_nsxt_gm_appliance_size</vt:lpstr>
      <vt:lpstr>sizing_w12_nsxt_model</vt:lpstr>
      <vt:lpstr>sizing_w12_spr_chosen</vt:lpstr>
      <vt:lpstr>sizing_w12_ssp_chosen</vt:lpstr>
      <vt:lpstr>sizing_w12_vcenter_appliance_size</vt:lpstr>
      <vt:lpstr>sizing_w12_vcenter_storage_size</vt:lpstr>
      <vt:lpstr>sizing_w13_avi_appliance_size</vt:lpstr>
      <vt:lpstr>sizing_w13_chosen</vt:lpstr>
      <vt:lpstr>sizing_w13_gm_chosen</vt:lpstr>
      <vt:lpstr>sizing_w13_nsxt_appliance_size</vt:lpstr>
      <vt:lpstr>sizing_w13_nsxt_gm_appliance_size</vt:lpstr>
      <vt:lpstr>sizing_w13_nsxt_model</vt:lpstr>
      <vt:lpstr>sizing_w13_spr_chosen</vt:lpstr>
      <vt:lpstr>sizing_w13_ssp_chosen</vt:lpstr>
      <vt:lpstr>sizing_w13_vcenter_appliance_size</vt:lpstr>
      <vt:lpstr>sizing_w13_vcenter_storage_size</vt:lpstr>
      <vt:lpstr>sizing_w14_avi_appliance_size</vt:lpstr>
      <vt:lpstr>sizing_w14_chosen</vt:lpstr>
      <vt:lpstr>sizing_w14_gm_chosen</vt:lpstr>
      <vt:lpstr>sizing_w14_nsxt_appliance_size</vt:lpstr>
      <vt:lpstr>sizing_w14_nsxt_gm_appliance_size</vt:lpstr>
      <vt:lpstr>sizing_w14_nsxt_model</vt:lpstr>
      <vt:lpstr>sizing_w14_spr_chosen</vt:lpstr>
      <vt:lpstr>sizing_w14_ssp_chosen</vt:lpstr>
      <vt:lpstr>sizing_w14_vcenter_appliance_size</vt:lpstr>
      <vt:lpstr>sizing_w14_vcenter_storage_size</vt:lpstr>
      <vt:lpstr>sizing_w15_avi_appliance_size</vt:lpstr>
      <vt:lpstr>sizing_w15_chosen</vt:lpstr>
      <vt:lpstr>sizing_w15_gm_chosen</vt:lpstr>
      <vt:lpstr>sizing_w15_nsxt_appliance_size</vt:lpstr>
      <vt:lpstr>sizing_w15_nsxt_gm_appliance_size</vt:lpstr>
      <vt:lpstr>sizing_w15_nsxt_model</vt:lpstr>
      <vt:lpstr>sizing_w15_spr_chosen</vt:lpstr>
      <vt:lpstr>sizing_w15_ssp_chosen</vt:lpstr>
      <vt:lpstr>sizing_w15_vcenter_appliance_size</vt:lpstr>
      <vt:lpstr>sizing_w15_vcenter_storage_size</vt:lpstr>
      <vt:lpstr>sizing_w16_avi_appliance_size</vt:lpstr>
      <vt:lpstr>sizing_w16_chosen</vt:lpstr>
      <vt:lpstr>sizing_w16_gm_chosen</vt:lpstr>
      <vt:lpstr>sizing_w16_nsxt_appliance_size</vt:lpstr>
      <vt:lpstr>sizing_w16_nsxt_gm_appliance_size</vt:lpstr>
      <vt:lpstr>sizing_w16_nsxt_model</vt:lpstr>
      <vt:lpstr>sizing_w16_spr_chosen</vt:lpstr>
      <vt:lpstr>sizing_w16_ssp_chosen</vt:lpstr>
      <vt:lpstr>sizing_w16_vcenter_appliance_size</vt:lpstr>
      <vt:lpstr>sizing_w16_vcenter_storage_size</vt:lpstr>
      <vt:lpstr>sizing_w17_avi_appliance_size</vt:lpstr>
      <vt:lpstr>sizing_w17_chosen</vt:lpstr>
      <vt:lpstr>sizing_w17_gm_chosen</vt:lpstr>
      <vt:lpstr>sizing_w17_nsxt_appliance_size</vt:lpstr>
      <vt:lpstr>sizing_w17_nsxt_gm_appliance_size</vt:lpstr>
      <vt:lpstr>sizing_w17_nsxt_model</vt:lpstr>
      <vt:lpstr>sizing_w17_spr_chosen</vt:lpstr>
      <vt:lpstr>sizing_w17_ssp_chosen</vt:lpstr>
      <vt:lpstr>sizing_w17_vcenter_appliance_size</vt:lpstr>
      <vt:lpstr>sizing_w17_vcenter_storage_size</vt:lpstr>
      <vt:lpstr>sizing_w18_avi_appliance_size</vt:lpstr>
      <vt:lpstr>sizing_w18_chosen</vt:lpstr>
      <vt:lpstr>sizing_w18_gm_chosen</vt:lpstr>
      <vt:lpstr>sizing_w18_nsxt_appliance_size</vt:lpstr>
      <vt:lpstr>sizing_w18_nsxt_gm_appliance_size</vt:lpstr>
      <vt:lpstr>sizing_w18_nsxt_model</vt:lpstr>
      <vt:lpstr>sizing_w18_spr_chosen</vt:lpstr>
      <vt:lpstr>sizing_w18_ssp_chosen</vt:lpstr>
      <vt:lpstr>sizing_w18_vcenter_appliance_size</vt:lpstr>
      <vt:lpstr>sizing_w18_vcenter_storage_size</vt:lpstr>
      <vt:lpstr>sizing_w19_avi_appliance_size</vt:lpstr>
      <vt:lpstr>sizing_w19_chosen</vt:lpstr>
      <vt:lpstr>sizing_w19_gm_chosen</vt:lpstr>
      <vt:lpstr>sizing_w19_nsxt_appliance_size</vt:lpstr>
      <vt:lpstr>sizing_w19_nsxt_gm_appliance_size</vt:lpstr>
      <vt:lpstr>sizing_w19_nsxt_model</vt:lpstr>
      <vt:lpstr>sizing_w19_spr_chosen</vt:lpstr>
      <vt:lpstr>sizing_w19_ssp_chosen</vt:lpstr>
      <vt:lpstr>sizing_w19_vcenter_appliance_size</vt:lpstr>
      <vt:lpstr>sizing_w19_vcenter_storage_size</vt:lpstr>
      <vt:lpstr>sizing_w20_avi_appliance_size</vt:lpstr>
      <vt:lpstr>sizing_w20_chosen</vt:lpstr>
      <vt:lpstr>sizing_w20_gm_chosen</vt:lpstr>
      <vt:lpstr>sizing_w20_nsxt_appliance_size</vt:lpstr>
      <vt:lpstr>sizing_w20_nsxt_gm_appliance_size</vt:lpstr>
      <vt:lpstr>sizing_w20_nsxt_model</vt:lpstr>
      <vt:lpstr>sizing_w20_spr_chosen</vt:lpstr>
      <vt:lpstr>sizing_w20_ssp_chosen</vt:lpstr>
      <vt:lpstr>sizing_w20_vcenter_appliance_size</vt:lpstr>
      <vt:lpstr>sizing_w20_vcenter_storage_size</vt:lpstr>
      <vt:lpstr>sizing_w21_avi_appliance_size</vt:lpstr>
      <vt:lpstr>sizing_w21_chosen</vt:lpstr>
      <vt:lpstr>sizing_w21_gm_chosen</vt:lpstr>
      <vt:lpstr>sizing_w21_nsxt_appliance_size</vt:lpstr>
      <vt:lpstr>sizing_w21_nsxt_gm_appliance_size</vt:lpstr>
      <vt:lpstr>sizing_w21_nsxt_model</vt:lpstr>
      <vt:lpstr>sizing_w21_spr_chosen</vt:lpstr>
      <vt:lpstr>sizing_w21_ssp_chosen</vt:lpstr>
      <vt:lpstr>sizing_w21_vcenter_appliance_size</vt:lpstr>
      <vt:lpstr>sizing_w21_vcenter_storage_size</vt:lpstr>
      <vt:lpstr>sizing_w22_avi_appliance_size</vt:lpstr>
      <vt:lpstr>sizing_w22_chosen</vt:lpstr>
      <vt:lpstr>sizing_w22_gm_chosen</vt:lpstr>
      <vt:lpstr>sizing_w22_nsxt_appliance_size</vt:lpstr>
      <vt:lpstr>sizing_w22_nsxt_gm_appliance_size</vt:lpstr>
      <vt:lpstr>sizing_w22_nsxt_model</vt:lpstr>
      <vt:lpstr>sizing_w22_spr_chosen</vt:lpstr>
      <vt:lpstr>sizing_w22_ssp_chosen</vt:lpstr>
      <vt:lpstr>sizing_w22_vcenter_appliance_size</vt:lpstr>
      <vt:lpstr>sizing_w22_vcenter_storage_size</vt:lpstr>
      <vt:lpstr>sizing_w23_avi_appliance_size</vt:lpstr>
      <vt:lpstr>sizing_w23_chosen</vt:lpstr>
      <vt:lpstr>sizing_w23_gm_chosen</vt:lpstr>
      <vt:lpstr>sizing_w23_nsxt_appliance_size</vt:lpstr>
      <vt:lpstr>sizing_w23_nsxt_gm_appliance_size</vt:lpstr>
      <vt:lpstr>sizing_w23_nsxt_model</vt:lpstr>
      <vt:lpstr>sizing_w23_spr_chosen</vt:lpstr>
      <vt:lpstr>sizing_w23_ssp_chosen</vt:lpstr>
      <vt:lpstr>sizing_w23_vcenter_appliance_size</vt:lpstr>
      <vt:lpstr>sizing_w23_vcenter_storage_size</vt:lpstr>
      <vt:lpstr>sizing_w24_avi_appliance_size</vt:lpstr>
      <vt:lpstr>sizing_w24_chosen</vt:lpstr>
      <vt:lpstr>sizing_w24_gm_chosen</vt:lpstr>
      <vt:lpstr>sizing_w24_nsxt_appliance_size</vt:lpstr>
      <vt:lpstr>sizing_w24_nsxt_gm_appliance_size</vt:lpstr>
      <vt:lpstr>sizing_w24_nsxt_model</vt:lpstr>
      <vt:lpstr>sizing_w24_spr_chosen</vt:lpstr>
      <vt:lpstr>sizing_w24_ssp_chosen</vt:lpstr>
      <vt:lpstr>sizing_w24_vcenter_appliance_size</vt:lpstr>
      <vt:lpstr>sizing_w24_vcenter_storage_size</vt:lpstr>
      <vt:lpstr>sizing_wld_avilb_cluster_formfactor_chosen</vt:lpstr>
      <vt:lpstr>sizing_wld_nsxt_gm_appliance_size_chosen</vt:lpstr>
      <vt:lpstr>smtp_server</vt:lpstr>
      <vt:lpstr>smtp_server_port</vt:lpstr>
      <vt:lpstr>spr_chosen</vt:lpstr>
      <vt:lpstr>spr_mo_result</vt:lpstr>
      <vt:lpstr>spr_mw_result</vt:lpstr>
      <vt:lpstr>spr_result</vt:lpstr>
      <vt:lpstr>spr_wo_result</vt:lpstr>
      <vt:lpstr>srm_appliance_size</vt:lpstr>
      <vt:lpstr>sso_default_admin</vt:lpstr>
      <vt:lpstr>storage_autopolicy</vt:lpstr>
      <vt:lpstr>storage_ftt</vt:lpstr>
      <vt:lpstr>svc_cbr_vcdr_vsphere_password</vt:lpstr>
      <vt:lpstr>svc_cbr_vcdr_vsphere_user</vt:lpstr>
      <vt:lpstr>svc_my_vmware_password</vt:lpstr>
      <vt:lpstr>svc_vcf_bck_password</vt:lpstr>
      <vt:lpstr>svc_vra_nsx_password</vt:lpstr>
      <vt:lpstr>svc_vra_vcf_password</vt:lpstr>
      <vt:lpstr>svc_vra_vrops_password</vt:lpstr>
      <vt:lpstr>svc_vra_vsphere_password</vt:lpstr>
      <vt:lpstr>svc_vrli_vrops_password</vt:lpstr>
      <vt:lpstr>svc_vro_vsphere_password</vt:lpstr>
      <vt:lpstr>svc_vrops_nsx_password</vt:lpstr>
      <vt:lpstr>svc_vrops_vra_password</vt:lpstr>
      <vt:lpstr>svc_vrops_vsan_password</vt:lpstr>
      <vt:lpstr>svc_vrops_vsphere_password</vt:lpstr>
      <vt:lpstr>table_avi_lb_cpu</vt:lpstr>
      <vt:lpstr>table_avi_lb_disk</vt:lpstr>
      <vt:lpstr>table_avi_lb_ram</vt:lpstr>
      <vt:lpstr>table_cidr_to_mask</vt:lpstr>
      <vt:lpstr>table_mask_to_cidr</vt:lpstr>
      <vt:lpstr>table_masks</vt:lpstr>
      <vt:lpstr>table_nsxt_deployment_model</vt:lpstr>
      <vt:lpstr>table_nsxt_deployment_model_dedicated</vt:lpstr>
      <vt:lpstr>table_nsxt_edge_cpu</vt:lpstr>
      <vt:lpstr>table_nsxt_edge_disk_gb</vt:lpstr>
      <vt:lpstr>table_nsxt_edge_ram</vt:lpstr>
      <vt:lpstr>table_nsxt_manager_cpu</vt:lpstr>
      <vt:lpstr>table_nsxt_manager_disk_gb</vt:lpstr>
      <vt:lpstr>table_nsxt_manager_ram</vt:lpstr>
      <vt:lpstr>table_srm_cpu</vt:lpstr>
      <vt:lpstr>table_srm_disk</vt:lpstr>
      <vt:lpstr>table_srm_ram</vt:lpstr>
      <vt:lpstr>table_ssp_cpu</vt:lpstr>
      <vt:lpstr>table_ssp_disk</vt:lpstr>
      <vt:lpstr>table_ssp_ram</vt:lpstr>
      <vt:lpstr>table_ssp_sizes</vt:lpstr>
      <vt:lpstr>table_vcenter_appliance_cpu</vt:lpstr>
      <vt:lpstr>table_vcenter_appliance_ram</vt:lpstr>
      <vt:lpstr>table_vcenter_disk_gb</vt:lpstr>
      <vt:lpstr>table_vcf_version5x_mgmt_vlcm_image</vt:lpstr>
      <vt:lpstr>table_vcf_version5x_mgmt_vlcm_type</vt:lpstr>
      <vt:lpstr>table_vcf_version5x_mgmt_vsan_type</vt:lpstr>
      <vt:lpstr>table_vcf_version5x_wld_storage_type</vt:lpstr>
      <vt:lpstr>table_vcf_version9x_cluster_storage_type</vt:lpstr>
      <vt:lpstr>table_vcfa_appliance_cpu</vt:lpstr>
      <vt:lpstr>table_vcfa_appliance_disk</vt:lpstr>
      <vt:lpstr>table_vcfa_appliance_ram</vt:lpstr>
      <vt:lpstr>table_vcfo_appliance_cpu</vt:lpstr>
      <vt:lpstr>table_vcfo_appliance_disk</vt:lpstr>
      <vt:lpstr>table_vcfo_appliance_ram</vt:lpstr>
      <vt:lpstr>table_vcfo_p_cpu</vt:lpstr>
      <vt:lpstr>table_vcfo_p_disk</vt:lpstr>
      <vt:lpstr>table_vcfo_p_ram</vt:lpstr>
      <vt:lpstr>table_vcfops_appliance_cpu</vt:lpstr>
      <vt:lpstr>table_vcfops_appliance_disk</vt:lpstr>
      <vt:lpstr>table_vcfops_appliance_ram</vt:lpstr>
      <vt:lpstr>table_vcfopsnet_appliance_cpu</vt:lpstr>
      <vt:lpstr>table_vcfopsnet_appliance_disk</vt:lpstr>
      <vt:lpstr>table_vcfopsnet_appliance_ram</vt:lpstr>
      <vt:lpstr>table_vcfopsnet_collector_cpu</vt:lpstr>
      <vt:lpstr>table_vcfopsnet_collector_disk</vt:lpstr>
      <vt:lpstr>table_vcfopsnet_collector_ram</vt:lpstr>
      <vt:lpstr>table_vrli_appliance_cpu</vt:lpstr>
      <vt:lpstr>table_vrli_appliance_disk</vt:lpstr>
      <vt:lpstr>table_vrli_appliance_ram</vt:lpstr>
      <vt:lpstr>table_vrms_cpu</vt:lpstr>
      <vt:lpstr>table_vrms_disk</vt:lpstr>
      <vt:lpstr>table_vrms_ram</vt:lpstr>
      <vt:lpstr>table_wsa_appliance_cpu</vt:lpstr>
      <vt:lpstr>table_wsa_appliance_disk</vt:lpstr>
      <vt:lpstr>table_wsa_appliance_ram</vt:lpstr>
      <vt:lpstr>this_instance</vt:lpstr>
      <vt:lpstr>user_svc_vcf_bck</vt:lpstr>
      <vt:lpstr>user_svc_vcf_ca_vcf</vt:lpstr>
      <vt:lpstr>user_svc_vra_nsx</vt:lpstr>
      <vt:lpstr>user_svc_vra_vcf</vt:lpstr>
      <vt:lpstr>user_svc_vra_vrops</vt:lpstr>
      <vt:lpstr>user_svc_vra_vsphere</vt:lpstr>
      <vt:lpstr>user_svc_vrli_vrops</vt:lpstr>
      <vt:lpstr>user_svc_vrli_wsa</vt:lpstr>
      <vt:lpstr>user_svc_vro_vsphere</vt:lpstr>
      <vt:lpstr>user_svc_vrops_nsx</vt:lpstr>
      <vt:lpstr>user_svc_vrops_vra</vt:lpstr>
      <vt:lpstr>user_svc_vrops_vsan</vt:lpstr>
      <vt:lpstr>user_svc_vrops_vsphere</vt:lpstr>
      <vt:lpstr>vcenter_root_password</vt:lpstr>
      <vt:lpstr>vcenter_sizing_limits</vt:lpstr>
      <vt:lpstr>vcf_automation_additional_vips</vt:lpstr>
      <vt:lpstr>vcf_automation_admin_password</vt:lpstr>
      <vt:lpstr>vcf_automation_admin_password_alias</vt:lpstr>
      <vt:lpstr>vcf_automation_admin_password_description</vt:lpstr>
      <vt:lpstr>vcf_automation_admin_username</vt:lpstr>
      <vt:lpstr>vcf_automation_cert_alias</vt:lpstr>
      <vt:lpstr>vcf_automation_cert_common_name</vt:lpstr>
      <vt:lpstr>vcf_automation_cert_country_code</vt:lpstr>
      <vt:lpstr>vcf_automation_cert_file</vt:lpstr>
      <vt:lpstr>vcf_automation_cert_key_length_chosen</vt:lpstr>
      <vt:lpstr>vcf_automation_cert_locality</vt:lpstr>
      <vt:lpstr>vcf_automation_cert_organisation</vt:lpstr>
      <vt:lpstr>vcf_automation_cert_state</vt:lpstr>
      <vt:lpstr>vcf_automation_cert_type_chosen</vt:lpstr>
      <vt:lpstr>vcf_automation_folder</vt:lpstr>
      <vt:lpstr>vcf_automation_gateway_ip</vt:lpstr>
      <vt:lpstr>vcf_automation_internal_cidr_chosen</vt:lpstr>
      <vt:lpstr>vcf_automation_lb_type_chosen</vt:lpstr>
      <vt:lpstr>vcf_automation_mask</vt:lpstr>
      <vt:lpstr>vcf_automation_node_prefix_chosen</vt:lpstr>
      <vt:lpstr>vcf_automation_nodea_ip</vt:lpstr>
      <vt:lpstr>vcf_automation_nodeb_ip</vt:lpstr>
      <vt:lpstr>vcf_automation_nodec_ip</vt:lpstr>
      <vt:lpstr>vcf_automation_noded_ip</vt:lpstr>
      <vt:lpstr>vcf_automation_nodee_ip</vt:lpstr>
      <vt:lpstr>vcf_automation_nodef_ip</vt:lpstr>
      <vt:lpstr>vcf_automation_ou_cert</vt:lpstr>
      <vt:lpstr>vcf_automation_portgroup</vt:lpstr>
      <vt:lpstr>vcf_automation_resource_pool</vt:lpstr>
      <vt:lpstr>vcf_automation_root_password</vt:lpstr>
      <vt:lpstr>vcf_automation_root_password_alias</vt:lpstr>
      <vt:lpstr>vcf_automation_root_password_description</vt:lpstr>
      <vt:lpstr>vcf_automation_root_username</vt:lpstr>
      <vt:lpstr>vcf_automation_size_chosen</vt:lpstr>
      <vt:lpstr>vcf_automation_time_sync_mode_chosen</vt:lpstr>
      <vt:lpstr>vcf_automation_type_chosen</vt:lpstr>
      <vt:lpstr>vcf_automation_version</vt:lpstr>
      <vt:lpstr>vcf_automation_vip_fqdn</vt:lpstr>
      <vt:lpstr>vcf_automation_vip_ip</vt:lpstr>
      <vt:lpstr>vcf_granular_option_chosen</vt:lpstr>
      <vt:lpstr>vcf_granular_option_result</vt:lpstr>
      <vt:lpstr>vcf_installer_fqdn</vt:lpstr>
      <vt:lpstr>vcf_installer_hostname</vt:lpstr>
      <vt:lpstr>vcf_installer_ip</vt:lpstr>
      <vt:lpstr>vcf_instance_name</vt:lpstr>
      <vt:lpstr>vcf_pnp_option_no</vt:lpstr>
      <vt:lpstr>vcf_pnp_option_yes</vt:lpstr>
      <vt:lpstr>vcf_pnp_result_exclude</vt:lpstr>
      <vt:lpstr>vcf_pnp_result_excluded</vt:lpstr>
      <vt:lpstr>vcf_pnp_result_include</vt:lpstr>
      <vt:lpstr>vcf_version</vt:lpstr>
      <vt:lpstr>vcf_version_chosen</vt:lpstr>
      <vt:lpstr>vcf_version_result</vt:lpstr>
      <vt:lpstr>vcf_vi_isolated_domain_count</vt:lpstr>
      <vt:lpstr>vcf_vi_wld_domain_count</vt:lpstr>
      <vt:lpstr>vi_only_viable</vt:lpstr>
      <vt:lpstr>VMware_Cloud_Foundation</vt:lpstr>
      <vt:lpstr>VMware_vSphere_Foundation</vt:lpstr>
      <vt:lpstr>vrms_appliance_size</vt:lpstr>
      <vt:lpstr>vrslcm_admin_password</vt:lpstr>
      <vt:lpstr>vrslcm_root_password</vt:lpstr>
      <vt:lpstr>vrslcm_xreg_content_library</vt:lpstr>
      <vt:lpstr>vrslcm_xreg_vm_folder</vt:lpstr>
      <vt:lpstr>vs_dr_site_pair</vt:lpstr>
      <vt:lpstr>vsphere_8u1_evc_table</vt:lpstr>
      <vt:lpstr>vvf_mgmt_cl01_vds_standard_preconfigured_profiles</vt:lpstr>
      <vt:lpstr>vvs_dr_dns1_ip</vt:lpstr>
      <vt:lpstr>vvs_dr_dns2_ip</vt:lpstr>
      <vt:lpstr>vvs_dr_flt_auto_fqdn</vt:lpstr>
      <vt:lpstr>vvs_dr_flt_fleet_manager_fqdn</vt:lpstr>
      <vt:lpstr>vvs_dr_flt_fleet_manager_hostname</vt:lpstr>
      <vt:lpstr>vvs_dr_flt_logs_nodea_fqdn</vt:lpstr>
      <vt:lpstr>vvs_dr_flt_logs_nodea_hostname</vt:lpstr>
      <vt:lpstr>vvs_dr_flt_logs_nodeb_fqdn</vt:lpstr>
      <vt:lpstr>vvs_dr_flt_logs_nodeb_hostname</vt:lpstr>
      <vt:lpstr>vvs_dr_flt_logs_nodec_fqdn</vt:lpstr>
      <vt:lpstr>vvs_dr_flt_logs_nodec_hostname</vt:lpstr>
      <vt:lpstr>vvs_dr_flt_net_nodea_fqdn</vt:lpstr>
      <vt:lpstr>vvs_dr_flt_net_nodea_hostname</vt:lpstr>
      <vt:lpstr>vvs_dr_flt_net_nodeb_fqdn</vt:lpstr>
      <vt:lpstr>vvs_dr_flt_net_nodeb_hostname</vt:lpstr>
      <vt:lpstr>vvs_dr_flt_net_nodec_fqdn</vt:lpstr>
      <vt:lpstr>vvs_dr_flt_net_nodec_hostname</vt:lpstr>
      <vt:lpstr>vvs_dr_flt_ops_nodea_fqdn</vt:lpstr>
      <vt:lpstr>vvs_dr_flt_ops_nodea_hostname</vt:lpstr>
      <vt:lpstr>vvs_dr_flt_ops_nodeb_fqdn</vt:lpstr>
      <vt:lpstr>vvs_dr_flt_ops_nodeb_hostname</vt:lpstr>
      <vt:lpstr>vvs_dr_flt_ops_nodec_fqdn</vt:lpstr>
      <vt:lpstr>vvs_dr_flt_ops_nodec_hostname</vt:lpstr>
      <vt:lpstr>vvs_dr_mgmt_cl01_cluster</vt:lpstr>
      <vt:lpstr>vvs_dr_mgmt_cl01_datastore</vt:lpstr>
      <vt:lpstr>vvs_dr_mgmt_vc_fqdn</vt:lpstr>
      <vt:lpstr>vvs_dr_ntp1_server</vt:lpstr>
      <vt:lpstr>vvs_dr_parent_dns_zone</vt:lpstr>
      <vt:lpstr>vvs_dr_sso_domain</vt:lpstr>
      <vt:lpstr>vvs_dr_vr_password</vt:lpstr>
      <vt:lpstr>vvs_dr_vr_username</vt:lpstr>
      <vt:lpstr>vvs_mgmt_dr_vlr_fqdn</vt:lpstr>
      <vt:lpstr>vvs_mgmt_dr_vlr_hostname</vt:lpstr>
      <vt:lpstr>witness_dns_zone</vt:lpstr>
      <vt:lpstr>witness_dns1_ip</vt:lpstr>
      <vt:lpstr>witness_dns2_ip</vt:lpstr>
      <vt:lpstr>witness_ntp1_server</vt:lpstr>
      <vt:lpstr>witness_ntp2_server</vt:lpstr>
      <vt:lpstr>wld_administrator_vsphere_local_password</vt:lpstr>
      <vt:lpstr>wld_avi_loadbalancer_chosen</vt:lpstr>
      <vt:lpstr>wld_avi_loadbalancer_result</vt:lpstr>
      <vt:lpstr>wld_avilb_cluster_name</vt:lpstr>
      <vt:lpstr>wld_avilb_cluster_version</vt:lpstr>
      <vt:lpstr>wld_avilb_fqdn</vt:lpstr>
      <vt:lpstr>wld_avilb_hostname</vt:lpstr>
      <vt:lpstr>wld_avilb_ip</vt:lpstr>
      <vt:lpstr>wld_avilb_mgra_ip</vt:lpstr>
      <vt:lpstr>wld_avilb_mgrb_ip</vt:lpstr>
      <vt:lpstr>wld_avilb_mgrc_ip</vt:lpstr>
      <vt:lpstr>wld_az1_ec01_password_creation_chosen</vt:lpstr>
      <vt:lpstr>wld_az1_edge_overlay_cidr</vt:lpstr>
      <vt:lpstr>wld_az1_edge_overlay_gateway_ip</vt:lpstr>
      <vt:lpstr>wld_az1_edge_overlay_mask</vt:lpstr>
      <vt:lpstr>wld_az1_edge_overlay_mtu</vt:lpstr>
      <vt:lpstr>wld_az1_edge_overlay_network</vt:lpstr>
      <vt:lpstr>wld_az1_edge_overlay_network_pool_name</vt:lpstr>
      <vt:lpstr>wld_az1_edge_overlay_pg</vt:lpstr>
      <vt:lpstr>wld_az1_edge_overlay_pool_end_ip</vt:lpstr>
      <vt:lpstr>wld_az1_edge_overlay_pool_start_ip</vt:lpstr>
      <vt:lpstr>wld_az1_edge_overlay_vlan</vt:lpstr>
      <vt:lpstr>wld_az1_en1_edge_overlay_interface_ip_1_ip</vt:lpstr>
      <vt:lpstr>wld_az1_en1_edge_overlay_interface_ip_2_ip</vt:lpstr>
      <vt:lpstr>wld_az1_en1_edge_overlay_network_ip_allocation_chosen</vt:lpstr>
      <vt:lpstr>wld_az1_en1_eth0_uplink0</vt:lpstr>
      <vt:lpstr>wld_az1_en1_eth0_uplink1</vt:lpstr>
      <vt:lpstr>wld_az1_en1_eth1_uplink0</vt:lpstr>
      <vt:lpstr>wld_az1_en1_eth1_uplink1</vt:lpstr>
      <vt:lpstr>wld_az1_en1_fqdn</vt:lpstr>
      <vt:lpstr>wld_az1_en1_hostname</vt:lpstr>
      <vt:lpstr>wld_az1_en1_ip_allocation_chosen</vt:lpstr>
      <vt:lpstr>wld_az1_en1_mgmt_cidr</vt:lpstr>
      <vt:lpstr>wld_az1_en1_mgmt_ip</vt:lpstr>
      <vt:lpstr>wld_az1_en1_uplink01_interface_cidr</vt:lpstr>
      <vt:lpstr>wld_az1_en1_uplink02_interface_cidr</vt:lpstr>
      <vt:lpstr>wld_az1_en2_edge_overlay_interface_ip_1_ip</vt:lpstr>
      <vt:lpstr>wld_az1_en2_edge_overlay_interface_ip_2_ip</vt:lpstr>
      <vt:lpstr>wld_az1_en2_eth0_uplink0</vt:lpstr>
      <vt:lpstr>wld_az1_en2_eth0_uplink1</vt:lpstr>
      <vt:lpstr>wld_az1_en2_eth1_uplink0</vt:lpstr>
      <vt:lpstr>wld_az1_en2_eth1_uplink1</vt:lpstr>
      <vt:lpstr>wld_az1_en2_fqdn</vt:lpstr>
      <vt:lpstr>wld_az1_en2_hostname</vt:lpstr>
      <vt:lpstr>wld_az1_en2_ip_allocation_chosen</vt:lpstr>
      <vt:lpstr>wld_az1_en2_mgmt_cidr</vt:lpstr>
      <vt:lpstr>wld_az1_en2_mgmt_ip</vt:lpstr>
      <vt:lpstr>wld_az1_en2_uplink01_interface_cidr</vt:lpstr>
      <vt:lpstr>wld_az1_en2_uplink02_interface_cidr</vt:lpstr>
      <vt:lpstr>wld_az1_host_fqdns</vt:lpstr>
      <vt:lpstr>wld_az1_host_hostnames</vt:lpstr>
      <vt:lpstr>wld_az1_host_mgmt_ips</vt:lpstr>
      <vt:lpstr>wld_az1_host_overlay_cidr</vt:lpstr>
      <vt:lpstr>wld_az1_host_overlay_gateway_ip</vt:lpstr>
      <vt:lpstr>wld_az1_host_overlay_mask</vt:lpstr>
      <vt:lpstr>wld_az1_host_overlay_mtu</vt:lpstr>
      <vt:lpstr>wld_az1_host_overlay_network</vt:lpstr>
      <vt:lpstr>wld_az1_host_overlay_network_pool_description</vt:lpstr>
      <vt:lpstr>wld_az1_host_overlay_network_pool_name</vt:lpstr>
      <vt:lpstr>wld_az1_host_overlay_network_profile_name</vt:lpstr>
      <vt:lpstr>wld_az1_host_overlay_new_pool_chosen</vt:lpstr>
      <vt:lpstr>wld_az1_host_overlay_pg</vt:lpstr>
      <vt:lpstr>wld_az1_host_overlay_pool_end_ip</vt:lpstr>
      <vt:lpstr>wld_az1_host_overlay_pool_start_ip</vt:lpstr>
      <vt:lpstr>wld_az1_host_overlay_transport_zone</vt:lpstr>
      <vt:lpstr>wld_az1_host_overlay_uplink_profile_name</vt:lpstr>
      <vt:lpstr>wld_az1_host_overlay_vlan</vt:lpstr>
      <vt:lpstr>wld_az1_host1_fqdn</vt:lpstr>
      <vt:lpstr>wld_az1_host1_hostname</vt:lpstr>
      <vt:lpstr>wld_az1_host1_mgmt_ip</vt:lpstr>
      <vt:lpstr>wld_az1_host1_vrms_ip</vt:lpstr>
      <vt:lpstr>wld_az1_host10_fqdn</vt:lpstr>
      <vt:lpstr>wld_az1_host10_hostname</vt:lpstr>
      <vt:lpstr>wld_az1_host10_mgmt_ip</vt:lpstr>
      <vt:lpstr>wld_az1_host10_vrms_ip</vt:lpstr>
      <vt:lpstr>wld_az1_host11_fqdn</vt:lpstr>
      <vt:lpstr>wld_az1_host11_hostname</vt:lpstr>
      <vt:lpstr>wld_az1_host11_mgmt_ip</vt:lpstr>
      <vt:lpstr>wld_az1_host11_vrms_ip</vt:lpstr>
      <vt:lpstr>wld_az1_host12_fqdn</vt:lpstr>
      <vt:lpstr>wld_az1_host12_hostname</vt:lpstr>
      <vt:lpstr>wld_az1_host12_mgmt_ip</vt:lpstr>
      <vt:lpstr>wld_az1_host12_vrms_ip</vt:lpstr>
      <vt:lpstr>wld_az1_host13_fqdn</vt:lpstr>
      <vt:lpstr>wld_az1_host13_hostname</vt:lpstr>
      <vt:lpstr>wld_az1_host13_mgmt_ip</vt:lpstr>
      <vt:lpstr>wld_az1_host13_vrms_ip</vt:lpstr>
      <vt:lpstr>wld_az1_host14_fqdn</vt:lpstr>
      <vt:lpstr>wld_az1_host14_hostname</vt:lpstr>
      <vt:lpstr>wld_az1_host14_mgmt_ip</vt:lpstr>
      <vt:lpstr>wld_az1_host14_vrms_ip</vt:lpstr>
      <vt:lpstr>wld_az1_host15_fqdn</vt:lpstr>
      <vt:lpstr>wld_az1_host15_hostname</vt:lpstr>
      <vt:lpstr>wld_az1_host15_mgmt_ip</vt:lpstr>
      <vt:lpstr>wld_az1_host15_vrms_ip</vt:lpstr>
      <vt:lpstr>wld_az1_host16_fqdn</vt:lpstr>
      <vt:lpstr>wld_az1_host16_hostname</vt:lpstr>
      <vt:lpstr>wld_az1_host16_mgmt_ip</vt:lpstr>
      <vt:lpstr>wld_az1_host16_vrms_ip</vt:lpstr>
      <vt:lpstr>wld_az1_host2_fqdn</vt:lpstr>
      <vt:lpstr>wld_az1_host2_hostname</vt:lpstr>
      <vt:lpstr>wld_az1_host2_mgmt_ip</vt:lpstr>
      <vt:lpstr>wld_az1_host2_vrms_ip</vt:lpstr>
      <vt:lpstr>wld_az1_host3_fqdn</vt:lpstr>
      <vt:lpstr>wld_az1_host3_hostname</vt:lpstr>
      <vt:lpstr>wld_az1_host3_mgmt_ip</vt:lpstr>
      <vt:lpstr>wld_az1_host3_vrms_ip</vt:lpstr>
      <vt:lpstr>wld_az1_host4_fqdn</vt:lpstr>
      <vt:lpstr>wld_az1_host4_hostname</vt:lpstr>
      <vt:lpstr>wld_az1_host4_mgmt_ip</vt:lpstr>
      <vt:lpstr>wld_az1_host4_vrms_ip</vt:lpstr>
      <vt:lpstr>wld_az1_host5_fqdn</vt:lpstr>
      <vt:lpstr>wld_az1_host5_hostname</vt:lpstr>
      <vt:lpstr>wld_az1_host5_mgmt_ip</vt:lpstr>
      <vt:lpstr>wld_az1_host5_vrms_ip</vt:lpstr>
      <vt:lpstr>wld_az1_host6_fqdn</vt:lpstr>
      <vt:lpstr>wld_az1_host6_hostname</vt:lpstr>
      <vt:lpstr>wld_az1_host6_mgmt_ip</vt:lpstr>
      <vt:lpstr>wld_az1_host6_vrms_ip</vt:lpstr>
      <vt:lpstr>wld_az1_host7_fqdn</vt:lpstr>
      <vt:lpstr>wld_az1_host7_hostname</vt:lpstr>
      <vt:lpstr>wld_az1_host7_mgmt_ip</vt:lpstr>
      <vt:lpstr>wld_az1_host7_vrms_ip</vt:lpstr>
      <vt:lpstr>wld_az1_host8_fqdn</vt:lpstr>
      <vt:lpstr>wld_az1_host8_hostname</vt:lpstr>
      <vt:lpstr>wld_az1_host8_mgmt_ip</vt:lpstr>
      <vt:lpstr>wld_az1_host8_vrms_ip</vt:lpstr>
      <vt:lpstr>wld_az1_host9_fqdn</vt:lpstr>
      <vt:lpstr>wld_az1_host9_hostname</vt:lpstr>
      <vt:lpstr>wld_az1_host9_mgmt_ip</vt:lpstr>
      <vt:lpstr>wld_az1_host9_vrms_ip</vt:lpstr>
      <vt:lpstr>wld_az1_mgmt_cidr</vt:lpstr>
      <vt:lpstr>wld_az1_mgmt_gateway_ip</vt:lpstr>
      <vt:lpstr>wld_az1_mgmt_mask</vt:lpstr>
      <vt:lpstr>wld_az1_mgmt_mtu</vt:lpstr>
      <vt:lpstr>wld_az1_mgmt_network</vt:lpstr>
      <vt:lpstr>wld_az1_mgmt_vlan</vt:lpstr>
      <vt:lpstr>wld_az1_mgmt_vm_cidr</vt:lpstr>
      <vt:lpstr>wld_az1_mgmt_vm_gateway_ip</vt:lpstr>
      <vt:lpstr>wld_az1_mgmt_vm_mask</vt:lpstr>
      <vt:lpstr>wld_az1_mgmt_vm_mtu</vt:lpstr>
      <vt:lpstr>wld_az1_mgmt_vm_network</vt:lpstr>
      <vt:lpstr>wld_az1_mgmt_vm_vlan</vt:lpstr>
      <vt:lpstr>wld_az1_nsx_uplink1_active_chosen</vt:lpstr>
      <vt:lpstr>wld_az1_nsx_uplink2_active_chosen</vt:lpstr>
      <vt:lpstr>wld_az1_pool_name</vt:lpstr>
      <vt:lpstr>wld_az1_principal_storage_cidr</vt:lpstr>
      <vt:lpstr>wld_az1_principal_storage_gateway_ip</vt:lpstr>
      <vt:lpstr>wld_az1_principal_storage_mask</vt:lpstr>
      <vt:lpstr>wld_az1_principal_storage_mtu</vt:lpstr>
      <vt:lpstr>wld_az1_principal_storage_network</vt:lpstr>
      <vt:lpstr>wld_az1_principal_storage_pool_end_ip</vt:lpstr>
      <vt:lpstr>wld_az1_principal_storage_pool_start_ip</vt:lpstr>
      <vt:lpstr>wld_az1_principal_storage_vlan</vt:lpstr>
      <vt:lpstr>wld_az1_rack2_edge_overlay_cidr</vt:lpstr>
      <vt:lpstr>wld_az1_rack2_edge_overlay_gateway_ip</vt:lpstr>
      <vt:lpstr>wld_az1_rack2_edge_overlay_mask</vt:lpstr>
      <vt:lpstr>wld_az1_rack2_edge_overlay_mtu</vt:lpstr>
      <vt:lpstr>wld_az1_rack2_edge_overlay_network</vt:lpstr>
      <vt:lpstr>wld_az1_rack2_edge_overlay_network_pool_name</vt:lpstr>
      <vt:lpstr>wld_az1_rack2_edge_overlay_pool_end_ip</vt:lpstr>
      <vt:lpstr>wld_az1_rack2_edge_overlay_pool_start_ip</vt:lpstr>
      <vt:lpstr>wld_az1_rack2_edge_overlay_vlan</vt:lpstr>
      <vt:lpstr>wld_az1_rack2_en1_edge_overlay_interface_ip_1_ip</vt:lpstr>
      <vt:lpstr>wld_az1_rack2_en1_edge_overlay_interface_ip_2_ip</vt:lpstr>
      <vt:lpstr>wld_az1_rack2_en1_fqdn</vt:lpstr>
      <vt:lpstr>wld_az1_rack2_en1_hostname</vt:lpstr>
      <vt:lpstr>wld_az1_rack2_en1_mgmt_ip</vt:lpstr>
      <vt:lpstr>wld_az1_rack2_en1_uplink01_interface_ip</vt:lpstr>
      <vt:lpstr>wld_az1_rack2_en1_uplink02_interface_ip</vt:lpstr>
      <vt:lpstr>wld_az1_rack2_en2_fqdn</vt:lpstr>
      <vt:lpstr>wld_az1_rack2_en2_hostname</vt:lpstr>
      <vt:lpstr>wld_az1_rack2_en2_mgmt_ip</vt:lpstr>
      <vt:lpstr>wld_az1_rack2_en2_uplink01_interface_ip</vt:lpstr>
      <vt:lpstr>wld_az1_rack2_en2_uplink02_interface_ip</vt:lpstr>
      <vt:lpstr>wld_az1_rack2_host_fqdns</vt:lpstr>
      <vt:lpstr>wld_az1_rack2_host_hostnames</vt:lpstr>
      <vt:lpstr>wld_az1_rack2_host_mgmt_ips</vt:lpstr>
      <vt:lpstr>wld_az1_rack2_host_overlay_cidr</vt:lpstr>
      <vt:lpstr>wld_az1_rack2_host_overlay_gateway_ip</vt:lpstr>
      <vt:lpstr>wld_az1_rack2_host_overlay_mask</vt:lpstr>
      <vt:lpstr>wld_az1_rack2_host_overlay_mtu</vt:lpstr>
      <vt:lpstr>wld_az1_rack2_host_overlay_network</vt:lpstr>
      <vt:lpstr>wld_az1_rack2_host_overlay_network_pool_name</vt:lpstr>
      <vt:lpstr>wld_az1_rack2_host_overlay_network_profile_name</vt:lpstr>
      <vt:lpstr>wld_az1_rack2_host_overlay_new_pool_chosen</vt:lpstr>
      <vt:lpstr>wld_az1_rack2_host_overlay_pool_end_ip</vt:lpstr>
      <vt:lpstr>wld_az1_rack2_host_overlay_pool_start_ip</vt:lpstr>
      <vt:lpstr>wld_az1_rack2_host_overlay_uplink_profile_name</vt:lpstr>
      <vt:lpstr>wld_az1_rack2_host_overlay_vlan</vt:lpstr>
      <vt:lpstr>wld_az1_rack2_host1_fqdn</vt:lpstr>
      <vt:lpstr>wld_az1_rack2_host1_hostname</vt:lpstr>
      <vt:lpstr>wld_az1_rack2_host1_mgmt_ip</vt:lpstr>
      <vt:lpstr>wld_az1_rack2_host10_fqdn</vt:lpstr>
      <vt:lpstr>wld_az1_rack2_host10_hostname</vt:lpstr>
      <vt:lpstr>wld_az1_rack2_host10_mgmt_ip</vt:lpstr>
      <vt:lpstr>wld_az1_rack2_host11_fqdn</vt:lpstr>
      <vt:lpstr>wld_az1_rack2_host11_hostname</vt:lpstr>
      <vt:lpstr>wld_az1_rack2_host11_mgmt_ip</vt:lpstr>
      <vt:lpstr>wld_az1_rack2_host12_fqdn</vt:lpstr>
      <vt:lpstr>wld_az1_rack2_host12_hostname</vt:lpstr>
      <vt:lpstr>wld_az1_rack2_host12_mgmt_ip</vt:lpstr>
      <vt:lpstr>wld_az1_rack2_host13_fqdn</vt:lpstr>
      <vt:lpstr>wld_az1_rack2_host13_hostname</vt:lpstr>
      <vt:lpstr>wld_az1_rack2_host13_mgmt_ip</vt:lpstr>
      <vt:lpstr>wld_az1_rack2_host14_fqdn</vt:lpstr>
      <vt:lpstr>wld_az1_rack2_host14_hostname</vt:lpstr>
      <vt:lpstr>wld_az1_rack2_host14_mgmt_ip</vt:lpstr>
      <vt:lpstr>wld_az1_rack2_host15_fqdn</vt:lpstr>
      <vt:lpstr>wld_az1_rack2_host15_hostname</vt:lpstr>
      <vt:lpstr>wld_az1_rack2_host15_mgmt_ip</vt:lpstr>
      <vt:lpstr>wld_az1_rack2_host16_fqdn</vt:lpstr>
      <vt:lpstr>wld_az1_rack2_host16_hostname</vt:lpstr>
      <vt:lpstr>wld_az1_rack2_host16_mgmt_ip</vt:lpstr>
      <vt:lpstr>wld_az1_rack2_host2_fqdn</vt:lpstr>
      <vt:lpstr>wld_az1_rack2_host2_hostname</vt:lpstr>
      <vt:lpstr>wld_az1_rack2_host2_mgmt_ip</vt:lpstr>
      <vt:lpstr>wld_az1_rack2_host3_fqdn</vt:lpstr>
      <vt:lpstr>wld_az1_rack2_host3_hostname</vt:lpstr>
      <vt:lpstr>wld_az1_rack2_host3_mgmt_ip</vt:lpstr>
      <vt:lpstr>wld_az1_rack2_host4_fqdn</vt:lpstr>
      <vt:lpstr>wld_az1_rack2_host4_hostname</vt:lpstr>
      <vt:lpstr>wld_az1_rack2_host4_mgmt_ip</vt:lpstr>
      <vt:lpstr>wld_az1_rack2_host5_fqdn</vt:lpstr>
      <vt:lpstr>wld_az1_rack2_host5_hostname</vt:lpstr>
      <vt:lpstr>wld_az1_rack2_host5_mgmt_ip</vt:lpstr>
      <vt:lpstr>wld_az1_rack2_host6_fqdn</vt:lpstr>
      <vt:lpstr>wld_az1_rack2_host6_hostname</vt:lpstr>
      <vt:lpstr>wld_az1_rack2_host6_mgmt_ip</vt:lpstr>
      <vt:lpstr>wld_az1_rack2_host7_fqdn</vt:lpstr>
      <vt:lpstr>wld_az1_rack2_host7_hostname</vt:lpstr>
      <vt:lpstr>wld_az1_rack2_host7_mgmt_ip</vt:lpstr>
      <vt:lpstr>wld_az1_rack2_host8_fqdn</vt:lpstr>
      <vt:lpstr>wld_az1_rack2_host8_hostname</vt:lpstr>
      <vt:lpstr>wld_az1_rack2_host8_mgmt_ip</vt:lpstr>
      <vt:lpstr>wld_az1_rack2_host9_fqdn</vt:lpstr>
      <vt:lpstr>wld_az1_rack2_host9_hostname</vt:lpstr>
      <vt:lpstr>wld_az1_rack2_host9_mgmt_ip</vt:lpstr>
      <vt:lpstr>wld_az1_rack2_mgmt_cidr</vt:lpstr>
      <vt:lpstr>wld_az1_rack2_mgmt_gateway_ip</vt:lpstr>
      <vt:lpstr>wld_az1_rack2_mgmt_mask</vt:lpstr>
      <vt:lpstr>wld_az1_rack2_mgmt_mtu</vt:lpstr>
      <vt:lpstr>wld_az1_rack2_mgmt_network</vt:lpstr>
      <vt:lpstr>wld_az1_rack2_mgmt_pg</vt:lpstr>
      <vt:lpstr>wld_az1_rack2_mgmt_vlan</vt:lpstr>
      <vt:lpstr>wld_az1_rack2_mgmt_vm_cidr</vt:lpstr>
      <vt:lpstr>wld_az1_rack2_mgmt_vm_gateway_ip</vt:lpstr>
      <vt:lpstr>wld_az1_rack2_mgmt_vm_mask</vt:lpstr>
      <vt:lpstr>wld_az1_rack2_mgmt_vm_mtu</vt:lpstr>
      <vt:lpstr>wld_az1_rack2_mgmt_vm_pg</vt:lpstr>
      <vt:lpstr>wld_az1_rack2_mgmt_vm_vlan</vt:lpstr>
      <vt:lpstr>wld_az1_rack2_pool_name</vt:lpstr>
      <vt:lpstr>wld_az1_rack2_principal_storage_cidr</vt:lpstr>
      <vt:lpstr>wld_az1_rack2_principal_storage_gateway_ip</vt:lpstr>
      <vt:lpstr>wld_az1_rack2_principal_storage_mask</vt:lpstr>
      <vt:lpstr>wld_az1_rack2_principal_storage_mtu</vt:lpstr>
      <vt:lpstr>wld_az1_rack2_principal_storage_network</vt:lpstr>
      <vt:lpstr>wld_az1_rack2_principal_storage_pg</vt:lpstr>
      <vt:lpstr>wld_az1_rack2_principal_storage_pool_end_ip</vt:lpstr>
      <vt:lpstr>wld_az1_rack2_principal_storage_pool_start_ip</vt:lpstr>
      <vt:lpstr>wld_az1_rack2_principal_storage_vlan</vt:lpstr>
      <vt:lpstr>wld_az1_rack2_reuse_vcf_networkpool_chosen</vt:lpstr>
      <vt:lpstr>wld_az1_rack2_rtep_ip_pool_name</vt:lpstr>
      <vt:lpstr>wld_az1_rack2_rtep_overlay_cidr</vt:lpstr>
      <vt:lpstr>wld_az1_rack2_rtep_overlay_gateway_ip</vt:lpstr>
      <vt:lpstr>wld_az1_rack2_rtep_overlay_mtu</vt:lpstr>
      <vt:lpstr>wld_az1_rack2_rtep_overlay_pool_end_ip</vt:lpstr>
      <vt:lpstr>wld_az1_rack2_rtep_overlay_pool_start_ip</vt:lpstr>
      <vt:lpstr>wld_az1_rack2_rtep_overlay_vlan</vt:lpstr>
      <vt:lpstr>wld_az1_rack2_secondary_storage_cidr</vt:lpstr>
      <vt:lpstr>wld_az1_rack2_secondary_storage_gateway_ip</vt:lpstr>
      <vt:lpstr>wld_az1_rack2_secondary_storage_mask</vt:lpstr>
      <vt:lpstr>wld_az1_rack2_secondary_storage_mtu</vt:lpstr>
      <vt:lpstr>wld_az1_rack2_secondary_storage_network</vt:lpstr>
      <vt:lpstr>wld_az1_rack2_secondary_storage_pool_end_ip</vt:lpstr>
      <vt:lpstr>wld_az1_rack2_secondary_storage_pool_start_ip</vt:lpstr>
      <vt:lpstr>wld_az1_rack2_secondary_storage_vlan</vt:lpstr>
      <vt:lpstr>wld_az1_rack2_tor1_peer_asn</vt:lpstr>
      <vt:lpstr>wld_az1_rack2_tor1_peer_bgp_password</vt:lpstr>
      <vt:lpstr>wld_az1_rack2_tor1_peer_ip</vt:lpstr>
      <vt:lpstr>wld_az1_rack2_tor2_peer_asn</vt:lpstr>
      <vt:lpstr>wld_az1_rack2_tor2_peer_bgp_password</vt:lpstr>
      <vt:lpstr>wld_az1_rack2_tor2_peer_ip</vt:lpstr>
      <vt:lpstr>wld_az1_rack2_uplink01_cidr</vt:lpstr>
      <vt:lpstr>wld_az1_rack2_uplink01_gateway_ip</vt:lpstr>
      <vt:lpstr>wld_az1_rack2_uplink01_mask</vt:lpstr>
      <vt:lpstr>wld_az1_rack2_uplink01_mtu</vt:lpstr>
      <vt:lpstr>wld_az1_rack2_uplink01_network</vt:lpstr>
      <vt:lpstr>wld_az1_rack2_uplink01_pg</vt:lpstr>
      <vt:lpstr>wld_az1_rack2_uplink01_vlan</vt:lpstr>
      <vt:lpstr>wld_az1_rack2_uplink02_cidr</vt:lpstr>
      <vt:lpstr>wld_az1_rack2_uplink02_gateway_ip</vt:lpstr>
      <vt:lpstr>wld_az1_rack2_uplink02_mask</vt:lpstr>
      <vt:lpstr>wld_az1_rack2_uplink02_mtu</vt:lpstr>
      <vt:lpstr>wld_az1_rack2_uplink02_network</vt:lpstr>
      <vt:lpstr>wld_az1_rack2_uplink02_pg</vt:lpstr>
      <vt:lpstr>wld_az1_rack2_uplink02_vlan</vt:lpstr>
      <vt:lpstr>wld_az1_rack2_vmotion_cidr</vt:lpstr>
      <vt:lpstr>wld_az1_rack2_vmotion_gateway_ip</vt:lpstr>
      <vt:lpstr>wld_az1_rack2_vmotion_mask</vt:lpstr>
      <vt:lpstr>wld_az1_rack2_vmotion_mtu</vt:lpstr>
      <vt:lpstr>wld_az1_rack2_vmotion_network</vt:lpstr>
      <vt:lpstr>wld_az1_rack2_vmotion_pg</vt:lpstr>
      <vt:lpstr>wld_az1_rack2_vmotion_pool_end_ip</vt:lpstr>
      <vt:lpstr>wld_az1_rack2_vmotion_pool_start_ip</vt:lpstr>
      <vt:lpstr>wld_az1_rack2_vmotion_vlan</vt:lpstr>
      <vt:lpstr>wld_az1_rack2_vrms_cidr</vt:lpstr>
      <vt:lpstr>wld_az1_rack2_vrms_gateway_ip</vt:lpstr>
      <vt:lpstr>wld_az1_rack2_vrms_mtu</vt:lpstr>
      <vt:lpstr>wld_az1_rack2_vrms_vlan</vt:lpstr>
      <vt:lpstr>wld_az1_rack2_vsan_fault_domain</vt:lpstr>
      <vt:lpstr>wld_az1_rack3_edge_overlay_cidr</vt:lpstr>
      <vt:lpstr>wld_az1_rack3_edge_overlay_gateway_ip</vt:lpstr>
      <vt:lpstr>wld_az1_rack3_edge_overlay_mask</vt:lpstr>
      <vt:lpstr>wld_az1_rack3_edge_overlay_mtu</vt:lpstr>
      <vt:lpstr>wld_az1_rack3_edge_overlay_network</vt:lpstr>
      <vt:lpstr>wld_az1_rack3_edge_overlay_network_pool_name</vt:lpstr>
      <vt:lpstr>wld_az1_rack3_edge_overlay_pool_end_ip</vt:lpstr>
      <vt:lpstr>wld_az1_rack3_edge_overlay_pool_start_ip</vt:lpstr>
      <vt:lpstr>wld_az1_rack3_edge_overlay_vlan</vt:lpstr>
      <vt:lpstr>wld_az1_rack3_en1_edge_overlay_interface_ip_1_ip</vt:lpstr>
      <vt:lpstr>wld_az1_rack3_en1_edge_overlay_interface_ip_2_ip</vt:lpstr>
      <vt:lpstr>wld_az1_rack3_en1_fqdn</vt:lpstr>
      <vt:lpstr>wld_az1_rack3_en1_hostname</vt:lpstr>
      <vt:lpstr>wld_az1_rack3_en1_mgmt_ip</vt:lpstr>
      <vt:lpstr>wld_az1_rack3_en1_uplink01_interface_ip</vt:lpstr>
      <vt:lpstr>wld_az1_rack3_en1_uplink02_interface_ip</vt:lpstr>
      <vt:lpstr>wld_az1_rack3_en2_fqdn</vt:lpstr>
      <vt:lpstr>wld_az1_rack3_en2_hostname</vt:lpstr>
      <vt:lpstr>wld_az1_rack3_en2_mgmt_ip</vt:lpstr>
      <vt:lpstr>wld_az1_rack3_en2_uplink01_interface_ip</vt:lpstr>
      <vt:lpstr>wld_az1_rack3_en2_uplink02_interface_ip</vt:lpstr>
      <vt:lpstr>wld_az1_rack3_host_fqdns</vt:lpstr>
      <vt:lpstr>wld_az1_rack3_host_hostnames</vt:lpstr>
      <vt:lpstr>wld_az1_rack3_host_mgmt_ips</vt:lpstr>
      <vt:lpstr>wld_az1_rack3_host_overlay_cidr</vt:lpstr>
      <vt:lpstr>wld_az1_rack3_host_overlay_gateway_ip</vt:lpstr>
      <vt:lpstr>wld_az1_rack3_host_overlay_mask</vt:lpstr>
      <vt:lpstr>wld_az1_rack3_host_overlay_mtu</vt:lpstr>
      <vt:lpstr>wld_az1_rack3_host_overlay_network</vt:lpstr>
      <vt:lpstr>wld_az1_rack3_host_overlay_network_pool_name</vt:lpstr>
      <vt:lpstr>wld_az1_rack3_host_overlay_network_profile_name</vt:lpstr>
      <vt:lpstr>wld_az1_rack3_host_overlay_new_pool_chosen</vt:lpstr>
      <vt:lpstr>wld_az1_rack3_host_overlay_pool_end_ip</vt:lpstr>
      <vt:lpstr>wld_az1_rack3_host_overlay_pool_start_ip</vt:lpstr>
      <vt:lpstr>wld_az1_rack3_host_overlay_uplink_profile_name</vt:lpstr>
      <vt:lpstr>wld_az1_rack3_host_overlay_vlan</vt:lpstr>
      <vt:lpstr>wld_az1_rack3_host1_fqdn</vt:lpstr>
      <vt:lpstr>wld_az1_rack3_host1_hostname</vt:lpstr>
      <vt:lpstr>wld_az1_rack3_host1_mgmt_ip</vt:lpstr>
      <vt:lpstr>wld_az1_rack3_host10_fqdn</vt:lpstr>
      <vt:lpstr>wld_az1_rack3_host10_hostname</vt:lpstr>
      <vt:lpstr>wld_az1_rack3_host10_mgmt_ip</vt:lpstr>
      <vt:lpstr>wld_az1_rack3_host11_fqdn</vt:lpstr>
      <vt:lpstr>wld_az1_rack3_host11_hostname</vt:lpstr>
      <vt:lpstr>wld_az1_rack3_host11_mgmt_ip</vt:lpstr>
      <vt:lpstr>wld_az1_rack3_host12_fqdn</vt:lpstr>
      <vt:lpstr>wld_az1_rack3_host12_hostname</vt:lpstr>
      <vt:lpstr>wld_az1_rack3_host12_mgmt_ip</vt:lpstr>
      <vt:lpstr>wld_az1_rack3_host13_fqdn</vt:lpstr>
      <vt:lpstr>wld_az1_rack3_host13_hostname</vt:lpstr>
      <vt:lpstr>wld_az1_rack3_host13_mgmt_ip</vt:lpstr>
      <vt:lpstr>wld_az1_rack3_host14_fqdn</vt:lpstr>
      <vt:lpstr>wld_az1_rack3_host14_hostname</vt:lpstr>
      <vt:lpstr>wld_az1_rack3_host14_mgmt_ip</vt:lpstr>
      <vt:lpstr>wld_az1_rack3_host15_fqdn</vt:lpstr>
      <vt:lpstr>wld_az1_rack3_host15_hostname</vt:lpstr>
      <vt:lpstr>wld_az1_rack3_host15_mgmt_ip</vt:lpstr>
      <vt:lpstr>wld_az1_rack3_host16_fqdn</vt:lpstr>
      <vt:lpstr>wld_az1_rack3_host16_hostname</vt:lpstr>
      <vt:lpstr>wld_az1_rack3_host16_mgmt_ip</vt:lpstr>
      <vt:lpstr>wld_az1_rack3_host2_fqdn</vt:lpstr>
      <vt:lpstr>wld_az1_rack3_host2_hostname</vt:lpstr>
      <vt:lpstr>wld_az1_rack3_host2_mgmt_ip</vt:lpstr>
      <vt:lpstr>wld_az1_rack3_host3_fqdn</vt:lpstr>
      <vt:lpstr>wld_az1_rack3_host3_hostname</vt:lpstr>
      <vt:lpstr>wld_az1_rack3_host3_mgmt_ip</vt:lpstr>
      <vt:lpstr>wld_az1_rack3_host4_fqdn</vt:lpstr>
      <vt:lpstr>wld_az1_rack3_host4_hostname</vt:lpstr>
      <vt:lpstr>wld_az1_rack3_host4_mgmt_ip</vt:lpstr>
      <vt:lpstr>wld_az1_rack3_host5_fqdn</vt:lpstr>
      <vt:lpstr>wld_az1_rack3_host5_hostname</vt:lpstr>
      <vt:lpstr>wld_az1_rack3_host5_mgmt_ip</vt:lpstr>
      <vt:lpstr>wld_az1_rack3_host6_fqdn</vt:lpstr>
      <vt:lpstr>wld_az1_rack3_host6_hostname</vt:lpstr>
      <vt:lpstr>wld_az1_rack3_host6_mgmt_ip</vt:lpstr>
      <vt:lpstr>wld_az1_rack3_host7_fqdn</vt:lpstr>
      <vt:lpstr>wld_az1_rack3_host7_hostname</vt:lpstr>
      <vt:lpstr>wld_az1_rack3_host7_mgmt_ip</vt:lpstr>
      <vt:lpstr>wld_az1_rack3_host8_fqdn</vt:lpstr>
      <vt:lpstr>wld_az1_rack3_host8_hostname</vt:lpstr>
      <vt:lpstr>wld_az1_rack3_host8_mgmt_ip</vt:lpstr>
      <vt:lpstr>wld_az1_rack3_host9_fqdn</vt:lpstr>
      <vt:lpstr>wld_az1_rack3_host9_hostname</vt:lpstr>
      <vt:lpstr>wld_az1_rack3_host9_mgmt_ip</vt:lpstr>
      <vt:lpstr>wld_az1_rack3_mgmt_cidr</vt:lpstr>
      <vt:lpstr>wld_az1_rack3_mgmt_gateway_ip</vt:lpstr>
      <vt:lpstr>wld_az1_rack3_mgmt_mask</vt:lpstr>
      <vt:lpstr>wld_az1_rack3_mgmt_mtu</vt:lpstr>
      <vt:lpstr>wld_az1_rack3_mgmt_network</vt:lpstr>
      <vt:lpstr>wld_az1_rack3_mgmt_pg</vt:lpstr>
      <vt:lpstr>wld_az1_rack3_mgmt_vlan</vt:lpstr>
      <vt:lpstr>wld_az1_rack3_mgmt_vm_cidr</vt:lpstr>
      <vt:lpstr>wld_az1_rack3_mgmt_vm_gateway_ip</vt:lpstr>
      <vt:lpstr>wld_az1_rack3_mgmt_vm_mask</vt:lpstr>
      <vt:lpstr>wld_az1_rack3_mgmt_vm_mtu</vt:lpstr>
      <vt:lpstr>wld_az1_rack3_mgmt_vm_pg</vt:lpstr>
      <vt:lpstr>wld_az1_rack3_mgmt_vm_vlan</vt:lpstr>
      <vt:lpstr>wld_az1_rack3_pool_name</vt:lpstr>
      <vt:lpstr>wld_az1_rack3_principal_storage_cidr</vt:lpstr>
      <vt:lpstr>wld_az1_rack3_principal_storage_gateway_ip</vt:lpstr>
      <vt:lpstr>wld_az1_rack3_principal_storage_mask</vt:lpstr>
      <vt:lpstr>wld_az1_rack3_principal_storage_mtu</vt:lpstr>
      <vt:lpstr>wld_az1_rack3_principal_storage_network</vt:lpstr>
      <vt:lpstr>wld_az1_rack3_principal_storage_pool_end_ip</vt:lpstr>
      <vt:lpstr>wld_az1_rack3_principal_storage_pool_start_ip</vt:lpstr>
      <vt:lpstr>wld_az1_rack3_principal_storage_vlan</vt:lpstr>
      <vt:lpstr>wld_az1_rack3_reuse_vcf_networkpool_chosen</vt:lpstr>
      <vt:lpstr>wld_az1_rack3_rtep_ip_pool_name</vt:lpstr>
      <vt:lpstr>wld_az1_rack3_rtep_overlay_cidr</vt:lpstr>
      <vt:lpstr>wld_az1_rack3_rtep_overlay_gateway_ip</vt:lpstr>
      <vt:lpstr>wld_az1_rack3_rtep_overlay_mtu</vt:lpstr>
      <vt:lpstr>wld_az1_rack3_rtep_overlay_pool_end_ip</vt:lpstr>
      <vt:lpstr>wld_az1_rack3_rtep_overlay_pool_start_ip</vt:lpstr>
      <vt:lpstr>wld_az1_rack3_rtep_overlay_vlan</vt:lpstr>
      <vt:lpstr>wld_az1_rack3_secondary_storage_cidr</vt:lpstr>
      <vt:lpstr>wld_az1_rack3_secondary_storage_gateway_ip</vt:lpstr>
      <vt:lpstr>wld_az1_rack3_secondary_storage_mask</vt:lpstr>
      <vt:lpstr>wld_az1_rack3_secondary_storage_mtu</vt:lpstr>
      <vt:lpstr>wld_az1_rack3_secondary_storage_network</vt:lpstr>
      <vt:lpstr>wld_az1_rack3_secondary_storage_pool_end_ip</vt:lpstr>
      <vt:lpstr>wld_az1_rack3_secondary_storage_pool_start_ip</vt:lpstr>
      <vt:lpstr>wld_az1_rack3_secondary_storage_vlan</vt:lpstr>
      <vt:lpstr>wld_az1_rack3_tor1_peer_asn</vt:lpstr>
      <vt:lpstr>wld_az1_rack3_tor1_peer_bgp_password</vt:lpstr>
      <vt:lpstr>wld_az1_rack3_tor1_peer_ip</vt:lpstr>
      <vt:lpstr>wld_az1_rack3_tor2_peer_asn</vt:lpstr>
      <vt:lpstr>wld_az1_rack3_tor2_peer_bgp_password</vt:lpstr>
      <vt:lpstr>wld_az1_rack3_tor2_peer_ip</vt:lpstr>
      <vt:lpstr>wld_az1_rack3_uplink01_cidr</vt:lpstr>
      <vt:lpstr>wld_az1_rack3_uplink01_gateway_ip</vt:lpstr>
      <vt:lpstr>wld_az1_rack3_uplink01_mask</vt:lpstr>
      <vt:lpstr>wld_az1_rack3_uplink01_mtu</vt:lpstr>
      <vt:lpstr>wld_az1_rack3_uplink01_network</vt:lpstr>
      <vt:lpstr>wld_az1_rack3_uplink01_pg</vt:lpstr>
      <vt:lpstr>wld_az1_rack3_uplink01_vlan</vt:lpstr>
      <vt:lpstr>wld_az1_rack3_uplink02_cidr</vt:lpstr>
      <vt:lpstr>wld_az1_rack3_uplink02_gateway_ip</vt:lpstr>
      <vt:lpstr>wld_az1_rack3_uplink02_mask</vt:lpstr>
      <vt:lpstr>wld_az1_rack3_uplink02_mtu</vt:lpstr>
      <vt:lpstr>wld_az1_rack3_uplink02_network</vt:lpstr>
      <vt:lpstr>wld_az1_rack3_uplink02_pg</vt:lpstr>
      <vt:lpstr>wld_az1_rack3_uplink02_vlan</vt:lpstr>
      <vt:lpstr>wld_az1_rack3_vmotion_cidr</vt:lpstr>
      <vt:lpstr>wld_az1_rack3_vmotion_gateway_ip</vt:lpstr>
      <vt:lpstr>wld_az1_rack3_vmotion_mask</vt:lpstr>
      <vt:lpstr>wld_az1_rack3_vmotion_mtu</vt:lpstr>
      <vt:lpstr>wld_az1_rack3_vmotion_network</vt:lpstr>
      <vt:lpstr>wld_az1_rack3_vmotion_pg</vt:lpstr>
      <vt:lpstr>wld_az1_rack3_vmotion_pool_end_ip</vt:lpstr>
      <vt:lpstr>wld_az1_rack3_vmotion_pool_start_ip</vt:lpstr>
      <vt:lpstr>wld_az1_rack3_vmotion_vlan</vt:lpstr>
      <vt:lpstr>wld_az1_rack3_vrms_cidr</vt:lpstr>
      <vt:lpstr>wld_az1_rack3_vrms_gateway_ip</vt:lpstr>
      <vt:lpstr>wld_az1_rack3_vrms_mtu</vt:lpstr>
      <vt:lpstr>wld_az1_rack3_vrms_vlan</vt:lpstr>
      <vt:lpstr>wld_az1_rack3_vsan_fault_domain</vt:lpstr>
      <vt:lpstr>wld_az1_rack4_edge_overlay_cidr</vt:lpstr>
      <vt:lpstr>wld_az1_rack4_edge_overlay_gateway_ip</vt:lpstr>
      <vt:lpstr>wld_az1_rack4_edge_overlay_mask</vt:lpstr>
      <vt:lpstr>wld_az1_rack4_edge_overlay_mtu</vt:lpstr>
      <vt:lpstr>wld_az1_rack4_edge_overlay_network</vt:lpstr>
      <vt:lpstr>wld_az1_rack4_edge_overlay_network_pool_name</vt:lpstr>
      <vt:lpstr>wld_az1_rack4_edge_overlay_pool_end_ip</vt:lpstr>
      <vt:lpstr>wld_az1_rack4_edge_overlay_pool_start_ip</vt:lpstr>
      <vt:lpstr>wld_az1_rack4_edge_overlay_vlan</vt:lpstr>
      <vt:lpstr>wld_az1_rack4_en1_edge_overlay_interface_ip_1_ip</vt:lpstr>
      <vt:lpstr>wld_az1_rack4_en1_edge_overlay_interface_ip_2_ip</vt:lpstr>
      <vt:lpstr>wld_az1_rack4_en1_fqdn</vt:lpstr>
      <vt:lpstr>wld_az1_rack4_en1_hostname</vt:lpstr>
      <vt:lpstr>wld_az1_rack4_en1_mgmt_ip</vt:lpstr>
      <vt:lpstr>wld_az1_rack4_en1_uplink01_interface_ip</vt:lpstr>
      <vt:lpstr>wld_az1_rack4_en1_uplink02_interface_ip</vt:lpstr>
      <vt:lpstr>wld_az1_rack4_en2_fqdn</vt:lpstr>
      <vt:lpstr>wld_az1_rack4_en2_hostname</vt:lpstr>
      <vt:lpstr>wld_az1_rack4_en2_mgmt_ip</vt:lpstr>
      <vt:lpstr>wld_az1_rack4_en2_uplink01_interface_ip</vt:lpstr>
      <vt:lpstr>wld_az1_rack4_en2_uplink02_interface_ip</vt:lpstr>
      <vt:lpstr>wld_az1_rack4_host_fqdns</vt:lpstr>
      <vt:lpstr>wld_az1_rack4_host_hostnames</vt:lpstr>
      <vt:lpstr>wld_az1_rack4_host_mgmt_ips</vt:lpstr>
      <vt:lpstr>wld_az1_rack4_host_overlay_cidr</vt:lpstr>
      <vt:lpstr>wld_az1_rack4_host_overlay_gateway_ip</vt:lpstr>
      <vt:lpstr>wld_az1_rack4_host_overlay_mask</vt:lpstr>
      <vt:lpstr>wld_az1_rack4_host_overlay_mtu</vt:lpstr>
      <vt:lpstr>wld_az1_rack4_host_overlay_network</vt:lpstr>
      <vt:lpstr>wld_az1_rack4_host_overlay_network_pool_name</vt:lpstr>
      <vt:lpstr>wld_az1_rack4_host_overlay_network_profile_name</vt:lpstr>
      <vt:lpstr>wld_az1_rack4_host_overlay_new_pool_chosen</vt:lpstr>
      <vt:lpstr>wld_az1_rack4_host_overlay_pool_end_ip</vt:lpstr>
      <vt:lpstr>wld_az1_rack4_host_overlay_pool_start_ip</vt:lpstr>
      <vt:lpstr>wld_az1_rack4_host_overlay_uplink_profile_name</vt:lpstr>
      <vt:lpstr>wld_az1_rack4_host_overlay_vlan</vt:lpstr>
      <vt:lpstr>wld_az1_rack4_host1_fqdn</vt:lpstr>
      <vt:lpstr>wld_az1_rack4_host1_hostname</vt:lpstr>
      <vt:lpstr>wld_az1_rack4_host1_mgmt_ip</vt:lpstr>
      <vt:lpstr>wld_az1_rack4_host10_fqdn</vt:lpstr>
      <vt:lpstr>wld_az1_rack4_host10_hostname</vt:lpstr>
      <vt:lpstr>wld_az1_rack4_host10_mgmt_ip</vt:lpstr>
      <vt:lpstr>wld_az1_rack4_host11_fqdn</vt:lpstr>
      <vt:lpstr>wld_az1_rack4_host11_hostname</vt:lpstr>
      <vt:lpstr>wld_az1_rack4_host11_mgmt_ip</vt:lpstr>
      <vt:lpstr>wld_az1_rack4_host12_fqdn</vt:lpstr>
      <vt:lpstr>wld_az1_rack4_host12_hostname</vt:lpstr>
      <vt:lpstr>wld_az1_rack4_host12_mgmt_ip</vt:lpstr>
      <vt:lpstr>wld_az1_rack4_host13_fqdn</vt:lpstr>
      <vt:lpstr>wld_az1_rack4_host13_hostname</vt:lpstr>
      <vt:lpstr>wld_az1_rack4_host13_mgmt_ip</vt:lpstr>
      <vt:lpstr>wld_az1_rack4_host14_fqdn</vt:lpstr>
      <vt:lpstr>wld_az1_rack4_host14_hostname</vt:lpstr>
      <vt:lpstr>wld_az1_rack4_host14_mgmt_ip</vt:lpstr>
      <vt:lpstr>wld_az1_rack4_host15_fqdn</vt:lpstr>
      <vt:lpstr>wld_az1_rack4_host15_hostname</vt:lpstr>
      <vt:lpstr>wld_az1_rack4_host15_mgmt_ip</vt:lpstr>
      <vt:lpstr>wld_az1_rack4_host16_fqdn</vt:lpstr>
      <vt:lpstr>wld_az1_rack4_host16_hostname</vt:lpstr>
      <vt:lpstr>wld_az1_rack4_host16_mgmt_ip</vt:lpstr>
      <vt:lpstr>wld_az1_rack4_host2_fqdn</vt:lpstr>
      <vt:lpstr>wld_az1_rack4_host2_hostname</vt:lpstr>
      <vt:lpstr>wld_az1_rack4_host2_mgmt_ip</vt:lpstr>
      <vt:lpstr>wld_az1_rack4_host3_fqdn</vt:lpstr>
      <vt:lpstr>wld_az1_rack4_host3_hostname</vt:lpstr>
      <vt:lpstr>wld_az1_rack4_host3_mgmt_ip</vt:lpstr>
      <vt:lpstr>wld_az1_rack4_host4_fqdn</vt:lpstr>
      <vt:lpstr>wld_az1_rack4_host4_hostname</vt:lpstr>
      <vt:lpstr>wld_az1_rack4_host4_mgmt_ip</vt:lpstr>
      <vt:lpstr>wld_az1_rack4_host5_fqdn</vt:lpstr>
      <vt:lpstr>wld_az1_rack4_host5_hostname</vt:lpstr>
      <vt:lpstr>wld_az1_rack4_host5_mgmt_ip</vt:lpstr>
      <vt:lpstr>wld_az1_rack4_host6_fqdn</vt:lpstr>
      <vt:lpstr>wld_az1_rack4_host6_hostname</vt:lpstr>
      <vt:lpstr>wld_az1_rack4_host6_mgmt_ip</vt:lpstr>
      <vt:lpstr>wld_az1_rack4_host7_fqdn</vt:lpstr>
      <vt:lpstr>wld_az1_rack4_host7_hostname</vt:lpstr>
      <vt:lpstr>wld_az1_rack4_host7_mgmt_ip</vt:lpstr>
      <vt:lpstr>wld_az1_rack4_host8_fqdn</vt:lpstr>
      <vt:lpstr>wld_az1_rack4_host8_hostname</vt:lpstr>
      <vt:lpstr>wld_az1_rack4_host8_mgmt_ip</vt:lpstr>
      <vt:lpstr>wld_az1_rack4_host9_fqdn</vt:lpstr>
      <vt:lpstr>wld_az1_rack4_host9_hostname</vt:lpstr>
      <vt:lpstr>wld_az1_rack4_host9_mgmt_ip</vt:lpstr>
      <vt:lpstr>wld_az1_rack4_mgmt_cidr</vt:lpstr>
      <vt:lpstr>wld_az1_rack4_mgmt_gateway_ip</vt:lpstr>
      <vt:lpstr>wld_az1_rack4_mgmt_mask</vt:lpstr>
      <vt:lpstr>wld_az1_rack4_mgmt_mtu</vt:lpstr>
      <vt:lpstr>wld_az1_rack4_mgmt_network</vt:lpstr>
      <vt:lpstr>wld_az1_rack4_mgmt_pg</vt:lpstr>
      <vt:lpstr>wld_az1_rack4_mgmt_vlan</vt:lpstr>
      <vt:lpstr>wld_az1_rack4_mgmt_vm_cidr</vt:lpstr>
      <vt:lpstr>wld_az1_rack4_mgmt_vm_gateway_ip</vt:lpstr>
      <vt:lpstr>wld_az1_rack4_mgmt_vm_mask</vt:lpstr>
      <vt:lpstr>wld_az1_rack4_mgmt_vm_mtu</vt:lpstr>
      <vt:lpstr>wld_az1_rack4_mgmt_vm_pg</vt:lpstr>
      <vt:lpstr>wld_az1_rack4_mgmt_vm_vlan</vt:lpstr>
      <vt:lpstr>wld_az1_rack4_pool_name</vt:lpstr>
      <vt:lpstr>wld_az1_rack4_principal_storage_cidr</vt:lpstr>
      <vt:lpstr>wld_az1_rack4_principal_storage_gateway_ip</vt:lpstr>
      <vt:lpstr>wld_az1_rack4_principal_storage_mask</vt:lpstr>
      <vt:lpstr>wld_az1_rack4_principal_storage_mtu</vt:lpstr>
      <vt:lpstr>wld_az1_rack4_principal_storage_network</vt:lpstr>
      <vt:lpstr>wld_az1_rack4_principal_storage_pg</vt:lpstr>
      <vt:lpstr>wld_az1_rack4_principal_storage_pool_end_ip</vt:lpstr>
      <vt:lpstr>wld_az1_rack4_principal_storage_pool_start_ip</vt:lpstr>
      <vt:lpstr>wld_az1_rack4_principal_storage_vlan</vt:lpstr>
      <vt:lpstr>wld_az1_rack4_reuse_vcf_networkpool_chosen</vt:lpstr>
      <vt:lpstr>wld_az1_rack4_rtep_ip_pool_name</vt:lpstr>
      <vt:lpstr>wld_az1_rack4_rtep_overlay_cidr</vt:lpstr>
      <vt:lpstr>wld_az1_rack4_rtep_overlay_gateway_ip</vt:lpstr>
      <vt:lpstr>wld_az1_rack4_rtep_overlay_mtu</vt:lpstr>
      <vt:lpstr>wld_az1_rack4_rtep_overlay_pool_end_ip</vt:lpstr>
      <vt:lpstr>wld_az1_rack4_rtep_overlay_pool_start_ip</vt:lpstr>
      <vt:lpstr>wld_az1_rack4_rtep_overlay_vlan</vt:lpstr>
      <vt:lpstr>wld_az1_rack4_secondary_storage_cidr</vt:lpstr>
      <vt:lpstr>wld_az1_rack4_secondary_storage_gateway_ip</vt:lpstr>
      <vt:lpstr>wld_az1_rack4_secondary_storage_mask</vt:lpstr>
      <vt:lpstr>wld_az1_rack4_secondary_storage_mtu</vt:lpstr>
      <vt:lpstr>wld_az1_rack4_secondary_storage_network</vt:lpstr>
      <vt:lpstr>wld_az1_rack4_secondary_storage_pool_end_ip</vt:lpstr>
      <vt:lpstr>wld_az1_rack4_secondary_storage_pool_start_ip</vt:lpstr>
      <vt:lpstr>wld_az1_rack4_secondary_storage_vlan</vt:lpstr>
      <vt:lpstr>wld_az1_rack4_tor1_peer_asn</vt:lpstr>
      <vt:lpstr>wld_az1_rack4_tor1_peer_bgp_password</vt:lpstr>
      <vt:lpstr>wld_az1_rack4_tor1_peer_ip</vt:lpstr>
      <vt:lpstr>wld_az1_rack4_tor2_peer_asn</vt:lpstr>
      <vt:lpstr>wld_az1_rack4_tor2_peer_bgp_password</vt:lpstr>
      <vt:lpstr>wld_az1_rack4_tor2_peer_ip</vt:lpstr>
      <vt:lpstr>wld_az1_rack4_uplink01_cidr</vt:lpstr>
      <vt:lpstr>wld_az1_rack4_uplink01_gateway_ip</vt:lpstr>
      <vt:lpstr>wld_az1_rack4_uplink01_mask</vt:lpstr>
      <vt:lpstr>wld_az1_rack4_uplink01_mtu</vt:lpstr>
      <vt:lpstr>wld_az1_rack4_uplink01_network</vt:lpstr>
      <vt:lpstr>wld_az1_rack4_uplink01_pg</vt:lpstr>
      <vt:lpstr>wld_az1_rack4_uplink01_vlan</vt:lpstr>
      <vt:lpstr>wld_az1_rack4_uplink02_cidr</vt:lpstr>
      <vt:lpstr>wld_az1_rack4_uplink02_gateway_ip</vt:lpstr>
      <vt:lpstr>wld_az1_rack4_uplink02_mask</vt:lpstr>
      <vt:lpstr>wld_az1_rack4_uplink02_mtu</vt:lpstr>
      <vt:lpstr>wld_az1_rack4_uplink02_network</vt:lpstr>
      <vt:lpstr>wld_az1_rack4_uplink02_pg</vt:lpstr>
      <vt:lpstr>wld_az1_rack4_uplink02_vlan</vt:lpstr>
      <vt:lpstr>wld_az1_rack4_vmotion_cidr</vt:lpstr>
      <vt:lpstr>wld_az1_rack4_vmotion_gateway_ip</vt:lpstr>
      <vt:lpstr>wld_az1_rack4_vmotion_mask</vt:lpstr>
      <vt:lpstr>wld_az1_rack4_vmotion_mtu</vt:lpstr>
      <vt:lpstr>wld_az1_rack4_vmotion_network</vt:lpstr>
      <vt:lpstr>wld_az1_rack4_vmotion_pg</vt:lpstr>
      <vt:lpstr>wld_az1_rack4_vmotion_pool_end_ip</vt:lpstr>
      <vt:lpstr>wld_az1_rack4_vmotion_pool_start_ip</vt:lpstr>
      <vt:lpstr>wld_az1_rack4_vmotion_vlan</vt:lpstr>
      <vt:lpstr>wld_az1_rack4_vrms_cidr</vt:lpstr>
      <vt:lpstr>wld_az1_rack4_vrms_gateway_ip</vt:lpstr>
      <vt:lpstr>wld_az1_rack4_vrms_mtu</vt:lpstr>
      <vt:lpstr>wld_az1_rack4_vrms_vlan</vt:lpstr>
      <vt:lpstr>wld_az1_rack4_vsan_fault_domain</vt:lpstr>
      <vt:lpstr>wld_az1_rack5_edge_overlay_cidr</vt:lpstr>
      <vt:lpstr>wld_az1_rack5_edge_overlay_gateway_ip</vt:lpstr>
      <vt:lpstr>wld_az1_rack5_edge_overlay_mask</vt:lpstr>
      <vt:lpstr>wld_az1_rack5_edge_overlay_mtu</vt:lpstr>
      <vt:lpstr>wld_az1_rack5_edge_overlay_network</vt:lpstr>
      <vt:lpstr>wld_az1_rack5_edge_overlay_network_pool_name</vt:lpstr>
      <vt:lpstr>wld_az1_rack5_edge_overlay_pool_end_ip</vt:lpstr>
      <vt:lpstr>wld_az1_rack5_edge_overlay_pool_start_ip</vt:lpstr>
      <vt:lpstr>wld_az1_rack5_edge_overlay_vlan</vt:lpstr>
      <vt:lpstr>wld_az1_rack5_en1_edge_overlay_interface_ip_1_ip</vt:lpstr>
      <vt:lpstr>wld_az1_rack5_en1_edge_overlay_interface_ip_2_ip</vt:lpstr>
      <vt:lpstr>wld_az1_rack5_en1_fqdn</vt:lpstr>
      <vt:lpstr>wld_az1_rack5_en1_hostname</vt:lpstr>
      <vt:lpstr>wld_az1_rack5_en1_mgmt_ip</vt:lpstr>
      <vt:lpstr>wld_az1_rack5_en1_uplink01_interface_ip</vt:lpstr>
      <vt:lpstr>wld_az1_rack5_en1_uplink02_interface_ip</vt:lpstr>
      <vt:lpstr>wld_az1_rack5_en2_fqdn</vt:lpstr>
      <vt:lpstr>wld_az1_rack5_en2_hostname</vt:lpstr>
      <vt:lpstr>wld_az1_rack5_en2_mgmt_ip</vt:lpstr>
      <vt:lpstr>wld_az1_rack5_en2_uplink01_interface_ip</vt:lpstr>
      <vt:lpstr>wld_az1_rack5_en2_uplink02_interface_ip</vt:lpstr>
      <vt:lpstr>wld_az1_rack5_host_fqdns</vt:lpstr>
      <vt:lpstr>wld_az1_rack5_host_hostnames</vt:lpstr>
      <vt:lpstr>wld_az1_rack5_host_mgmt_ips</vt:lpstr>
      <vt:lpstr>wld_az1_rack5_host_overlay_cidr</vt:lpstr>
      <vt:lpstr>wld_az1_rack5_host_overlay_gateway_ip</vt:lpstr>
      <vt:lpstr>wld_az1_rack5_host_overlay_mask</vt:lpstr>
      <vt:lpstr>wld_az1_rack5_host_overlay_mtu</vt:lpstr>
      <vt:lpstr>wld_az1_rack5_host_overlay_network</vt:lpstr>
      <vt:lpstr>wld_az1_rack5_host_overlay_network_pool_name</vt:lpstr>
      <vt:lpstr>wld_az1_rack5_host_overlay_network_profile_name</vt:lpstr>
      <vt:lpstr>wld_az1_rack5_host_overlay_new_pool_chosen</vt:lpstr>
      <vt:lpstr>wld_az1_rack5_host_overlay_pool_end_ip</vt:lpstr>
      <vt:lpstr>wld_az1_rack5_host_overlay_pool_start_ip</vt:lpstr>
      <vt:lpstr>wld_az1_rack5_host_overlay_uplink_profile_name</vt:lpstr>
      <vt:lpstr>wld_az1_rack5_host_overlay_vlan</vt:lpstr>
      <vt:lpstr>wld_az1_rack5_host1_fqdn</vt:lpstr>
      <vt:lpstr>wld_az1_rack5_host1_hostname</vt:lpstr>
      <vt:lpstr>wld_az1_rack5_host1_mgmt_ip</vt:lpstr>
      <vt:lpstr>wld_az1_rack5_host10_fqdn</vt:lpstr>
      <vt:lpstr>wld_az1_rack5_host10_hostname</vt:lpstr>
      <vt:lpstr>wld_az1_rack5_host10_mgmt_ip</vt:lpstr>
      <vt:lpstr>wld_az1_rack5_host11_fqdn</vt:lpstr>
      <vt:lpstr>wld_az1_rack5_host11_hostname</vt:lpstr>
      <vt:lpstr>wld_az1_rack5_host11_mgmt_ip</vt:lpstr>
      <vt:lpstr>wld_az1_rack5_host12_fqdn</vt:lpstr>
      <vt:lpstr>wld_az1_rack5_host12_hostname</vt:lpstr>
      <vt:lpstr>wld_az1_rack5_host12_mgmt_ip</vt:lpstr>
      <vt:lpstr>wld_az1_rack5_host13_fqdn</vt:lpstr>
      <vt:lpstr>wld_az1_rack5_host13_hostname</vt:lpstr>
      <vt:lpstr>wld_az1_rack5_host13_mgmt_ip</vt:lpstr>
      <vt:lpstr>wld_az1_rack5_host14_fqdn</vt:lpstr>
      <vt:lpstr>wld_az1_rack5_host14_hostname</vt:lpstr>
      <vt:lpstr>wld_az1_rack5_host14_mgmt_ip</vt:lpstr>
      <vt:lpstr>wld_az1_rack5_host15_fqdn</vt:lpstr>
      <vt:lpstr>wld_az1_rack5_host15_hostname</vt:lpstr>
      <vt:lpstr>wld_az1_rack5_host15_mgmt_ip</vt:lpstr>
      <vt:lpstr>wld_az1_rack5_host16_fqdn</vt:lpstr>
      <vt:lpstr>wld_az1_rack5_host16_hostname</vt:lpstr>
      <vt:lpstr>wld_az1_rack5_host16_mgmt_ip</vt:lpstr>
      <vt:lpstr>wld_az1_rack5_host2_fqdn</vt:lpstr>
      <vt:lpstr>wld_az1_rack5_host2_hostname</vt:lpstr>
      <vt:lpstr>wld_az1_rack5_host2_mgmt_ip</vt:lpstr>
      <vt:lpstr>wld_az1_rack5_host3_fqdn</vt:lpstr>
      <vt:lpstr>wld_az1_rack5_host3_hostname</vt:lpstr>
      <vt:lpstr>wld_az1_rack5_host3_mgmt_ip</vt:lpstr>
      <vt:lpstr>wld_az1_rack5_host4_fqdn</vt:lpstr>
      <vt:lpstr>wld_az1_rack5_host4_hostname</vt:lpstr>
      <vt:lpstr>wld_az1_rack5_host4_mgmt_ip</vt:lpstr>
      <vt:lpstr>wld_az1_rack5_host5_fqdn</vt:lpstr>
      <vt:lpstr>wld_az1_rack5_host5_hostname</vt:lpstr>
      <vt:lpstr>wld_az1_rack5_host5_mgmt_ip</vt:lpstr>
      <vt:lpstr>wld_az1_rack5_host6_fqdn</vt:lpstr>
      <vt:lpstr>wld_az1_rack5_host6_hostname</vt:lpstr>
      <vt:lpstr>wld_az1_rack5_host6_mgmt_ip</vt:lpstr>
      <vt:lpstr>wld_az1_rack5_host7_fqdn</vt:lpstr>
      <vt:lpstr>wld_az1_rack5_host7_hostname</vt:lpstr>
      <vt:lpstr>wld_az1_rack5_host7_mgmt_ip</vt:lpstr>
      <vt:lpstr>wld_az1_rack5_host8_fqdn</vt:lpstr>
      <vt:lpstr>wld_az1_rack5_host8_hostname</vt:lpstr>
      <vt:lpstr>wld_az1_rack5_host8_mgmt_ip</vt:lpstr>
      <vt:lpstr>wld_az1_rack5_host9_fqdn</vt:lpstr>
      <vt:lpstr>wld_az1_rack5_host9_hostname</vt:lpstr>
      <vt:lpstr>wld_az1_rack5_host9_mgmt_ip</vt:lpstr>
      <vt:lpstr>wld_az1_rack5_mgmt_cidr</vt:lpstr>
      <vt:lpstr>wld_az1_rack5_mgmt_gateway_ip</vt:lpstr>
      <vt:lpstr>wld_az1_rack5_mgmt_mask</vt:lpstr>
      <vt:lpstr>wld_az1_rack5_mgmt_mtu</vt:lpstr>
      <vt:lpstr>wld_az1_rack5_mgmt_network</vt:lpstr>
      <vt:lpstr>wld_az1_rack5_mgmt_pg</vt:lpstr>
      <vt:lpstr>wld_az1_rack5_mgmt_vlan</vt:lpstr>
      <vt:lpstr>wld_az1_rack5_mgmt_vm_cidr</vt:lpstr>
      <vt:lpstr>wld_az1_rack5_mgmt_vm_gateway_ip</vt:lpstr>
      <vt:lpstr>wld_az1_rack5_mgmt_vm_mask</vt:lpstr>
      <vt:lpstr>wld_az1_rack5_mgmt_vm_mtu</vt:lpstr>
      <vt:lpstr>wld_az1_rack5_mgmt_vm_pg</vt:lpstr>
      <vt:lpstr>wld_az1_rack5_mgmt_vm_vlan</vt:lpstr>
      <vt:lpstr>wld_az1_rack5_pool_name</vt:lpstr>
      <vt:lpstr>wld_az1_rack5_principal_storage_cidr</vt:lpstr>
      <vt:lpstr>wld_az1_rack5_principal_storage_gateway_ip</vt:lpstr>
      <vt:lpstr>wld_az1_rack5_principal_storage_mask</vt:lpstr>
      <vt:lpstr>wld_az1_rack5_principal_storage_mtu</vt:lpstr>
      <vt:lpstr>wld_az1_rack5_principal_storage_network</vt:lpstr>
      <vt:lpstr>wld_az1_rack5_principal_storage_pg</vt:lpstr>
      <vt:lpstr>wld_az1_rack5_principal_storage_pool_end_ip</vt:lpstr>
      <vt:lpstr>wld_az1_rack5_principal_storage_pool_start_ip</vt:lpstr>
      <vt:lpstr>wld_az1_rack5_principal_storage_vlan</vt:lpstr>
      <vt:lpstr>wld_az1_rack5_reuse_vcf_networkpool_chosen</vt:lpstr>
      <vt:lpstr>wld_az1_rack5_rtep_ip_pool_name</vt:lpstr>
      <vt:lpstr>wld_az1_rack5_rtep_overlay_cidr</vt:lpstr>
      <vt:lpstr>wld_az1_rack5_rtep_overlay_gateway_ip</vt:lpstr>
      <vt:lpstr>wld_az1_rack5_rtep_overlay_mtu</vt:lpstr>
      <vt:lpstr>wld_az1_rack5_rtep_overlay_pool_end_ip</vt:lpstr>
      <vt:lpstr>wld_az1_rack5_rtep_overlay_pool_start_ip</vt:lpstr>
      <vt:lpstr>wld_az1_rack5_rtep_overlay_vlan</vt:lpstr>
      <vt:lpstr>wld_az1_rack5_secondary_storage_cidr</vt:lpstr>
      <vt:lpstr>wld_az1_rack5_secondary_storage_gateway_ip</vt:lpstr>
      <vt:lpstr>wld_az1_rack5_secondary_storage_mask</vt:lpstr>
      <vt:lpstr>wld_az1_rack5_secondary_storage_mtu</vt:lpstr>
      <vt:lpstr>wld_az1_rack5_secondary_storage_network</vt:lpstr>
      <vt:lpstr>wld_az1_rack5_secondary_storage_pool_end_ip</vt:lpstr>
      <vt:lpstr>wld_az1_rack5_secondary_storage_pool_start_ip</vt:lpstr>
      <vt:lpstr>wld_az1_rack5_secondary_storage_vlan</vt:lpstr>
      <vt:lpstr>wld_az1_rack5_tor1_peer_asn</vt:lpstr>
      <vt:lpstr>wld_az1_rack5_tor1_peer_bgp_password</vt:lpstr>
      <vt:lpstr>wld_az1_rack5_tor1_peer_ip</vt:lpstr>
      <vt:lpstr>wld_az1_rack5_tor2_peer_asn</vt:lpstr>
      <vt:lpstr>wld_az1_rack5_tor2_peer_bgp_password</vt:lpstr>
      <vt:lpstr>wld_az1_rack5_tor2_peer_ip</vt:lpstr>
      <vt:lpstr>wld_az1_rack5_uplink01_cidr</vt:lpstr>
      <vt:lpstr>wld_az1_rack5_uplink01_gateway_ip</vt:lpstr>
      <vt:lpstr>wld_az1_rack5_uplink01_mask</vt:lpstr>
      <vt:lpstr>wld_az1_rack5_uplink01_mtu</vt:lpstr>
      <vt:lpstr>wld_az1_rack5_uplink01_network</vt:lpstr>
      <vt:lpstr>wld_az1_rack5_uplink01_pg</vt:lpstr>
      <vt:lpstr>wld_az1_rack5_uplink01_vlan</vt:lpstr>
      <vt:lpstr>wld_az1_rack5_uplink02_cidr</vt:lpstr>
      <vt:lpstr>wld_az1_rack5_uplink02_gateway_ip</vt:lpstr>
      <vt:lpstr>wld_az1_rack5_uplink02_mask</vt:lpstr>
      <vt:lpstr>wld_az1_rack5_uplink02_mtu</vt:lpstr>
      <vt:lpstr>wld_az1_rack5_uplink02_network</vt:lpstr>
      <vt:lpstr>wld_az1_rack5_uplink02_pg</vt:lpstr>
      <vt:lpstr>wld_az1_rack5_uplink02_vlan</vt:lpstr>
      <vt:lpstr>wld_az1_rack5_vmotion_cidr</vt:lpstr>
      <vt:lpstr>wld_az1_rack5_vmotion_gateway_ip</vt:lpstr>
      <vt:lpstr>wld_az1_rack5_vmotion_mask</vt:lpstr>
      <vt:lpstr>wld_az1_rack5_vmotion_mtu</vt:lpstr>
      <vt:lpstr>wld_az1_rack5_vmotion_network</vt:lpstr>
      <vt:lpstr>wld_az1_rack5_vmotion_pg</vt:lpstr>
      <vt:lpstr>wld_az1_rack5_vmotion_pool_end_ip</vt:lpstr>
      <vt:lpstr>wld_az1_rack5_vmotion_pool_start_ip</vt:lpstr>
      <vt:lpstr>wld_az1_rack5_vmotion_vlan</vt:lpstr>
      <vt:lpstr>wld_az1_rack5_vrms_cidr</vt:lpstr>
      <vt:lpstr>wld_az1_rack5_vrms_gateway_ip</vt:lpstr>
      <vt:lpstr>wld_az1_rack5_vrms_mtu</vt:lpstr>
      <vt:lpstr>wld_az1_rack5_vrms_vlan</vt:lpstr>
      <vt:lpstr>wld_az1_rack5_vsan_fault_domain</vt:lpstr>
      <vt:lpstr>wld_az1_rack6_edge_overlay_cidr</vt:lpstr>
      <vt:lpstr>wld_az1_rack6_edge_overlay_gateway_ip</vt:lpstr>
      <vt:lpstr>wld_az1_rack6_edge_overlay_mask</vt:lpstr>
      <vt:lpstr>wld_az1_rack6_edge_overlay_mtu</vt:lpstr>
      <vt:lpstr>wld_az1_rack6_edge_overlay_network</vt:lpstr>
      <vt:lpstr>wld_az1_rack6_edge_overlay_network_pool_name</vt:lpstr>
      <vt:lpstr>wld_az1_rack6_edge_overlay_pool_end_ip</vt:lpstr>
      <vt:lpstr>wld_az1_rack6_edge_overlay_pool_start_ip</vt:lpstr>
      <vt:lpstr>wld_az1_rack6_edge_overlay_vlan</vt:lpstr>
      <vt:lpstr>wld_az1_rack6_en1_edge_overlay_interface_ip_1_ip</vt:lpstr>
      <vt:lpstr>wld_az1_rack6_en1_edge_overlay_interface_ip_2_ip</vt:lpstr>
      <vt:lpstr>wld_az1_rack6_en1_fqdn</vt:lpstr>
      <vt:lpstr>wld_az1_rack6_en1_hostname</vt:lpstr>
      <vt:lpstr>wld_az1_rack6_en1_mgmt_ip</vt:lpstr>
      <vt:lpstr>wld_az1_rack6_en1_uplink01_interface_ip</vt:lpstr>
      <vt:lpstr>wld_az1_rack6_en1_uplink02_interface_ip</vt:lpstr>
      <vt:lpstr>wld_az1_rack6_en2_fqdn</vt:lpstr>
      <vt:lpstr>wld_az1_rack6_en2_hostname</vt:lpstr>
      <vt:lpstr>wld_az1_rack6_en2_mgmt_ip</vt:lpstr>
      <vt:lpstr>wld_az1_rack6_en2_uplink01_interface_ip</vt:lpstr>
      <vt:lpstr>wld_az1_rack6_en2_uplink02_interface_ip</vt:lpstr>
      <vt:lpstr>wld_az1_rack6_host_fqdns</vt:lpstr>
      <vt:lpstr>wld_az1_rack6_host_hostnames</vt:lpstr>
      <vt:lpstr>wld_az1_rack6_host_mgmt_ips</vt:lpstr>
      <vt:lpstr>wld_az1_rack6_host_overlay_cidr</vt:lpstr>
      <vt:lpstr>wld_az1_rack6_host_overlay_gateway_ip</vt:lpstr>
      <vt:lpstr>wld_az1_rack6_host_overlay_mask</vt:lpstr>
      <vt:lpstr>wld_az1_rack6_host_overlay_mtu</vt:lpstr>
      <vt:lpstr>wld_az1_rack6_host_overlay_network</vt:lpstr>
      <vt:lpstr>wld_az1_rack6_host_overlay_network_pool_name</vt:lpstr>
      <vt:lpstr>wld_az1_rack6_host_overlay_network_profile_name</vt:lpstr>
      <vt:lpstr>wld_az1_rack6_host_overlay_new_pool_chosen</vt:lpstr>
      <vt:lpstr>wld_az1_rack6_host_overlay_pool_end_ip</vt:lpstr>
      <vt:lpstr>wld_az1_rack6_host_overlay_pool_start_ip</vt:lpstr>
      <vt:lpstr>wld_az1_rack6_host_overlay_uplink_profile_name</vt:lpstr>
      <vt:lpstr>wld_az1_rack6_host_overlay_vlan</vt:lpstr>
      <vt:lpstr>wld_az1_rack6_host1_fqdn</vt:lpstr>
      <vt:lpstr>wld_az1_rack6_host1_hostname</vt:lpstr>
      <vt:lpstr>wld_az1_rack6_host1_mgmt_ip</vt:lpstr>
      <vt:lpstr>wld_az1_rack6_host10_fqdn</vt:lpstr>
      <vt:lpstr>wld_az1_rack6_host10_hostname</vt:lpstr>
      <vt:lpstr>wld_az1_rack6_host10_mgmt_ip</vt:lpstr>
      <vt:lpstr>wld_az1_rack6_host11_fqdn</vt:lpstr>
      <vt:lpstr>wld_az1_rack6_host11_hostname</vt:lpstr>
      <vt:lpstr>wld_az1_rack6_host11_mgmt_ip</vt:lpstr>
      <vt:lpstr>wld_az1_rack6_host12_fqdn</vt:lpstr>
      <vt:lpstr>wld_az1_rack6_host12_hostname</vt:lpstr>
      <vt:lpstr>wld_az1_rack6_host12_mgmt_ip</vt:lpstr>
      <vt:lpstr>wld_az1_rack6_host13_fqdn</vt:lpstr>
      <vt:lpstr>wld_az1_rack6_host13_hostname</vt:lpstr>
      <vt:lpstr>wld_az1_rack6_host13_mgmt_ip</vt:lpstr>
      <vt:lpstr>wld_az1_rack6_host14_fqdn</vt:lpstr>
      <vt:lpstr>wld_az1_rack6_host14_hostname</vt:lpstr>
      <vt:lpstr>wld_az1_rack6_host14_mgmt_ip</vt:lpstr>
      <vt:lpstr>wld_az1_rack6_host15_fqdn</vt:lpstr>
      <vt:lpstr>wld_az1_rack6_host15_hostname</vt:lpstr>
      <vt:lpstr>wld_az1_rack6_host15_mgmt_ip</vt:lpstr>
      <vt:lpstr>wld_az1_rack6_host16_fqdn</vt:lpstr>
      <vt:lpstr>wld_az1_rack6_host16_hostname</vt:lpstr>
      <vt:lpstr>wld_az1_rack6_host16_mgmt_ip</vt:lpstr>
      <vt:lpstr>wld_az1_rack6_host2_fqdn</vt:lpstr>
      <vt:lpstr>wld_az1_rack6_host2_hostname</vt:lpstr>
      <vt:lpstr>wld_az1_rack6_host2_mgmt_ip</vt:lpstr>
      <vt:lpstr>wld_az1_rack6_host3_fqdn</vt:lpstr>
      <vt:lpstr>wld_az1_rack6_host3_hostname</vt:lpstr>
      <vt:lpstr>wld_az1_rack6_host3_mgmt_ip</vt:lpstr>
      <vt:lpstr>wld_az1_rack6_host4_fqdn</vt:lpstr>
      <vt:lpstr>wld_az1_rack6_host4_hostname</vt:lpstr>
      <vt:lpstr>wld_az1_rack6_host4_mgmt_ip</vt:lpstr>
      <vt:lpstr>wld_az1_rack6_host5_fqdn</vt:lpstr>
      <vt:lpstr>wld_az1_rack6_host5_hostname</vt:lpstr>
      <vt:lpstr>wld_az1_rack6_host5_mgmt_ip</vt:lpstr>
      <vt:lpstr>wld_az1_rack6_host6_fqdn</vt:lpstr>
      <vt:lpstr>wld_az1_rack6_host6_hostname</vt:lpstr>
      <vt:lpstr>wld_az1_rack6_host6_mgmt_ip</vt:lpstr>
      <vt:lpstr>wld_az1_rack6_host7_fqdn</vt:lpstr>
      <vt:lpstr>wld_az1_rack6_host7_hostname</vt:lpstr>
      <vt:lpstr>wld_az1_rack6_host7_mgmt_ip</vt:lpstr>
      <vt:lpstr>wld_az1_rack6_host8_fqdn</vt:lpstr>
      <vt:lpstr>wld_az1_rack6_host8_hostname</vt:lpstr>
      <vt:lpstr>wld_az1_rack6_host8_mgmt_ip</vt:lpstr>
      <vt:lpstr>wld_az1_rack6_host9_fqdn</vt:lpstr>
      <vt:lpstr>wld_az1_rack6_host9_hostname</vt:lpstr>
      <vt:lpstr>wld_az1_rack6_host9_mgmt_ip</vt:lpstr>
      <vt:lpstr>wld_az1_rack6_mgmt_cidr</vt:lpstr>
      <vt:lpstr>wld_az1_rack6_mgmt_gateway_ip</vt:lpstr>
      <vt:lpstr>wld_az1_rack6_mgmt_mask</vt:lpstr>
      <vt:lpstr>wld_az1_rack6_mgmt_mtu</vt:lpstr>
      <vt:lpstr>wld_az1_rack6_mgmt_network</vt:lpstr>
      <vt:lpstr>wld_az1_rack6_mgmt_pg</vt:lpstr>
      <vt:lpstr>wld_az1_rack6_mgmt_vlan</vt:lpstr>
      <vt:lpstr>wld_az1_rack6_mgmt_vm_cidr</vt:lpstr>
      <vt:lpstr>wld_az1_rack6_mgmt_vm_gateway_ip</vt:lpstr>
      <vt:lpstr>wld_az1_rack6_mgmt_vm_mask</vt:lpstr>
      <vt:lpstr>wld_az1_rack6_mgmt_vm_mtu</vt:lpstr>
      <vt:lpstr>wld_az1_rack6_mgmt_vm_pg</vt:lpstr>
      <vt:lpstr>wld_az1_rack6_mgmt_vm_vlan</vt:lpstr>
      <vt:lpstr>wld_az1_rack6_pool_name</vt:lpstr>
      <vt:lpstr>wld_az1_rack6_principal_storage_cidr</vt:lpstr>
      <vt:lpstr>wld_az1_rack6_principal_storage_gateway_ip</vt:lpstr>
      <vt:lpstr>wld_az1_rack6_principal_storage_mask</vt:lpstr>
      <vt:lpstr>wld_az1_rack6_principal_storage_mtu</vt:lpstr>
      <vt:lpstr>wld_az1_rack6_principal_storage_network</vt:lpstr>
      <vt:lpstr>wld_az1_rack6_principal_storage_pg</vt:lpstr>
      <vt:lpstr>wld_az1_rack6_principal_storage_pool_end_ip</vt:lpstr>
      <vt:lpstr>wld_az1_rack6_principal_storage_pool_start_ip</vt:lpstr>
      <vt:lpstr>wld_az1_rack6_principal_storage_vlan</vt:lpstr>
      <vt:lpstr>wld_az1_rack6_reuse_vcf_networkpool_chosen</vt:lpstr>
      <vt:lpstr>wld_az1_rack6_rtep_ip_pool_name</vt:lpstr>
      <vt:lpstr>wld_az1_rack6_rtep_overlay_cidr</vt:lpstr>
      <vt:lpstr>wld_az1_rack6_rtep_overlay_gateway_ip</vt:lpstr>
      <vt:lpstr>wld_az1_rack6_rtep_overlay_mtu</vt:lpstr>
      <vt:lpstr>wld_az1_rack6_rtep_overlay_pool_end_ip</vt:lpstr>
      <vt:lpstr>wld_az1_rack6_rtep_overlay_pool_start_ip</vt:lpstr>
      <vt:lpstr>wld_az1_rack6_rtep_overlay_vlan</vt:lpstr>
      <vt:lpstr>wld_az1_rack6_secondary_storage_cidr</vt:lpstr>
      <vt:lpstr>wld_az1_rack6_secondary_storage_gateway_ip</vt:lpstr>
      <vt:lpstr>wld_az1_rack6_secondary_storage_mask</vt:lpstr>
      <vt:lpstr>wld_az1_rack6_secondary_storage_mtu</vt:lpstr>
      <vt:lpstr>wld_az1_rack6_secondary_storage_network</vt:lpstr>
      <vt:lpstr>wld_az1_rack6_secondary_storage_pool_end_ip</vt:lpstr>
      <vt:lpstr>wld_az1_rack6_secondary_storage_pool_start_ip</vt:lpstr>
      <vt:lpstr>wld_az1_rack6_secondary_storage_vlan</vt:lpstr>
      <vt:lpstr>wld_az1_rack6_tor1_peer_asn</vt:lpstr>
      <vt:lpstr>wld_az1_rack6_tor1_peer_bgp_password</vt:lpstr>
      <vt:lpstr>wld_az1_rack6_tor1_peer_ip</vt:lpstr>
      <vt:lpstr>wld_az1_rack6_tor2_peer_asn</vt:lpstr>
      <vt:lpstr>wld_az1_rack6_tor2_peer_bgp_password</vt:lpstr>
      <vt:lpstr>wld_az1_rack6_tor2_peer_ip</vt:lpstr>
      <vt:lpstr>wld_az1_rack6_uplink01_cidr</vt:lpstr>
      <vt:lpstr>wld_az1_rack6_uplink01_gateway_ip</vt:lpstr>
      <vt:lpstr>wld_az1_rack6_uplink01_mask</vt:lpstr>
      <vt:lpstr>wld_az1_rack6_uplink01_mtu</vt:lpstr>
      <vt:lpstr>wld_az1_rack6_uplink01_network</vt:lpstr>
      <vt:lpstr>wld_az1_rack6_uplink01_pg</vt:lpstr>
      <vt:lpstr>wld_az1_rack6_uplink01_vlan</vt:lpstr>
      <vt:lpstr>wld_az1_rack6_uplink02_cidr</vt:lpstr>
      <vt:lpstr>wld_az1_rack6_uplink02_gateway_ip</vt:lpstr>
      <vt:lpstr>wld_az1_rack6_uplink02_mask</vt:lpstr>
      <vt:lpstr>wld_az1_rack6_uplink02_mtu</vt:lpstr>
      <vt:lpstr>wld_az1_rack6_uplink02_network</vt:lpstr>
      <vt:lpstr>wld_az1_rack6_uplink02_pg</vt:lpstr>
      <vt:lpstr>wld_az1_rack6_uplink02_vlan</vt:lpstr>
      <vt:lpstr>wld_az1_rack6_vmotion_cidr</vt:lpstr>
      <vt:lpstr>wld_az1_rack6_vmotion_gateway_ip</vt:lpstr>
      <vt:lpstr>wld_az1_rack6_vmotion_mask</vt:lpstr>
      <vt:lpstr>wld_az1_rack6_vmotion_mtu</vt:lpstr>
      <vt:lpstr>wld_az1_rack6_vmotion_network</vt:lpstr>
      <vt:lpstr>wld_az1_rack6_vmotion_pg</vt:lpstr>
      <vt:lpstr>wld_az1_rack6_vmotion_pool_end_ip</vt:lpstr>
      <vt:lpstr>wld_az1_rack6_vmotion_pool_start_ip</vt:lpstr>
      <vt:lpstr>wld_az1_rack6_vmotion_vlan</vt:lpstr>
      <vt:lpstr>wld_az1_rack6_vrms_cidr</vt:lpstr>
      <vt:lpstr>wld_az1_rack6_vrms_gateway_ip</vt:lpstr>
      <vt:lpstr>wld_az1_rack6_vrms_mtu</vt:lpstr>
      <vt:lpstr>wld_az1_rack6_vrms_vlan</vt:lpstr>
      <vt:lpstr>wld_az1_rack6_vsan_fault_domain</vt:lpstr>
      <vt:lpstr>wld_az1_rack7_edge_overlay_cidr</vt:lpstr>
      <vt:lpstr>wld_az1_rack7_edge_overlay_gateway_ip</vt:lpstr>
      <vt:lpstr>wld_az1_rack7_edge_overlay_mask</vt:lpstr>
      <vt:lpstr>wld_az1_rack7_edge_overlay_mtu</vt:lpstr>
      <vt:lpstr>wld_az1_rack7_edge_overlay_network</vt:lpstr>
      <vt:lpstr>wld_az1_rack7_edge_overlay_network_pool_name</vt:lpstr>
      <vt:lpstr>wld_az1_rack7_edge_overlay_pool_end_ip</vt:lpstr>
      <vt:lpstr>wld_az1_rack7_edge_overlay_pool_start_ip</vt:lpstr>
      <vt:lpstr>wld_az1_rack7_edge_overlay_vlan</vt:lpstr>
      <vt:lpstr>wld_az1_rack7_en1_edge_overlay_interface_ip_1_ip</vt:lpstr>
      <vt:lpstr>wld_az1_rack7_en1_edge_overlay_interface_ip_2_ip</vt:lpstr>
      <vt:lpstr>wld_az1_rack7_en1_fqdn</vt:lpstr>
      <vt:lpstr>wld_az1_rack7_en1_hostname</vt:lpstr>
      <vt:lpstr>wld_az1_rack7_en1_mgmt_ip</vt:lpstr>
      <vt:lpstr>wld_az1_rack7_en1_uplink01_interface_ip</vt:lpstr>
      <vt:lpstr>wld_az1_rack7_en1_uplink02_interface_ip</vt:lpstr>
      <vt:lpstr>wld_az1_rack7_en2_fqdn</vt:lpstr>
      <vt:lpstr>wld_az1_rack7_en2_hostname</vt:lpstr>
      <vt:lpstr>wld_az1_rack7_en2_mgmt_ip</vt:lpstr>
      <vt:lpstr>wld_az1_rack7_en2_uplink01_interface_ip</vt:lpstr>
      <vt:lpstr>wld_az1_rack7_en2_uplink02_interface_ip</vt:lpstr>
      <vt:lpstr>wld_az1_rack7_host_fqdns</vt:lpstr>
      <vt:lpstr>wld_az1_rack7_host_hostnames</vt:lpstr>
      <vt:lpstr>wld_az1_rack7_host_mgmt_ips</vt:lpstr>
      <vt:lpstr>wld_az1_rack7_host_overlay_cidr</vt:lpstr>
      <vt:lpstr>wld_az1_rack7_host_overlay_gateway_ip</vt:lpstr>
      <vt:lpstr>wld_az1_rack7_host_overlay_mask</vt:lpstr>
      <vt:lpstr>wld_az1_rack7_host_overlay_mtu</vt:lpstr>
      <vt:lpstr>wld_az1_rack7_host_overlay_network</vt:lpstr>
      <vt:lpstr>wld_az1_rack7_host_overlay_network_pool_name</vt:lpstr>
      <vt:lpstr>wld_az1_rack7_host_overlay_network_profile_name</vt:lpstr>
      <vt:lpstr>wld_az1_rack7_host_overlay_new_pool_chosen</vt:lpstr>
      <vt:lpstr>wld_az1_rack7_host_overlay_pool_end_ip</vt:lpstr>
      <vt:lpstr>wld_az1_rack7_host_overlay_pool_start_ip</vt:lpstr>
      <vt:lpstr>wld_az1_rack7_host_overlay_uplink_profile_name</vt:lpstr>
      <vt:lpstr>wld_az1_rack7_host_overlay_vlan</vt:lpstr>
      <vt:lpstr>wld_az1_rack7_host1_fqdn</vt:lpstr>
      <vt:lpstr>wld_az1_rack7_host1_hostname</vt:lpstr>
      <vt:lpstr>wld_az1_rack7_host1_mgmt_ip</vt:lpstr>
      <vt:lpstr>wld_az1_rack7_host10_fqdn</vt:lpstr>
      <vt:lpstr>wld_az1_rack7_host10_hostname</vt:lpstr>
      <vt:lpstr>wld_az1_rack7_host10_mgmt_ip</vt:lpstr>
      <vt:lpstr>wld_az1_rack7_host11_fqdn</vt:lpstr>
      <vt:lpstr>wld_az1_rack7_host11_hostname</vt:lpstr>
      <vt:lpstr>wld_az1_rack7_host11_mgmt_ip</vt:lpstr>
      <vt:lpstr>wld_az1_rack7_host12_fqdn</vt:lpstr>
      <vt:lpstr>wld_az1_rack7_host12_hostname</vt:lpstr>
      <vt:lpstr>wld_az1_rack7_host12_mgmt_ip</vt:lpstr>
      <vt:lpstr>wld_az1_rack7_host13_fqdn</vt:lpstr>
      <vt:lpstr>wld_az1_rack7_host13_hostname</vt:lpstr>
      <vt:lpstr>wld_az1_rack7_host13_mgmt_ip</vt:lpstr>
      <vt:lpstr>wld_az1_rack7_host14_fqdn</vt:lpstr>
      <vt:lpstr>wld_az1_rack7_host14_hostname</vt:lpstr>
      <vt:lpstr>wld_az1_rack7_host14_mgmt_ip</vt:lpstr>
      <vt:lpstr>wld_az1_rack7_host15_fqdn</vt:lpstr>
      <vt:lpstr>wld_az1_rack7_host15_hostname</vt:lpstr>
      <vt:lpstr>wld_az1_rack7_host15_mgmt_ip</vt:lpstr>
      <vt:lpstr>wld_az1_rack7_host16_fqdn</vt:lpstr>
      <vt:lpstr>wld_az1_rack7_host16_hostname</vt:lpstr>
      <vt:lpstr>wld_az1_rack7_host16_mgmt_ip</vt:lpstr>
      <vt:lpstr>wld_az1_rack7_host2_fqdn</vt:lpstr>
      <vt:lpstr>wld_az1_rack7_host2_hostname</vt:lpstr>
      <vt:lpstr>wld_az1_rack7_host2_mgmt_ip</vt:lpstr>
      <vt:lpstr>wld_az1_rack7_host3_fqdn</vt:lpstr>
      <vt:lpstr>wld_az1_rack7_host3_hostname</vt:lpstr>
      <vt:lpstr>wld_az1_rack7_host3_mgmt_ip</vt:lpstr>
      <vt:lpstr>wld_az1_rack7_host4_fqdn</vt:lpstr>
      <vt:lpstr>wld_az1_rack7_host4_hostname</vt:lpstr>
      <vt:lpstr>wld_az1_rack7_host4_mgmt_ip</vt:lpstr>
      <vt:lpstr>wld_az1_rack7_host5_fqdn</vt:lpstr>
      <vt:lpstr>wld_az1_rack7_host5_hostname</vt:lpstr>
      <vt:lpstr>wld_az1_rack7_host5_mgmt_ip</vt:lpstr>
      <vt:lpstr>wld_az1_rack7_host6_fqdn</vt:lpstr>
      <vt:lpstr>wld_az1_rack7_host6_hostname</vt:lpstr>
      <vt:lpstr>wld_az1_rack7_host6_mgmt_ip</vt:lpstr>
      <vt:lpstr>wld_az1_rack7_host7_fqdn</vt:lpstr>
      <vt:lpstr>wld_az1_rack7_host7_hostname</vt:lpstr>
      <vt:lpstr>wld_az1_rack7_host7_mgmt_ip</vt:lpstr>
      <vt:lpstr>wld_az1_rack7_host8_fqdn</vt:lpstr>
      <vt:lpstr>wld_az1_rack7_host8_hostname</vt:lpstr>
      <vt:lpstr>wld_az1_rack7_host8_mgmt_ip</vt:lpstr>
      <vt:lpstr>wld_az1_rack7_host9_fqdn</vt:lpstr>
      <vt:lpstr>wld_az1_rack7_host9_hostname</vt:lpstr>
      <vt:lpstr>wld_az1_rack7_host9_mgmt_ip</vt:lpstr>
      <vt:lpstr>wld_az1_rack7_mgmt_cidr</vt:lpstr>
      <vt:lpstr>wld_az1_rack7_mgmt_gateway_ip</vt:lpstr>
      <vt:lpstr>wld_az1_rack7_mgmt_mask</vt:lpstr>
      <vt:lpstr>wld_az1_rack7_mgmt_mtu</vt:lpstr>
      <vt:lpstr>wld_az1_rack7_mgmt_network</vt:lpstr>
      <vt:lpstr>wld_az1_rack7_mgmt_pg</vt:lpstr>
      <vt:lpstr>wld_az1_rack7_mgmt_vlan</vt:lpstr>
      <vt:lpstr>wld_az1_rack7_mgmt_vm_cidr</vt:lpstr>
      <vt:lpstr>wld_az1_rack7_mgmt_vm_gateway_ip</vt:lpstr>
      <vt:lpstr>wld_az1_rack7_mgmt_vm_mask</vt:lpstr>
      <vt:lpstr>wld_az1_rack7_mgmt_vm_mtu</vt:lpstr>
      <vt:lpstr>wld_az1_rack7_mgmt_vm_pg</vt:lpstr>
      <vt:lpstr>wld_az1_rack7_mgmt_vm_vlan</vt:lpstr>
      <vt:lpstr>wld_az1_rack7_pool_name</vt:lpstr>
      <vt:lpstr>wld_az1_rack7_principal_storage_cidr</vt:lpstr>
      <vt:lpstr>wld_az1_rack7_principal_storage_gateway_ip</vt:lpstr>
      <vt:lpstr>wld_az1_rack7_principal_storage_mask</vt:lpstr>
      <vt:lpstr>wld_az1_rack7_principal_storage_mtu</vt:lpstr>
      <vt:lpstr>wld_az1_rack7_principal_storage_network</vt:lpstr>
      <vt:lpstr>wld_az1_rack7_principal_storage_pg</vt:lpstr>
      <vt:lpstr>wld_az1_rack7_principal_storage_pool_end_ip</vt:lpstr>
      <vt:lpstr>wld_az1_rack7_principal_storage_pool_start_ip</vt:lpstr>
      <vt:lpstr>wld_az1_rack7_principal_storage_vlan</vt:lpstr>
      <vt:lpstr>wld_az1_rack7_reuse_vcf_networkpool_chosen</vt:lpstr>
      <vt:lpstr>wld_az1_rack7_rtep_ip_pool_name</vt:lpstr>
      <vt:lpstr>wld_az1_rack7_rtep_overlay_cidr</vt:lpstr>
      <vt:lpstr>wld_az1_rack7_rtep_overlay_gateway_ip</vt:lpstr>
      <vt:lpstr>wld_az1_rack7_rtep_overlay_mtu</vt:lpstr>
      <vt:lpstr>wld_az1_rack7_rtep_overlay_pool_end_ip</vt:lpstr>
      <vt:lpstr>wld_az1_rack7_rtep_overlay_pool_start_ip</vt:lpstr>
      <vt:lpstr>wld_az1_rack7_rtep_overlay_vlan</vt:lpstr>
      <vt:lpstr>wld_az1_rack7_secondary_storage_cidr</vt:lpstr>
      <vt:lpstr>wld_az1_rack7_secondary_storage_gateway_ip</vt:lpstr>
      <vt:lpstr>wld_az1_rack7_secondary_storage_mask</vt:lpstr>
      <vt:lpstr>wld_az1_rack7_secondary_storage_mtu</vt:lpstr>
      <vt:lpstr>wld_az1_rack7_secondary_storage_network</vt:lpstr>
      <vt:lpstr>wld_az1_rack7_secondary_storage_pool_end_ip</vt:lpstr>
      <vt:lpstr>wld_az1_rack7_secondary_storage_pool_start_ip</vt:lpstr>
      <vt:lpstr>wld_az1_rack7_secondary_storage_vlan</vt:lpstr>
      <vt:lpstr>wld_az1_rack7_tor1_peer_asn</vt:lpstr>
      <vt:lpstr>wld_az1_rack7_tor1_peer_bgp_password</vt:lpstr>
      <vt:lpstr>wld_az1_rack7_tor1_peer_ip</vt:lpstr>
      <vt:lpstr>wld_az1_rack7_tor2_peer_asn</vt:lpstr>
      <vt:lpstr>wld_az1_rack7_tor2_peer_bgp_password</vt:lpstr>
      <vt:lpstr>wld_az1_rack7_tor2_peer_ip</vt:lpstr>
      <vt:lpstr>wld_az1_rack7_uplink01_cidr</vt:lpstr>
      <vt:lpstr>wld_az1_rack7_uplink01_gateway_ip</vt:lpstr>
      <vt:lpstr>wld_az1_rack7_uplink01_mask</vt:lpstr>
      <vt:lpstr>wld_az1_rack7_uplink01_mtu</vt:lpstr>
      <vt:lpstr>wld_az1_rack7_uplink01_network</vt:lpstr>
      <vt:lpstr>wld_az1_rack7_uplink01_pg</vt:lpstr>
      <vt:lpstr>wld_az1_rack7_uplink01_vlan</vt:lpstr>
      <vt:lpstr>wld_az1_rack7_uplink02_cidr</vt:lpstr>
      <vt:lpstr>wld_az1_rack7_uplink02_gateway_ip</vt:lpstr>
      <vt:lpstr>wld_az1_rack7_uplink02_mask</vt:lpstr>
      <vt:lpstr>wld_az1_rack7_uplink02_mtu</vt:lpstr>
      <vt:lpstr>wld_az1_rack7_uplink02_network</vt:lpstr>
      <vt:lpstr>wld_az1_rack7_uplink02_pg</vt:lpstr>
      <vt:lpstr>wld_az1_rack7_uplink02_vlan</vt:lpstr>
      <vt:lpstr>wld_az1_rack7_vmotion_cidr</vt:lpstr>
      <vt:lpstr>wld_az1_rack7_vmotion_gateway_ip</vt:lpstr>
      <vt:lpstr>wld_az1_rack7_vmotion_mask</vt:lpstr>
      <vt:lpstr>wld_az1_rack7_vmotion_mtu</vt:lpstr>
      <vt:lpstr>wld_az1_rack7_vmotion_network</vt:lpstr>
      <vt:lpstr>wld_az1_rack7_vmotion_pg</vt:lpstr>
      <vt:lpstr>wld_az1_rack7_vmotion_pool_end_ip</vt:lpstr>
      <vt:lpstr>wld_az1_rack7_vmotion_pool_start_ip</vt:lpstr>
      <vt:lpstr>wld_az1_rack7_vmotion_vlan</vt:lpstr>
      <vt:lpstr>wld_az1_rack7_vrms_cidr</vt:lpstr>
      <vt:lpstr>wld_az1_rack7_vrms_gateway_ip</vt:lpstr>
      <vt:lpstr>wld_az1_rack7_vrms_mtu</vt:lpstr>
      <vt:lpstr>wld_az1_rack7_vrms_vlan</vt:lpstr>
      <vt:lpstr>wld_az1_rack7_vsan_fault_domain</vt:lpstr>
      <vt:lpstr>wld_az1_rack8_edge_overlay_cidr</vt:lpstr>
      <vt:lpstr>wld_az1_rack8_edge_overlay_gateway_ip</vt:lpstr>
      <vt:lpstr>wld_az1_rack8_edge_overlay_mask</vt:lpstr>
      <vt:lpstr>wld_az1_rack8_edge_overlay_mtu</vt:lpstr>
      <vt:lpstr>wld_az1_rack8_edge_overlay_network</vt:lpstr>
      <vt:lpstr>wld_az1_rack8_edge_overlay_network_pool_name</vt:lpstr>
      <vt:lpstr>wld_az1_rack8_edge_overlay_pool_end_ip</vt:lpstr>
      <vt:lpstr>wld_az1_rack8_edge_overlay_pool_start_ip</vt:lpstr>
      <vt:lpstr>wld_az1_rack8_edge_overlay_vlan</vt:lpstr>
      <vt:lpstr>wld_az1_rack8_en1_edge_overlay_interface_ip_1_ip</vt:lpstr>
      <vt:lpstr>wld_az1_rack8_en1_edge_overlay_interface_ip_2_ip</vt:lpstr>
      <vt:lpstr>wld_az1_rack8_en1_fqdn</vt:lpstr>
      <vt:lpstr>wld_az1_rack8_en1_hostname</vt:lpstr>
      <vt:lpstr>wld_az1_rack8_en1_mgmt_ip</vt:lpstr>
      <vt:lpstr>wld_az1_rack8_en1_uplink01_interface_ip</vt:lpstr>
      <vt:lpstr>wld_az1_rack8_en1_uplink02_interface_ip</vt:lpstr>
      <vt:lpstr>wld_az1_rack8_en2_fqdn</vt:lpstr>
      <vt:lpstr>wld_az1_rack8_en2_hostname</vt:lpstr>
      <vt:lpstr>wld_az1_rack8_en2_mgmt_ip</vt:lpstr>
      <vt:lpstr>wld_az1_rack8_en2_uplink01_interface_ip</vt:lpstr>
      <vt:lpstr>wld_az1_rack8_en2_uplink02_interface_ip</vt:lpstr>
      <vt:lpstr>wld_az1_rack8_host_fqdns</vt:lpstr>
      <vt:lpstr>wld_az1_rack8_host_hostnames</vt:lpstr>
      <vt:lpstr>wld_az1_rack8_host_mgmt_ips</vt:lpstr>
      <vt:lpstr>wld_az1_rack8_host_overlay_cidr</vt:lpstr>
      <vt:lpstr>wld_az1_rack8_host_overlay_gateway_ip</vt:lpstr>
      <vt:lpstr>wld_az1_rack8_host_overlay_mask</vt:lpstr>
      <vt:lpstr>wld_az1_rack8_host_overlay_mtu</vt:lpstr>
      <vt:lpstr>wld_az1_rack8_host_overlay_network</vt:lpstr>
      <vt:lpstr>wld_az1_rack8_host_overlay_network_pool_name</vt:lpstr>
      <vt:lpstr>wld_az1_rack8_host_overlay_network_profile_name</vt:lpstr>
      <vt:lpstr>wld_az1_rack8_host_overlay_new_pool_chosen</vt:lpstr>
      <vt:lpstr>wld_az1_rack8_host_overlay_pool_end_ip</vt:lpstr>
      <vt:lpstr>wld_az1_rack8_host_overlay_pool_start_ip</vt:lpstr>
      <vt:lpstr>wld_az1_rack8_host_overlay_uplink_profile_name</vt:lpstr>
      <vt:lpstr>wld_az1_rack8_host_overlay_vlan</vt:lpstr>
      <vt:lpstr>wld_az1_rack8_host1_fqdn</vt:lpstr>
      <vt:lpstr>wld_az1_rack8_host1_hostname</vt:lpstr>
      <vt:lpstr>wld_az1_rack8_host1_mgmt_ip</vt:lpstr>
      <vt:lpstr>wld_az1_rack8_host10_fqdn</vt:lpstr>
      <vt:lpstr>wld_az1_rack8_host10_hostname</vt:lpstr>
      <vt:lpstr>wld_az1_rack8_host10_mgmt_ip</vt:lpstr>
      <vt:lpstr>wld_az1_rack8_host11_fqdn</vt:lpstr>
      <vt:lpstr>wld_az1_rack8_host11_hostname</vt:lpstr>
      <vt:lpstr>wld_az1_rack8_host11_mgmt_ip</vt:lpstr>
      <vt:lpstr>wld_az1_rack8_host12_fqdn</vt:lpstr>
      <vt:lpstr>wld_az1_rack8_host12_hostname</vt:lpstr>
      <vt:lpstr>wld_az1_rack8_host12_mgmt_ip</vt:lpstr>
      <vt:lpstr>wld_az1_rack8_host13_fqdn</vt:lpstr>
      <vt:lpstr>wld_az1_rack8_host13_hostname</vt:lpstr>
      <vt:lpstr>wld_az1_rack8_host13_mgmt_ip</vt:lpstr>
      <vt:lpstr>wld_az1_rack8_host14_fqdn</vt:lpstr>
      <vt:lpstr>wld_az1_rack8_host14_hostname</vt:lpstr>
      <vt:lpstr>wld_az1_rack8_host14_mgmt_ip</vt:lpstr>
      <vt:lpstr>wld_az1_rack8_host15_fqdn</vt:lpstr>
      <vt:lpstr>wld_az1_rack8_host15_hostname</vt:lpstr>
      <vt:lpstr>wld_az1_rack8_host15_mgmt_ip</vt:lpstr>
      <vt:lpstr>wld_az1_rack8_host16_fqdn</vt:lpstr>
      <vt:lpstr>wld_az1_rack8_host16_hostname</vt:lpstr>
      <vt:lpstr>wld_az1_rack8_host16_mgmt_ip</vt:lpstr>
      <vt:lpstr>wld_az1_rack8_host2_fqdn</vt:lpstr>
      <vt:lpstr>wld_az1_rack8_host2_hostname</vt:lpstr>
      <vt:lpstr>wld_az1_rack8_host2_mgmt_ip</vt:lpstr>
      <vt:lpstr>wld_az1_rack8_host3_fqdn</vt:lpstr>
      <vt:lpstr>wld_az1_rack8_host3_hostname</vt:lpstr>
      <vt:lpstr>wld_az1_rack8_host3_mgmt_ip</vt:lpstr>
      <vt:lpstr>wld_az1_rack8_host4_fqdn</vt:lpstr>
      <vt:lpstr>wld_az1_rack8_host4_hostname</vt:lpstr>
      <vt:lpstr>wld_az1_rack8_host4_mgmt_ip</vt:lpstr>
      <vt:lpstr>wld_az1_rack8_host5_fqdn</vt:lpstr>
      <vt:lpstr>wld_az1_rack8_host5_hostname</vt:lpstr>
      <vt:lpstr>wld_az1_rack8_host5_mgmt_ip</vt:lpstr>
      <vt:lpstr>wld_az1_rack8_host6_fqdn</vt:lpstr>
      <vt:lpstr>wld_az1_rack8_host6_hostname</vt:lpstr>
      <vt:lpstr>wld_az1_rack8_host6_mgmt_ip</vt:lpstr>
      <vt:lpstr>wld_az1_rack8_host7_fqdn</vt:lpstr>
      <vt:lpstr>wld_az1_rack8_host7_hostname</vt:lpstr>
      <vt:lpstr>wld_az1_rack8_host7_mgmt_ip</vt:lpstr>
      <vt:lpstr>wld_az1_rack8_host8_fqdn</vt:lpstr>
      <vt:lpstr>wld_az1_rack8_host8_hostname</vt:lpstr>
      <vt:lpstr>wld_az1_rack8_host8_mgmt_ip</vt:lpstr>
      <vt:lpstr>wld_az1_rack8_host9_fqdn</vt:lpstr>
      <vt:lpstr>wld_az1_rack8_host9_hostname</vt:lpstr>
      <vt:lpstr>wld_az1_rack8_host9_mgmt_ip</vt:lpstr>
      <vt:lpstr>wld_az1_rack8_mgmt_cidr</vt:lpstr>
      <vt:lpstr>wld_az1_rack8_mgmt_gateway_ip</vt:lpstr>
      <vt:lpstr>wld_az1_rack8_mgmt_mask</vt:lpstr>
      <vt:lpstr>wld_az1_rack8_mgmt_mtu</vt:lpstr>
      <vt:lpstr>wld_az1_rack8_mgmt_network</vt:lpstr>
      <vt:lpstr>wld_az1_rack8_mgmt_pg</vt:lpstr>
      <vt:lpstr>wld_az1_rack8_mgmt_vlan</vt:lpstr>
      <vt:lpstr>wld_az1_rack8_mgmt_vm_cidr</vt:lpstr>
      <vt:lpstr>wld_az1_rack8_mgmt_vm_gateway_ip</vt:lpstr>
      <vt:lpstr>wld_az1_rack8_mgmt_vm_mask</vt:lpstr>
      <vt:lpstr>wld_az1_rack8_mgmt_vm_mtu</vt:lpstr>
      <vt:lpstr>wld_az1_rack8_mgmt_vm_pg</vt:lpstr>
      <vt:lpstr>wld_az1_rack8_mgmt_vm_vlan</vt:lpstr>
      <vt:lpstr>wld_az1_rack8_pool_name</vt:lpstr>
      <vt:lpstr>wld_az1_rack8_principal_storage_cidr</vt:lpstr>
      <vt:lpstr>wld_az1_rack8_principal_storage_gateway_ip</vt:lpstr>
      <vt:lpstr>wld_az1_rack8_principal_storage_mask</vt:lpstr>
      <vt:lpstr>wld_az1_rack8_principal_storage_mtu</vt:lpstr>
      <vt:lpstr>wld_az1_rack8_principal_storage_network</vt:lpstr>
      <vt:lpstr>wld_az1_rack8_principal_storage_pg</vt:lpstr>
      <vt:lpstr>wld_az1_rack8_principal_storage_pool_end_ip</vt:lpstr>
      <vt:lpstr>wld_az1_rack8_principal_storage_pool_start_ip</vt:lpstr>
      <vt:lpstr>wld_az1_rack8_principal_storage_vlan</vt:lpstr>
      <vt:lpstr>wld_az1_rack8_reuse_vcf_networkpool_chosen</vt:lpstr>
      <vt:lpstr>wld_az1_rack8_rtep_ip_pool_name</vt:lpstr>
      <vt:lpstr>wld_az1_rack8_rtep_overlay_cidr</vt:lpstr>
      <vt:lpstr>wld_az1_rack8_rtep_overlay_gateway_ip</vt:lpstr>
      <vt:lpstr>wld_az1_rack8_rtep_overlay_mtu</vt:lpstr>
      <vt:lpstr>wld_az1_rack8_rtep_overlay_pool_end_ip</vt:lpstr>
      <vt:lpstr>wld_az1_rack8_rtep_overlay_pool_start_ip</vt:lpstr>
      <vt:lpstr>wld_az1_rack8_rtep_overlay_vlan</vt:lpstr>
      <vt:lpstr>wld_az1_rack8_secondary_storage_cidr</vt:lpstr>
      <vt:lpstr>wld_az1_rack8_secondary_storage_gateway_ip</vt:lpstr>
      <vt:lpstr>wld_az1_rack8_secondary_storage_mask</vt:lpstr>
      <vt:lpstr>wld_az1_rack8_secondary_storage_mtu</vt:lpstr>
      <vt:lpstr>wld_az1_rack8_secondary_storage_network</vt:lpstr>
      <vt:lpstr>wld_az1_rack8_secondary_storage_pool_end_ip</vt:lpstr>
      <vt:lpstr>wld_az1_rack8_secondary_storage_pool_start_ip</vt:lpstr>
      <vt:lpstr>wld_az1_rack8_secondary_storage_vlan</vt:lpstr>
      <vt:lpstr>wld_az1_rack8_tor1_peer_asn</vt:lpstr>
      <vt:lpstr>wld_az1_rack8_tor1_peer_bgp_password</vt:lpstr>
      <vt:lpstr>wld_az1_rack8_tor1_peer_ip</vt:lpstr>
      <vt:lpstr>wld_az1_rack8_tor2_peer_asn</vt:lpstr>
      <vt:lpstr>wld_az1_rack8_tor2_peer_bgp_password</vt:lpstr>
      <vt:lpstr>wld_az1_rack8_tor2_peer_ip</vt:lpstr>
      <vt:lpstr>wld_az1_rack8_uplink01_cidr</vt:lpstr>
      <vt:lpstr>wld_az1_rack8_uplink01_gateway_ip</vt:lpstr>
      <vt:lpstr>wld_az1_rack8_uplink01_mask</vt:lpstr>
      <vt:lpstr>wld_az1_rack8_uplink01_mtu</vt:lpstr>
      <vt:lpstr>wld_az1_rack8_uplink01_network</vt:lpstr>
      <vt:lpstr>wld_az1_rack8_uplink01_pg</vt:lpstr>
      <vt:lpstr>wld_az1_rack8_uplink01_vlan</vt:lpstr>
      <vt:lpstr>wld_az1_rack8_uplink02_cidr</vt:lpstr>
      <vt:lpstr>wld_az1_rack8_uplink02_gateway_ip</vt:lpstr>
      <vt:lpstr>wld_az1_rack8_uplink02_mask</vt:lpstr>
      <vt:lpstr>wld_az1_rack8_uplink02_mtu</vt:lpstr>
      <vt:lpstr>wld_az1_rack8_uplink02_network</vt:lpstr>
      <vt:lpstr>wld_az1_rack8_uplink02_pg</vt:lpstr>
      <vt:lpstr>wld_az1_rack8_uplink02_vlan</vt:lpstr>
      <vt:lpstr>wld_az1_rack8_vmotion_cidr</vt:lpstr>
      <vt:lpstr>wld_az1_rack8_vmotion_gateway_ip</vt:lpstr>
      <vt:lpstr>wld_az1_rack8_vmotion_mask</vt:lpstr>
      <vt:lpstr>wld_az1_rack8_vmotion_mtu</vt:lpstr>
      <vt:lpstr>wld_az1_rack8_vmotion_network</vt:lpstr>
      <vt:lpstr>wld_az1_rack8_vmotion_pg</vt:lpstr>
      <vt:lpstr>wld_az1_rack8_vmotion_pool_end_ip</vt:lpstr>
      <vt:lpstr>wld_az1_rack8_vmotion_pool_start_ip</vt:lpstr>
      <vt:lpstr>wld_az1_rack8_vmotion_vlan</vt:lpstr>
      <vt:lpstr>wld_az1_rack8_vrms_cidr</vt:lpstr>
      <vt:lpstr>wld_az1_rack8_vrms_gateway_ip</vt:lpstr>
      <vt:lpstr>wld_az1_rack8_vrms_mtu</vt:lpstr>
      <vt:lpstr>wld_az1_rack8_vrms_vlan</vt:lpstr>
      <vt:lpstr>wld_az1_rack8_vsan_fault_domain</vt:lpstr>
      <vt:lpstr>wld_az1_reuse_vcf_networkpool_chosen</vt:lpstr>
      <vt:lpstr>wld_az1_reuse_vcf_networkpool_result</vt:lpstr>
      <vt:lpstr>wld_az1_rtep_ip_pool_name</vt:lpstr>
      <vt:lpstr>wld_az1_rtep_overlay_cidr</vt:lpstr>
      <vt:lpstr>wld_az1_rtep_overlay_gateway_ip</vt:lpstr>
      <vt:lpstr>wld_az1_rtep_overlay_mtu</vt:lpstr>
      <vt:lpstr>wld_az1_rtep_overlay_network</vt:lpstr>
      <vt:lpstr>wld_az1_rtep_overlay_pg</vt:lpstr>
      <vt:lpstr>wld_az1_rtep_overlay_vlan</vt:lpstr>
      <vt:lpstr>wld_az1_secondary_storage_cidr</vt:lpstr>
      <vt:lpstr>wld_az1_secondary_storage_gateway_ip</vt:lpstr>
      <vt:lpstr>wld_az1_secondary_storage_mask</vt:lpstr>
      <vt:lpstr>wld_az1_secondary_storage_mtu</vt:lpstr>
      <vt:lpstr>wld_az1_secondary_storage_network</vt:lpstr>
      <vt:lpstr>wld_az1_secondary_storage_pool_end_ip</vt:lpstr>
      <vt:lpstr>wld_az1_secondary_storage_pool_start_ip</vt:lpstr>
      <vt:lpstr>wld_az1_secondary_storage_vlan</vt:lpstr>
      <vt:lpstr>wld_az1_storage_cluster_cidr</vt:lpstr>
      <vt:lpstr>wld_az1_storage_cluster_gateway_ip</vt:lpstr>
      <vt:lpstr>wld_az1_storage_cluster_mask</vt:lpstr>
      <vt:lpstr>wld_az1_storage_cluster_mtu</vt:lpstr>
      <vt:lpstr>wld_az1_storage_cluster_network</vt:lpstr>
      <vt:lpstr>wld_az1_storage_cluster_pool_end_ip</vt:lpstr>
      <vt:lpstr>wld_az1_storage_cluster_pool_start_ip</vt:lpstr>
      <vt:lpstr>wld_az1_storage_cluster_vlan</vt:lpstr>
      <vt:lpstr>wld_az1_tor1_peer_asn</vt:lpstr>
      <vt:lpstr>wld_az1_tor1_peer_bgp_password</vt:lpstr>
      <vt:lpstr>wld_az1_tor1_peer_ip</vt:lpstr>
      <vt:lpstr>wld_az1_tor2_peer_asn</vt:lpstr>
      <vt:lpstr>wld_az1_tor2_peer_bgp_password</vt:lpstr>
      <vt:lpstr>wld_az1_tor2_peer_ip</vt:lpstr>
      <vt:lpstr>wld_az1_uplink01_cidr</vt:lpstr>
      <vt:lpstr>wld_az1_uplink01_gateway_ip</vt:lpstr>
      <vt:lpstr>wld_az1_uplink01_mask</vt:lpstr>
      <vt:lpstr>wld_az1_uplink01_mtu</vt:lpstr>
      <vt:lpstr>wld_az1_uplink01_network</vt:lpstr>
      <vt:lpstr>wld_az1_uplink01_vlan</vt:lpstr>
      <vt:lpstr>wld_az1_uplink02_cidr</vt:lpstr>
      <vt:lpstr>wld_az1_uplink02_gateway_ip</vt:lpstr>
      <vt:lpstr>wld_az1_uplink02_mask</vt:lpstr>
      <vt:lpstr>wld_az1_uplink02_mtu</vt:lpstr>
      <vt:lpstr>wld_az1_uplink02_network</vt:lpstr>
      <vt:lpstr>wld_az1_uplink02_vlan</vt:lpstr>
      <vt:lpstr>wld_az1_vm_cidr</vt:lpstr>
      <vt:lpstr>wld_az1_vm_gateway_ip</vt:lpstr>
      <vt:lpstr>wld_az1_vm_mtu</vt:lpstr>
      <vt:lpstr>wld_az1_vm_vlan</vt:lpstr>
      <vt:lpstr>wld_az1_vmotion_cidr</vt:lpstr>
      <vt:lpstr>wld_az1_vmotion_gateway_ip</vt:lpstr>
      <vt:lpstr>wld_az1_vmotion_mask</vt:lpstr>
      <vt:lpstr>wld_az1_vmotion_mtu</vt:lpstr>
      <vt:lpstr>wld_az1_vmotion_network</vt:lpstr>
      <vt:lpstr>wld_az1_vmotion_pool_end_ip</vt:lpstr>
      <vt:lpstr>wld_az1_vmotion_pool_start_ip</vt:lpstr>
      <vt:lpstr>wld_az1_vmotion_vlan</vt:lpstr>
      <vt:lpstr>wld_az1_vrms_cidr</vt:lpstr>
      <vt:lpstr>wld_az1_vrms_gateway_ip</vt:lpstr>
      <vt:lpstr>wld_az1_vrms_mtu</vt:lpstr>
      <vt:lpstr>wld_az1_vrms_network</vt:lpstr>
      <vt:lpstr>wld_az1_vrms_vlan</vt:lpstr>
      <vt:lpstr>wld_az2_edge_overlay_cidr</vt:lpstr>
      <vt:lpstr>wld_az2_edge_overlay_gateway_ip</vt:lpstr>
      <vt:lpstr>wld_az2_edge_overlay_mask</vt:lpstr>
      <vt:lpstr>wld_az2_edge_overlay_mtu</vt:lpstr>
      <vt:lpstr>wld_az2_edge_overlay_network</vt:lpstr>
      <vt:lpstr>wld_az2_edge_overlay_pg</vt:lpstr>
      <vt:lpstr>wld_az2_edge_overlay_vlan</vt:lpstr>
      <vt:lpstr>wld_az2_host_fqdns</vt:lpstr>
      <vt:lpstr>wld_az2_host_hostnames</vt:lpstr>
      <vt:lpstr>wld_az2_host_mgmt_ips</vt:lpstr>
      <vt:lpstr>wld_az2_host_overlay_cidr</vt:lpstr>
      <vt:lpstr>wld_az2_host_overlay_gateway_ip</vt:lpstr>
      <vt:lpstr>wld_az2_host_overlay_mask</vt:lpstr>
      <vt:lpstr>wld_az2_host_overlay_mtu</vt:lpstr>
      <vt:lpstr>wld_az2_host_overlay_network</vt:lpstr>
      <vt:lpstr>wld_az2_host_overlay_network_pool_name</vt:lpstr>
      <vt:lpstr>wld_az2_host_overlay_network_profile_name</vt:lpstr>
      <vt:lpstr>wld_az2_host_overlay_new_pool_chosen</vt:lpstr>
      <vt:lpstr>wld_az2_host_overlay_pg</vt:lpstr>
      <vt:lpstr>wld_az2_host_overlay_pool_end_ip</vt:lpstr>
      <vt:lpstr>wld_az2_host_overlay_pool_name</vt:lpstr>
      <vt:lpstr>wld_az2_host_overlay_pool_start_ip</vt:lpstr>
      <vt:lpstr>wld_az2_host_overlay_uplink_profile_name</vt:lpstr>
      <vt:lpstr>wld_az2_host_overlay_vlan</vt:lpstr>
      <vt:lpstr>wld_az2_host_vrms_ips</vt:lpstr>
      <vt:lpstr>wld_az2_host1_fqdn</vt:lpstr>
      <vt:lpstr>wld_az2_host1_hostname</vt:lpstr>
      <vt:lpstr>wld_az2_host1_mgmt_ip</vt:lpstr>
      <vt:lpstr>wld_az2_host1_sddc_id</vt:lpstr>
      <vt:lpstr>wld_az2_host1_vrms_ip</vt:lpstr>
      <vt:lpstr>wld_az2_host10_fqdn</vt:lpstr>
      <vt:lpstr>wld_az2_host10_hostname</vt:lpstr>
      <vt:lpstr>wld_az2_host10_mgmt_ip</vt:lpstr>
      <vt:lpstr>wld_az2_host10_vrms_ip</vt:lpstr>
      <vt:lpstr>wld_az2_host11_fqdn</vt:lpstr>
      <vt:lpstr>wld_az2_host11_hostname</vt:lpstr>
      <vt:lpstr>wld_az2_host11_mgmt_ip</vt:lpstr>
      <vt:lpstr>wld_az2_host11_vrms_ip</vt:lpstr>
      <vt:lpstr>wld_az2_host12_fqdn</vt:lpstr>
      <vt:lpstr>wld_az2_host12_hostname</vt:lpstr>
      <vt:lpstr>wld_az2_host12_mgmt_ip</vt:lpstr>
      <vt:lpstr>wld_az2_host12_vrms_ip</vt:lpstr>
      <vt:lpstr>wld_az2_host13_fqdn</vt:lpstr>
      <vt:lpstr>wld_az2_host13_hostname</vt:lpstr>
      <vt:lpstr>wld_az2_host13_mgmt_ip</vt:lpstr>
      <vt:lpstr>wld_az2_host13_vrms_ip</vt:lpstr>
      <vt:lpstr>wld_az2_host14_fqdn</vt:lpstr>
      <vt:lpstr>wld_az2_host14_hostname</vt:lpstr>
      <vt:lpstr>wld_az2_host14_mgmt_ip</vt:lpstr>
      <vt:lpstr>wld_az2_host14_vrms_ip</vt:lpstr>
      <vt:lpstr>wld_az2_host15_fqdn</vt:lpstr>
      <vt:lpstr>wld_az2_host15_hostname</vt:lpstr>
      <vt:lpstr>wld_az2_host15_mgmt_ip</vt:lpstr>
      <vt:lpstr>wld_az2_host15_vrms_ip</vt:lpstr>
      <vt:lpstr>wld_az2_host16_fqdn</vt:lpstr>
      <vt:lpstr>wld_az2_host16_hostname</vt:lpstr>
      <vt:lpstr>wld_az2_host16_mgmt_ip</vt:lpstr>
      <vt:lpstr>wld_az2_host16_vrms_ip</vt:lpstr>
      <vt:lpstr>wld_az2_host2_fqdn</vt:lpstr>
      <vt:lpstr>wld_az2_host2_hostname</vt:lpstr>
      <vt:lpstr>wld_az2_host2_mgmt_ip</vt:lpstr>
      <vt:lpstr>wld_az2_host2_sddc_id</vt:lpstr>
      <vt:lpstr>wld_az2_host2_vrms_ip</vt:lpstr>
      <vt:lpstr>wld_az2_host3_fqdn</vt:lpstr>
      <vt:lpstr>wld_az2_host3_hostname</vt:lpstr>
      <vt:lpstr>wld_az2_host3_mgmt_ip</vt:lpstr>
      <vt:lpstr>wld_az2_host3_sddc_id</vt:lpstr>
      <vt:lpstr>wld_az2_host3_vrms_ip</vt:lpstr>
      <vt:lpstr>wld_az2_host4_fqdn</vt:lpstr>
      <vt:lpstr>wld_az2_host4_hostname</vt:lpstr>
      <vt:lpstr>wld_az2_host4_mgmt_ip</vt:lpstr>
      <vt:lpstr>wld_az2_host4_sddc_id</vt:lpstr>
      <vt:lpstr>wld_az2_host4_vrms_ip</vt:lpstr>
      <vt:lpstr>wld_az2_host5_fqdn</vt:lpstr>
      <vt:lpstr>wld_az2_host5_hostname</vt:lpstr>
      <vt:lpstr>wld_az2_host5_mgmt_ip</vt:lpstr>
      <vt:lpstr>wld_az2_host5_vrms_ip</vt:lpstr>
      <vt:lpstr>wld_az2_host6_fqdn</vt:lpstr>
      <vt:lpstr>wld_az2_host6_hostname</vt:lpstr>
      <vt:lpstr>wld_az2_host6_mgmt_ip</vt:lpstr>
      <vt:lpstr>wld_az2_host6_vrms_ip</vt:lpstr>
      <vt:lpstr>wld_az2_host7_fqdn</vt:lpstr>
      <vt:lpstr>wld_az2_host7_hostname</vt:lpstr>
      <vt:lpstr>wld_az2_host7_mgmt_ip</vt:lpstr>
      <vt:lpstr>wld_az2_host7_vrms_ip</vt:lpstr>
      <vt:lpstr>wld_az2_host8_fqdn</vt:lpstr>
      <vt:lpstr>wld_az2_host8_hostname</vt:lpstr>
      <vt:lpstr>wld_az2_host8_mgmt_ip</vt:lpstr>
      <vt:lpstr>wld_az2_host8_vrms_ip</vt:lpstr>
      <vt:lpstr>wld_az2_host9_fqdn</vt:lpstr>
      <vt:lpstr>wld_az2_host9_hostname</vt:lpstr>
      <vt:lpstr>wld_az2_host9_mgmt_ip</vt:lpstr>
      <vt:lpstr>wld_az2_host9_vrms_ip</vt:lpstr>
      <vt:lpstr>wld_az2_mgmt_cidr</vt:lpstr>
      <vt:lpstr>wld_az2_mgmt_gateway_ip</vt:lpstr>
      <vt:lpstr>wld_az2_mgmt_mask</vt:lpstr>
      <vt:lpstr>wld_az2_mgmt_mtu</vt:lpstr>
      <vt:lpstr>wld_az2_mgmt_network</vt:lpstr>
      <vt:lpstr>wld_az2_mgmt_vlan</vt:lpstr>
      <vt:lpstr>wld_az2_pool_name</vt:lpstr>
      <vt:lpstr>wld_az2_principal_storage_cidr</vt:lpstr>
      <vt:lpstr>wld_az2_principal_storage_gateway_ip</vt:lpstr>
      <vt:lpstr>wld_az2_principal_storage_mask</vt:lpstr>
      <vt:lpstr>wld_az2_principal_storage_mtu</vt:lpstr>
      <vt:lpstr>wld_az2_principal_storage_network</vt:lpstr>
      <vt:lpstr>wld_az2_principal_storage_pool_end_ip</vt:lpstr>
      <vt:lpstr>wld_az2_principal_storage_pool_start_ip</vt:lpstr>
      <vt:lpstr>wld_az2_principal_storage_vlan</vt:lpstr>
      <vt:lpstr>wld_az2_reuse_vcf_networkpool_chosen</vt:lpstr>
      <vt:lpstr>wld_az2_rtep_overlay_cidr</vt:lpstr>
      <vt:lpstr>wld_az2_rtep_overlay_gateway_ip</vt:lpstr>
      <vt:lpstr>wld_az2_rtep_overlay_mask</vt:lpstr>
      <vt:lpstr>wld_az2_rtep_overlay_mtu</vt:lpstr>
      <vt:lpstr>wld_az2_rtep_overlay_network</vt:lpstr>
      <vt:lpstr>wld_az2_rtep_overlay_pg</vt:lpstr>
      <vt:lpstr>wld_az2_rtep_overlay_vlan</vt:lpstr>
      <vt:lpstr>wld_az2_secondary_storage_cidr</vt:lpstr>
      <vt:lpstr>wld_az2_secondary_storage_gateway_ip</vt:lpstr>
      <vt:lpstr>wld_az2_secondary_storage_mask</vt:lpstr>
      <vt:lpstr>wld_az2_secondary_storage_mtu</vt:lpstr>
      <vt:lpstr>wld_az2_secondary_storage_network</vt:lpstr>
      <vt:lpstr>wld_az2_secondary_storage_pool_end_ip</vt:lpstr>
      <vt:lpstr>wld_az2_secondary_storage_pool_start_ip</vt:lpstr>
      <vt:lpstr>wld_az2_secondary_storage_vlan</vt:lpstr>
      <vt:lpstr>wld_az2_storage_cluster_cidr</vt:lpstr>
      <vt:lpstr>wld_az2_storage_cluster_gateway_ip</vt:lpstr>
      <vt:lpstr>wld_az2_storage_cluster_mask</vt:lpstr>
      <vt:lpstr>wld_az2_storage_cluster_mtu</vt:lpstr>
      <vt:lpstr>wld_az2_storage_cluster_network</vt:lpstr>
      <vt:lpstr>wld_az2_storage_cluster_pool_end_ip</vt:lpstr>
      <vt:lpstr>wld_az2_storage_cluster_pool_start_ip</vt:lpstr>
      <vt:lpstr>wld_az2_storage_cluster_vlan</vt:lpstr>
      <vt:lpstr>wld_az2_tor1_peer_asn</vt:lpstr>
      <vt:lpstr>wld_az2_tor1_peer_bgp_password</vt:lpstr>
      <vt:lpstr>wld_az2_tor1_peer_ip</vt:lpstr>
      <vt:lpstr>wld_az2_tor2_peer_asn</vt:lpstr>
      <vt:lpstr>wld_az2_tor2_peer_bgp_password</vt:lpstr>
      <vt:lpstr>wld_az2_tor2_peer_ip</vt:lpstr>
      <vt:lpstr>wld_az2_uplink01_cidr</vt:lpstr>
      <vt:lpstr>wld_az2_uplink01_gateway_ip</vt:lpstr>
      <vt:lpstr>wld_az2_uplink01_mask</vt:lpstr>
      <vt:lpstr>wld_az2_uplink01_mtu</vt:lpstr>
      <vt:lpstr>wld_az2_uplink01_network</vt:lpstr>
      <vt:lpstr>wld_az2_uplink01_vlan</vt:lpstr>
      <vt:lpstr>wld_az2_uplink02_cidr</vt:lpstr>
      <vt:lpstr>wld_az2_uplink02_gateway_ip</vt:lpstr>
      <vt:lpstr>wld_az2_uplink02_mask</vt:lpstr>
      <vt:lpstr>wld_az2_uplink02_mtu</vt:lpstr>
      <vt:lpstr>wld_az2_uplink02_network</vt:lpstr>
      <vt:lpstr>wld_az2_uplink02_vlan</vt:lpstr>
      <vt:lpstr>wld_az2_vm_cidr</vt:lpstr>
      <vt:lpstr>wld_az2_vm_gateway_ip</vt:lpstr>
      <vt:lpstr>wld_az2_vm_mtu</vt:lpstr>
      <vt:lpstr>wld_az2_vm_vlan</vt:lpstr>
      <vt:lpstr>wld_az2_vmotion_cidr</vt:lpstr>
      <vt:lpstr>wld_az2_vmotion_gateway_ip</vt:lpstr>
      <vt:lpstr>wld_az2_vmotion_mask</vt:lpstr>
      <vt:lpstr>wld_az2_vmotion_mtu</vt:lpstr>
      <vt:lpstr>wld_az2_vmotion_network</vt:lpstr>
      <vt:lpstr>wld_az2_vmotion_pool_end_ip</vt:lpstr>
      <vt:lpstr>wld_az2_vmotion_pool_start_ip</vt:lpstr>
      <vt:lpstr>wld_az2_vmotion_vlan</vt:lpstr>
      <vt:lpstr>wld_az2_vrms_cidr</vt:lpstr>
      <vt:lpstr>wld_az2_vrms_gateway_ip</vt:lpstr>
      <vt:lpstr>wld_az2_vrms_mask</vt:lpstr>
      <vt:lpstr>wld_az2_vrms_mtu</vt:lpstr>
      <vt:lpstr>wld_az2_vrms_network</vt:lpstr>
      <vt:lpstr>wld_az2_vrms_vlan</vt:lpstr>
      <vt:lpstr>wld_bf_nsx_appliance_size_chosen</vt:lpstr>
      <vt:lpstr>wld_bf_nsx_create_passwords_chosen</vt:lpstr>
      <vt:lpstr>wld_bf_nsx_existing_chosen</vt:lpstr>
      <vt:lpstr>wld_bf_nsx_ha_mode_chosen</vt:lpstr>
      <vt:lpstr>wld_bf_nsx_join_manager_chosen</vt:lpstr>
      <vt:lpstr>wld_bf_nsxt_admin_password</vt:lpstr>
      <vt:lpstr>wld_bf_nsxt_audit_password</vt:lpstr>
      <vt:lpstr>wld_bf_nsxt_configure_overlay_on_mgmt_pg_chosen</vt:lpstr>
      <vt:lpstr>wld_bf_nsxt_enable_edge_sync_chosen</vt:lpstr>
      <vt:lpstr>wld_bf_nsxt_mgra_fqdn</vt:lpstr>
      <vt:lpstr>wld_bf_nsxt_mgrb_fqdn</vt:lpstr>
      <vt:lpstr>wld_bf_nsxt_mgrc_fqdn</vt:lpstr>
      <vt:lpstr>wld_bf_nsxt_root_password</vt:lpstr>
      <vt:lpstr>wld_bf_nsxt_vip_fqdn</vt:lpstr>
      <vt:lpstr>wld_bf_sddc_domain</vt:lpstr>
      <vt:lpstr>wld_bf_vc_fqdn</vt:lpstr>
      <vt:lpstr>wld_bf_vc_root_password</vt:lpstr>
      <vt:lpstr>wld_bf_vc_sso_password</vt:lpstr>
      <vt:lpstr>wld_bf_vc_sso_username</vt:lpstr>
      <vt:lpstr>wld_bf_vcenter_type_chosen</vt:lpstr>
      <vt:lpstr>wld_bgp_chosen</vt:lpstr>
      <vt:lpstr>wld_bgp_result</vt:lpstr>
      <vt:lpstr>wld_centralized_connectivity_chosen</vt:lpstr>
      <vt:lpstr>wld_cl01_az1_mgmt_lbt_chosen</vt:lpstr>
      <vt:lpstr>wld_cl01_az1_mgmt_pg</vt:lpstr>
      <vt:lpstr>wld_cl01_az1_mgmt_uplink1_chosen</vt:lpstr>
      <vt:lpstr>wld_cl01_az1_mgmt_uplink2_chosen</vt:lpstr>
      <vt:lpstr>wld_cl01_az1_mgmt_vm_lbt_chosen</vt:lpstr>
      <vt:lpstr>wld_cl01_az1_mgmt_vm_pg</vt:lpstr>
      <vt:lpstr>wld_cl01_az1_mgmt_vm_uplink1_chosen</vt:lpstr>
      <vt:lpstr>wld_cl01_az1_mgmt_vm_uplink2_chosen</vt:lpstr>
      <vt:lpstr>wld_cl01_az1_nsx_lbt_chosen</vt:lpstr>
      <vt:lpstr>wld_cl01_az1_nsx_uplink_count</vt:lpstr>
      <vt:lpstr>wld_cl01_az1_nsx_uplink1_chosen</vt:lpstr>
      <vt:lpstr>wld_cl01_az1_nsx_uplink2_chosen</vt:lpstr>
      <vt:lpstr>wld_cl01_az1_principal_storage_pg</vt:lpstr>
      <vt:lpstr>wld_cl01_az1_uplink01_pg</vt:lpstr>
      <vt:lpstr>wld_cl01_az1_uplink02_pg</vt:lpstr>
      <vt:lpstr>wld_cl01_az1_vm_pg</vt:lpstr>
      <vt:lpstr>wld_cl01_az1_vmotion_lbt_chosen</vt:lpstr>
      <vt:lpstr>wld_cl01_az1_vmotion_pg</vt:lpstr>
      <vt:lpstr>wld_cl01_az1_vmotion_uplink1_chosen</vt:lpstr>
      <vt:lpstr>wld_cl01_az1_vmotion_uplink2_chosen</vt:lpstr>
      <vt:lpstr>wld_cl01_az1_vsan_lbt_chosen</vt:lpstr>
      <vt:lpstr>wld_cl01_az1_vsan_storage_client_lbt_chosen</vt:lpstr>
      <vt:lpstr>wld_cl01_az1_vsan_storage_client_pg</vt:lpstr>
      <vt:lpstr>wld_cl01_az1_vsan_storage_client_uplink1_chosen</vt:lpstr>
      <vt:lpstr>wld_cl01_az1_vsan_storage_client_uplink2_chosen</vt:lpstr>
      <vt:lpstr>wld_cl01_az1_vsan_uplink1_chosen</vt:lpstr>
      <vt:lpstr>wld_cl01_az1_vsan_uplink2_chosen</vt:lpstr>
      <vt:lpstr>wld_cl01_az2_mgmt_pg</vt:lpstr>
      <vt:lpstr>wld_cl01_az2_principal_storage_pg</vt:lpstr>
      <vt:lpstr>wld_cl01_az2_uplink01_pg</vt:lpstr>
      <vt:lpstr>wld_cl01_az2_uplink02_pg</vt:lpstr>
      <vt:lpstr>wld_cl01_az2_vm_pg</vt:lpstr>
      <vt:lpstr>wld_cl01_az2_vmotion_pg</vt:lpstr>
      <vt:lpstr>wld_cl01_cluster</vt:lpstr>
      <vt:lpstr>wld_cl01_cluster_sddc_id</vt:lpstr>
      <vt:lpstr>wld_cl01_cluster_zn_name</vt:lpstr>
      <vt:lpstr>wld_cl01_evc_mode</vt:lpstr>
      <vt:lpstr>wld_cl01_image_name</vt:lpstr>
      <vt:lpstr>wld_cl01_nfs_datastore_name</vt:lpstr>
      <vt:lpstr>wld_cl01_nfs_server_address</vt:lpstr>
      <vt:lpstr>wld_cl01_nfs_share_path</vt:lpstr>
      <vt:lpstr>wld_cl01_supervisor_control_plane_ip_range</vt:lpstr>
      <vt:lpstr>wld_cl01_supervisor_dns</vt:lpstr>
      <vt:lpstr>wld_cl01_supervisor_name</vt:lpstr>
      <vt:lpstr>wld_cl01_supervisor_nsx_project</vt:lpstr>
      <vt:lpstr>wld_cl01_supervisor_ntp</vt:lpstr>
      <vt:lpstr>wld_cl01_supervisor_private_cidr</vt:lpstr>
      <vt:lpstr>wld_cl01_supervisor_private_transit_gateway_cidr</vt:lpstr>
      <vt:lpstr>wld_cl01_supervisor_service_cidr</vt:lpstr>
      <vt:lpstr>wld_cl01_supervisor_use_mgmt_vmk_chosen</vt:lpstr>
      <vt:lpstr>wld_cl01_supervisor_vpc_profile</vt:lpstr>
      <vt:lpstr>wld_cl01_vds_copy_profile_chosen</vt:lpstr>
      <vt:lpstr>wld_cl01_vds_name</vt:lpstr>
      <vt:lpstr>wld_cl01_vds_profile_chosen</vt:lpstr>
      <vt:lpstr>wld_cl01_vds_standard_preconfigured_profiles</vt:lpstr>
      <vt:lpstr>wld_cl01_vds_vsanmax_preconfigured_profiles</vt:lpstr>
      <vt:lpstr>wld_cl01_vds01_lacp_mode_chosen</vt:lpstr>
      <vt:lpstr>wld_cl01_vds01_lacp_timeout_chosen</vt:lpstr>
      <vt:lpstr>wld_cl01_vds01_lag_lbt_chosen</vt:lpstr>
      <vt:lpstr>wld_cl01_vds01_lag_name</vt:lpstr>
      <vt:lpstr>wld_cl01_vds01_link_type_chosen</vt:lpstr>
      <vt:lpstr>wld_cl01_vds01_mtu</vt:lpstr>
      <vt:lpstr>wld_cl01_vds01_name</vt:lpstr>
      <vt:lpstr>wld_cl01_vds01_pnics</vt:lpstr>
      <vt:lpstr>wld_cl01_vds01_traffic_type</vt:lpstr>
      <vt:lpstr>wld_cl01_vds01_uplink_count</vt:lpstr>
      <vt:lpstr>wld_cl01_vds02_lacp_mode_chosen</vt:lpstr>
      <vt:lpstr>wld_cl01_vds02_lacp_timeout_chosen</vt:lpstr>
      <vt:lpstr>wld_cl01_vds02_lag_lbt_chosen</vt:lpstr>
      <vt:lpstr>wld_cl01_vds02_lag_name</vt:lpstr>
      <vt:lpstr>wld_cl01_vds02_link_type_chosen</vt:lpstr>
      <vt:lpstr>wld_cl01_vds02_mtu</vt:lpstr>
      <vt:lpstr>wld_cl01_vds02_name</vt:lpstr>
      <vt:lpstr>wld_cl01_vds02_pnics</vt:lpstr>
      <vt:lpstr>wld_cl01_vds02_traffic_type</vt:lpstr>
      <vt:lpstr>wld_cl01_vds02_uplink_count</vt:lpstr>
      <vt:lpstr>wld_cl01_vds03_lacp_mode_chosen</vt:lpstr>
      <vt:lpstr>wld_cl01_vds03_lacp_timeout_chosen</vt:lpstr>
      <vt:lpstr>wld_cl01_vds03_lag_lbt_chosen</vt:lpstr>
      <vt:lpstr>wld_cl01_vds03_lag_name</vt:lpstr>
      <vt:lpstr>wld_cl01_vds03_link_type_chosen</vt:lpstr>
      <vt:lpstr>wld_cl01_vds03_mtu</vt:lpstr>
      <vt:lpstr>wld_cl01_vds03_name</vt:lpstr>
      <vt:lpstr>wld_cl01_vds03_pnics</vt:lpstr>
      <vt:lpstr>wld_cl01_vds03_traffic_type</vt:lpstr>
      <vt:lpstr>wld_cl01_vds03_uplink_count</vt:lpstr>
      <vt:lpstr>wld_cl01_vmfs_datastore_name</vt:lpstr>
      <vt:lpstr>wld_cl01_vsan_client_network</vt:lpstr>
      <vt:lpstr>wld_cl01_vsan_datastore</vt:lpstr>
      <vt:lpstr>wld_cl01_vsan_dedupe_compression_chosen</vt:lpstr>
      <vt:lpstr>wld_cl01_vsan_ftt_chosen</vt:lpstr>
      <vt:lpstr>wld_cluster_compute_edge</vt:lpstr>
      <vt:lpstr>wld_cluster_compute_only</vt:lpstr>
      <vt:lpstr>wld_cluster_edge</vt:lpstr>
      <vt:lpstr>wld_compute_hosts_per_rack</vt:lpstr>
      <vt:lpstr>wld_compute_hosts_per_rack_chosen</vt:lpstr>
      <vt:lpstr>wld_compute_hosts_per_rack_result</vt:lpstr>
      <vt:lpstr>wld_compute_total_number_hosts</vt:lpstr>
      <vt:lpstr>wld_datacenter</vt:lpstr>
      <vt:lpstr>wld_dedicated_edge_cluster_chosen_exclude</vt:lpstr>
      <vt:lpstr>wld_dedicated_edge_cluster_chosen_include</vt:lpstr>
      <vt:lpstr>wld_domain_chosen</vt:lpstr>
      <vt:lpstr>wld_domain_number_chosen</vt:lpstr>
      <vt:lpstr>wld_domain_password_creation_chosen</vt:lpstr>
      <vt:lpstr>wld_domain_result</vt:lpstr>
      <vt:lpstr>wld_dpg_separation_chosen</vt:lpstr>
      <vt:lpstr>wld_dpg_separation_result</vt:lpstr>
      <vt:lpstr>wld_ec_api_chosen</vt:lpstr>
      <vt:lpstr>wld_ec_formfactor_chosen</vt:lpstr>
      <vt:lpstr>wld_ec_gateway_type</vt:lpstr>
      <vt:lpstr>wld_ec_mtu</vt:lpstr>
      <vt:lpstr>wld_ec_name</vt:lpstr>
      <vt:lpstr>wld_ec_rp_name</vt:lpstr>
      <vt:lpstr>wld_ec01_en01_host_group_affinity_rule_name</vt:lpstr>
      <vt:lpstr>wld_ec01_en02_host_group_affinity_rule_name</vt:lpstr>
      <vt:lpstr>wld_ec01_host_group_affinity_rule_chosen</vt:lpstr>
      <vt:lpstr>wld_ec01_use_host_overlay_chosen</vt:lpstr>
      <vt:lpstr>wld_en_asn</vt:lpstr>
      <vt:lpstr>wld_en01_bfd_chosen</vt:lpstr>
      <vt:lpstr>wld_en02_bfd_chosen</vt:lpstr>
      <vt:lpstr>wld_esx_root_password</vt:lpstr>
      <vt:lpstr>wld_esx_root_username</vt:lpstr>
      <vt:lpstr>wld_esxi_external_certs_chosen</vt:lpstr>
      <vt:lpstr>wld_esxi_external_certs_result</vt:lpstr>
      <vt:lpstr>wld_existing_active_nsx_gm</vt:lpstr>
      <vt:lpstr>wld_existing_cross_instance_t0_name</vt:lpstr>
      <vt:lpstr>wld_gateway_routing_type_chosen</vt:lpstr>
      <vt:lpstr>wld_host_overlay_addressing_chosen</vt:lpstr>
      <vt:lpstr>wld_iaas_chosen</vt:lpstr>
      <vt:lpstr>wld_iaas_result</vt:lpstr>
      <vt:lpstr>wld_iaas_service_chosen</vt:lpstr>
      <vt:lpstr>wld_multi_rack_count_chosen</vt:lpstr>
      <vt:lpstr>wld_multi_rack_count_result</vt:lpstr>
      <vt:lpstr>wld_multirack_calc</vt:lpstr>
      <vt:lpstr>wld_multirack_result</vt:lpstr>
      <vt:lpstr>wld_nsx_default_operation_mode_chosen</vt:lpstr>
      <vt:lpstr>wld_nsx_ha_mode_chosen</vt:lpstr>
      <vt:lpstr>wld_nsx_operation_mode_chosen</vt:lpstr>
      <vt:lpstr>wld_nsx_overlay_transport_zone_chosen</vt:lpstr>
      <vt:lpstr>wld_nsx_vlan_transport_zone_chosen</vt:lpstr>
      <vt:lpstr>wld_nsx_vlan_transport_zone_name</vt:lpstr>
      <vt:lpstr>wld_nsxt_appliance_size_chosen</vt:lpstr>
      <vt:lpstr>wld_nsxt_en_admin_password</vt:lpstr>
      <vt:lpstr>wld_nsxt_en_root_password</vt:lpstr>
      <vt:lpstr>wld_nsxt_federation_chosen</vt:lpstr>
      <vt:lpstr>wld_nsxt_federation_global_manager_name</vt:lpstr>
      <vt:lpstr>wld_nsxt_federation_location_name</vt:lpstr>
      <vt:lpstr>wld_nsxt_federation_result</vt:lpstr>
      <vt:lpstr>wld_nsxt_global_mgr_anti_affinity_rule_name</vt:lpstr>
      <vt:lpstr>wld_nsxt_global_mgr_certificate_id</vt:lpstr>
      <vt:lpstr>wld_nsxt_global_mgr_cluster_id</vt:lpstr>
      <vt:lpstr>wld_nsxt_global_mgr_vmca_signed_thumbprint</vt:lpstr>
      <vt:lpstr>wld_nsxt_global_mgra_fqdn</vt:lpstr>
      <vt:lpstr>wld_nsxt_global_mgra_hostname</vt:lpstr>
      <vt:lpstr>wld_nsxt_global_mgra_ip</vt:lpstr>
      <vt:lpstr>wld_nsxt_global_mgrb_fqdn</vt:lpstr>
      <vt:lpstr>wld_nsxt_global_mgrb_hostname</vt:lpstr>
      <vt:lpstr>wld_nsxt_global_mgrb_ip</vt:lpstr>
      <vt:lpstr>wld_nsxt_global_mgrc_fqdn</vt:lpstr>
      <vt:lpstr>wld_nsxt_global_mgrc_hostname</vt:lpstr>
      <vt:lpstr>wld_nsxt_global_mgrc_ip</vt:lpstr>
      <vt:lpstr>wld_nsxt_gm_admin_password</vt:lpstr>
      <vt:lpstr>wld_nsxt_gm_audit_password</vt:lpstr>
      <vt:lpstr>wld_nsxt_gm_fingerprint</vt:lpstr>
      <vt:lpstr>wld_nsxt_gm_hostname</vt:lpstr>
      <vt:lpstr>wld_nsxt_gm_root_password</vt:lpstr>
      <vt:lpstr>wld_nsxt_gm_vip_fqdn</vt:lpstr>
      <vt:lpstr>wld_nsxt_gm_vip_ip</vt:lpstr>
      <vt:lpstr>wld_nsxt_hostname</vt:lpstr>
      <vt:lpstr>wld_nsxt_lm_admin_password</vt:lpstr>
      <vt:lpstr>wld_nsxt_lm_audit_password</vt:lpstr>
      <vt:lpstr>wld_nsxt_lm_fingerprint</vt:lpstr>
      <vt:lpstr>wld_nsxt_mgra_fqdn</vt:lpstr>
      <vt:lpstr>wld_nsxt_mgra_hostname</vt:lpstr>
      <vt:lpstr>wld_nsxt_mgra_ip</vt:lpstr>
      <vt:lpstr>wld_nsxt_mgrb_fqdn</vt:lpstr>
      <vt:lpstr>wld_nsxt_mgrb_hostname</vt:lpstr>
      <vt:lpstr>wld_nsxt_mgrb_ip</vt:lpstr>
      <vt:lpstr>wld_nsxt_mgrc_fqdn</vt:lpstr>
      <vt:lpstr>wld_nsxt_mgrc_hostname</vt:lpstr>
      <vt:lpstr>wld_nsxt_mgrc_ip</vt:lpstr>
      <vt:lpstr>wld_nsxt_vip_fqdn</vt:lpstr>
      <vt:lpstr>wld_nsxt_vip_ip</vt:lpstr>
      <vt:lpstr>wld_nsxt_xreg_t1_name</vt:lpstr>
      <vt:lpstr>wld_principal_storage_chosen</vt:lpstr>
      <vt:lpstr>wld_principal_storage_result</vt:lpstr>
      <vt:lpstr>wld_rack2_en_asn</vt:lpstr>
      <vt:lpstr>wld_rack3_en_asn</vt:lpstr>
      <vt:lpstr>wld_rack4_en_asn</vt:lpstr>
      <vt:lpstr>wld_rack5_en_asn</vt:lpstr>
      <vt:lpstr>wld_rack6_en_asn</vt:lpstr>
      <vt:lpstr>wld_rack7_en_asn</vt:lpstr>
      <vt:lpstr>wld_rack8_en_asn</vt:lpstr>
      <vt:lpstr>wld_rtep_ip_pool_name</vt:lpstr>
      <vt:lpstr>wld_rtep_overlay_pool_end_ip</vt:lpstr>
      <vt:lpstr>wld_rtep_overlay_pool_start_ip</vt:lpstr>
      <vt:lpstr>wld_rwr_az1_vrms_gateway_ip</vt:lpstr>
      <vt:lpstr>wld_rwr_az1_vrms_gateway_mask</vt:lpstr>
      <vt:lpstr>wld_rwr_cl02_cluster</vt:lpstr>
      <vt:lpstr>wld_rwr_recovery_site_az1_vrms_cidr</vt:lpstr>
      <vt:lpstr>wld_rwr_recovery_site_vc_fqdn</vt:lpstr>
      <vt:lpstr>wld_rwr_recoverysite_fd</vt:lpstr>
      <vt:lpstr>wld_rwr_recoverysite_prefix</vt:lpstr>
      <vt:lpstr>wld_rwr_vc_fqdn</vt:lpstr>
      <vt:lpstr>wld_rwr_vcfops_vlsr_username</vt:lpstr>
      <vt:lpstr>wld_rwr_vcfops_vr_username</vt:lpstr>
      <vt:lpstr>wld_sddc_domain</vt:lpstr>
      <vt:lpstr>wld_sddc_org</vt:lpstr>
      <vt:lpstr>wld_secondary_storage_chosen</vt:lpstr>
      <vt:lpstr>wld_secondary_storage_result</vt:lpstr>
      <vt:lpstr>wld_signed_certs_chosen</vt:lpstr>
      <vt:lpstr>wld_signed_certs_result</vt:lpstr>
      <vt:lpstr>wld_srm_admin_email</vt:lpstr>
      <vt:lpstr>wld_srm_admin_password</vt:lpstr>
      <vt:lpstr>wld_srm_database_password</vt:lpstr>
      <vt:lpstr>wld_srm_fqdn</vt:lpstr>
      <vt:lpstr>wld_srm_hostname</vt:lpstr>
      <vt:lpstr>wld_srm_ip</vt:lpstr>
      <vt:lpstr>wld_srm_p12_password</vt:lpstr>
      <vt:lpstr>wld_srm_recovery_vcenter_fqdn</vt:lpstr>
      <vt:lpstr>wld_srm_recovery_vcenter_password</vt:lpstr>
      <vt:lpstr>wld_srm_recovery_vcenter_username</vt:lpstr>
      <vt:lpstr>wld_srm_root_password</vt:lpstr>
      <vt:lpstr>wld_srm_site_name</vt:lpstr>
      <vt:lpstr>wld_srm_sso_domain_membership</vt:lpstr>
      <vt:lpstr>wld_srm_vm_folder</vt:lpstr>
      <vt:lpstr>wld_srm_vm_size</vt:lpstr>
      <vt:lpstr>wld_srm_vm_size_chosen</vt:lpstr>
      <vt:lpstr>wld_sso_domain_administrator</vt:lpstr>
      <vt:lpstr>wld_sso_domain_administrator_password</vt:lpstr>
      <vt:lpstr>wld_sso_domain_name</vt:lpstr>
      <vt:lpstr>wld_stretched_cluster_chosen</vt:lpstr>
      <vt:lpstr>wld_stretched_cluster_result</vt:lpstr>
      <vt:lpstr>wld_tier0_ha_chosen</vt:lpstr>
      <vt:lpstr>wld_tier0_name</vt:lpstr>
      <vt:lpstr>wld_tier0_skip_chosen</vt:lpstr>
      <vt:lpstr>wld_vc_fqdn</vt:lpstr>
      <vt:lpstr>wld_vc_hostname</vt:lpstr>
      <vt:lpstr>wld_vc_ip</vt:lpstr>
      <vt:lpstr>wld_vcenter_root_password</vt:lpstr>
      <vt:lpstr>wld_vlr_fqdn</vt:lpstr>
      <vt:lpstr>wld_vlr_hostname</vt:lpstr>
      <vt:lpstr>wld_vlr_replication_user</vt:lpstr>
      <vt:lpstr>wld_vnaa_fqdn</vt:lpstr>
      <vt:lpstr>wld_vnaa_ip</vt:lpstr>
      <vt:lpstr>wld_vnab_fqdn</vt:lpstr>
      <vt:lpstr>wld_vnab_ip</vt:lpstr>
      <vt:lpstr>wld_vpc_ext_ip_blocks</vt:lpstr>
      <vt:lpstr>wld_vpc_transit_gateway_ip_blocks</vt:lpstr>
      <vt:lpstr>wld_vrms_admin_email</vt:lpstr>
      <vt:lpstr>wld_vrms_admin_password</vt:lpstr>
      <vt:lpstr>wld_vrms_fqdn</vt:lpstr>
      <vt:lpstr>wld_vrms_hostname</vt:lpstr>
      <vt:lpstr>wld_vrms_mask</vt:lpstr>
      <vt:lpstr>wld_vrms_mgmt_ip</vt:lpstr>
      <vt:lpstr>wld_vrms_p12_password</vt:lpstr>
      <vt:lpstr>wld_vrms_pg</vt:lpstr>
      <vt:lpstr>wld_vrms_recovery_replication_cidr</vt:lpstr>
      <vt:lpstr>wld_vrms_root_password</vt:lpstr>
      <vt:lpstr>wld_vrms_site_name</vt:lpstr>
      <vt:lpstr>wld_vrms_vm_folder</vt:lpstr>
      <vt:lpstr>wld_vrms_vrms_ip</vt:lpstr>
      <vt:lpstr>wld_vsan_type</vt:lpstr>
      <vt:lpstr>wld_vsan_type_chosen</vt:lpstr>
      <vt:lpstr>wld_witness_az_mgmt_mask</vt:lpstr>
      <vt:lpstr>wld_witness_cluster</vt:lpstr>
      <vt:lpstr>wld_witness_dns1_ip</vt:lpstr>
      <vt:lpstr>wld_witness_dns2_ip</vt:lpstr>
      <vt:lpstr>wld_witness_fqdn</vt:lpstr>
      <vt:lpstr>wld_witness_hostname</vt:lpstr>
      <vt:lpstr>wld_witness_ip</vt:lpstr>
      <vt:lpstr>wld_witness_mgmt_pg</vt:lpstr>
      <vt:lpstr>wld_witness_ntp1_server</vt:lpstr>
      <vt:lpstr>wld_witness_ntp2_server</vt:lpstr>
      <vt:lpstr>wld_witness_root_password</vt:lpstr>
      <vt:lpstr>wld_witness_vc_fqdn</vt:lpstr>
      <vt:lpstr>wld_witness_vm_folder</vt:lpstr>
      <vt:lpstr>wld_witness_vsan_datastore</vt:lpstr>
      <vt:lpstr>wld_witness_zone_vc_fqdn</vt:lpstr>
      <vt:lpstr>wld_witness_zone_vc_hostname</vt:lpstr>
      <vt:lpstr>wld_witness_zone_vc_ip</vt:lpstr>
      <vt:lpstr>wld_witnessaz_gateway_ip</vt:lpstr>
      <vt:lpstr>wld_witnessaz_mgmt_cidr</vt:lpstr>
      <vt:lpstr>wld_witnessaz_mgmt_gateway_ip</vt:lpstr>
      <vt:lpstr>wld_witnessaz_mgmt_mask</vt:lpstr>
      <vt:lpstr>wld_witnessaz_mgmt_mtu</vt:lpstr>
      <vt:lpstr>wld_witnessaz_mgmt_network</vt:lpstr>
      <vt:lpstr>wld_witnessaz_mgmt_vlan</vt:lpstr>
      <vt:lpstr>workload_descriptor</vt:lpstr>
      <vt:lpstr>xreg_seg01_mask</vt:lpstr>
      <vt:lpstr>xreg_vra_admin_password</vt:lpstr>
      <vt:lpstr>xreg_vra_k8s_cluster_cidr_chosen</vt:lpstr>
      <vt:lpstr>xreg_vra_node_pool_end_ip</vt:lpstr>
      <vt:lpstr>xreg_vra_node_pool_start_ip</vt:lpstr>
      <vt:lpstr>xreg_vra_nodea_ip</vt:lpstr>
      <vt:lpstr>xreg_vra_nodeb_ip</vt:lpstr>
      <vt:lpstr>xreg_vra_nodec_ip</vt:lpstr>
      <vt:lpstr>xreg_vra_noded_ip</vt:lpstr>
      <vt:lpstr>xreg_vra_nodee_ip</vt:lpstr>
      <vt:lpstr>xreg_vra_nodef_ip</vt:lpstr>
      <vt:lpstr>xreg_vra_prefix</vt:lpstr>
      <vt:lpstr>xreg_vra_size_chosen</vt:lpstr>
      <vt:lpstr>xreg_vra_virtual_fqdn</vt:lpstr>
      <vt:lpstr>xreg_vra_virtual_hostname</vt:lpstr>
      <vt:lpstr>xreg_vra_virtual_ip</vt:lpstr>
      <vt:lpstr>xreg_vra_vm_folder</vt:lpstr>
      <vt:lpstr>xreg_vrni_nodea_hostname</vt:lpstr>
      <vt:lpstr>xreg_vrni_nodea_ip</vt:lpstr>
      <vt:lpstr>xreg_vrops_admin_password</vt:lpstr>
      <vt:lpstr>xreg_vrops_collector_fqdn</vt:lpstr>
      <vt:lpstr>xreg_vrops_collector_hostname</vt:lpstr>
      <vt:lpstr>xreg_vrops_collector_ip</vt:lpstr>
      <vt:lpstr>xreg_vrops_collector_root_password</vt:lpstr>
      <vt:lpstr>xreg_vrops_nodea_fqdn</vt:lpstr>
      <vt:lpstr>xreg_vrops_nodea_hostname</vt:lpstr>
      <vt:lpstr>xreg_vrops_nodea_ip</vt:lpstr>
      <vt:lpstr>xreg_vrops_nodeb_fqdn</vt:lpstr>
      <vt:lpstr>xreg_vrops_nodeb_hostname</vt:lpstr>
      <vt:lpstr>xreg_vrops_nodeb_ip</vt:lpstr>
      <vt:lpstr>xreg_vrops_nodec_fqdn</vt:lpstr>
      <vt:lpstr>xreg_vrops_nodec_hostname</vt:lpstr>
      <vt:lpstr>xreg_vrops_nodec_ip</vt:lpstr>
      <vt:lpstr>xreg_vrops_root_password</vt:lpstr>
      <vt:lpstr>xreg_vrops_srm_sso_password</vt:lpstr>
      <vt:lpstr>xreg_vrops_srm_sso_username</vt:lpstr>
      <vt:lpstr>xreg_vrops_virtual_fqdn</vt:lpstr>
      <vt:lpstr>xreg_vrops_virtual_hostname</vt:lpstr>
      <vt:lpstr>xreg_vrops_virtual_ip</vt:lpstr>
      <vt:lpstr>xreg_vrops_vm_folder</vt:lpstr>
      <vt:lpstr>xreg_vrops_vrms_sso_password</vt:lpstr>
      <vt:lpstr>xreg_vrops_vrms_sso_username</vt:lpstr>
      <vt:lpstr>xreg_vrslcm_fqdn</vt:lpstr>
      <vt:lpstr>xreg_vrslcm_hostname</vt:lpstr>
      <vt:lpstr>xreg_vrslcm_ip</vt:lpstr>
      <vt:lpstr>xreg_wsa_cert_name</vt:lpstr>
      <vt:lpstr>xreg_wsa_vm_folder</vt:lpstr>
      <vt:lpstr>xregion_dns1_ip</vt:lpstr>
      <vt:lpstr>xregion_dns2_ip</vt:lpstr>
      <vt:lpstr>xregion_ntp1_server</vt:lpstr>
      <vt:lpstr>xregion_ntp2_server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Evren BAYCAN</cp:lastModifiedBy>
  <cp:revision/>
  <dcterms:created xsi:type="dcterms:W3CDTF">2020-01-21T13:51:29Z</dcterms:created>
  <dcterms:modified xsi:type="dcterms:W3CDTF">2026-03-09T10:40:34Z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0x010100A82EF44E0227C24E85294C0D2197735E</vt:lpwstr>
  </property>
  <property fmtid="{D5CDD505-2E9C-101B-9397-08002B2CF9AE}" pid="3" name="MediaServiceImageTags">
    <vt:lpwstr/>
  </property>
</Properties>
</file>